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data!$DR$821:$DR$866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H808" i="10"/>
  <c r="F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K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K801" i="10"/>
  <c r="H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H797" i="10"/>
  <c r="F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K791" i="10"/>
  <c r="H791" i="10"/>
  <c r="F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H782" i="10"/>
  <c r="F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S775" i="10"/>
  <c r="R775" i="10"/>
  <c r="Q775" i="10"/>
  <c r="P775" i="10"/>
  <c r="O775" i="10"/>
  <c r="M775" i="10"/>
  <c r="K775" i="10"/>
  <c r="H775" i="10"/>
  <c r="F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A768" i="10"/>
  <c r="Q767" i="10"/>
  <c r="P767" i="10"/>
  <c r="M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S764" i="10"/>
  <c r="R764" i="10"/>
  <c r="Q764" i="10"/>
  <c r="P764" i="10"/>
  <c r="M764" i="10"/>
  <c r="K764" i="10"/>
  <c r="H764" i="10"/>
  <c r="F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H762" i="10"/>
  <c r="F762" i="10"/>
  <c r="D762" i="10"/>
  <c r="C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A760" i="10"/>
  <c r="T759" i="10"/>
  <c r="S759" i="10"/>
  <c r="R759" i="10"/>
  <c r="Q759" i="10"/>
  <c r="P759" i="10"/>
  <c r="O759" i="10"/>
  <c r="M759" i="10"/>
  <c r="H759" i="10"/>
  <c r="F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L756" i="10"/>
  <c r="I756" i="10"/>
  <c r="H756" i="10"/>
  <c r="G756" i="10"/>
  <c r="F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S748" i="10"/>
  <c r="R748" i="10"/>
  <c r="Q748" i="10"/>
  <c r="P748" i="10"/>
  <c r="O748" i="10"/>
  <c r="M748" i="10"/>
  <c r="L748" i="10"/>
  <c r="K748" i="10"/>
  <c r="H748" i="10"/>
  <c r="F748" i="10"/>
  <c r="D748" i="10"/>
  <c r="C748" i="10"/>
  <c r="B748" i="10"/>
  <c r="A748" i="10"/>
  <c r="S747" i="10"/>
  <c r="R747" i="10"/>
  <c r="Q747" i="10"/>
  <c r="P747" i="10"/>
  <c r="O747" i="10"/>
  <c r="M747" i="10"/>
  <c r="L747" i="10"/>
  <c r="H747" i="10"/>
  <c r="A747" i="10"/>
  <c r="S746" i="10"/>
  <c r="Q746" i="10"/>
  <c r="P746" i="10"/>
  <c r="O746" i="10"/>
  <c r="M746" i="10"/>
  <c r="K746" i="10"/>
  <c r="H746" i="10"/>
  <c r="F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S736" i="10"/>
  <c r="R736" i="10"/>
  <c r="Q736" i="10"/>
  <c r="P736" i="10"/>
  <c r="O736" i="10"/>
  <c r="M736" i="10"/>
  <c r="L736" i="10"/>
  <c r="K736" i="10"/>
  <c r="H736" i="10"/>
  <c r="G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S734" i="10"/>
  <c r="R734" i="10"/>
  <c r="Q734" i="10"/>
  <c r="P734" i="10"/>
  <c r="O734" i="10"/>
  <c r="M734" i="10"/>
  <c r="L734" i="10"/>
  <c r="K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F726" i="10"/>
  <c r="AD726" i="10"/>
  <c r="AC726" i="10"/>
  <c r="AB726" i="10"/>
  <c r="AA726" i="10"/>
  <c r="Y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E546" i="10"/>
  <c r="F546" i="10"/>
  <c r="H545" i="10"/>
  <c r="F545" i="10"/>
  <c r="E545" i="10"/>
  <c r="E544" i="10"/>
  <c r="F544" i="10"/>
  <c r="E540" i="10"/>
  <c r="E539" i="10"/>
  <c r="H538" i="10"/>
  <c r="F538" i="10"/>
  <c r="E538" i="10"/>
  <c r="F537" i="10"/>
  <c r="H536" i="10"/>
  <c r="F536" i="10"/>
  <c r="E536" i="10"/>
  <c r="E535" i="10"/>
  <c r="E534" i="10"/>
  <c r="F533" i="10"/>
  <c r="E533" i="10"/>
  <c r="H533" i="10"/>
  <c r="H532" i="10"/>
  <c r="E532" i="10"/>
  <c r="F532" i="10"/>
  <c r="F531" i="10"/>
  <c r="F530" i="10"/>
  <c r="E529" i="10"/>
  <c r="F529" i="10"/>
  <c r="E528" i="10"/>
  <c r="H527" i="10"/>
  <c r="F527" i="10"/>
  <c r="E527" i="10"/>
  <c r="E526" i="10"/>
  <c r="F526" i="10"/>
  <c r="H525" i="10"/>
  <c r="F525" i="10"/>
  <c r="E525" i="10"/>
  <c r="F524" i="10"/>
  <c r="E524" i="10"/>
  <c r="E523" i="10"/>
  <c r="F522" i="10"/>
  <c r="F521" i="10"/>
  <c r="H520" i="10"/>
  <c r="E520" i="10"/>
  <c r="F520" i="10"/>
  <c r="H519" i="10"/>
  <c r="F519" i="10"/>
  <c r="E519" i="10"/>
  <c r="F518" i="10"/>
  <c r="E518" i="10"/>
  <c r="F516" i="10"/>
  <c r="E515" i="10"/>
  <c r="F515" i="10"/>
  <c r="H513" i="10"/>
  <c r="F513" i="10"/>
  <c r="F512" i="10"/>
  <c r="H511" i="10"/>
  <c r="E511" i="10"/>
  <c r="F511" i="10"/>
  <c r="E510" i="10"/>
  <c r="F509" i="10"/>
  <c r="E508" i="10"/>
  <c r="F508" i="10"/>
  <c r="H507" i="10"/>
  <c r="F507" i="10"/>
  <c r="E507" i="10"/>
  <c r="H506" i="10"/>
  <c r="F506" i="10"/>
  <c r="E506" i="10"/>
  <c r="E505" i="10"/>
  <c r="H504" i="10"/>
  <c r="F504" i="10"/>
  <c r="E504" i="10"/>
  <c r="E503" i="10"/>
  <c r="F503" i="10"/>
  <c r="F502" i="10"/>
  <c r="E502" i="10"/>
  <c r="H502" i="10"/>
  <c r="H501" i="10"/>
  <c r="F501" i="10"/>
  <c r="E501" i="10"/>
  <c r="H500" i="10"/>
  <c r="E500" i="10"/>
  <c r="F500" i="10"/>
  <c r="H499" i="10"/>
  <c r="F499" i="10"/>
  <c r="E499" i="10"/>
  <c r="F498" i="10"/>
  <c r="E498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C471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B447" i="10"/>
  <c r="C446" i="10"/>
  <c r="C445" i="10"/>
  <c r="C444" i="10"/>
  <c r="B441" i="10"/>
  <c r="B439" i="10"/>
  <c r="B440" i="10" s="1"/>
  <c r="C438" i="10"/>
  <c r="B438" i="10"/>
  <c r="B437" i="10"/>
  <c r="B436" i="10"/>
  <c r="D435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8" i="10"/>
  <c r="D373" i="10" s="1"/>
  <c r="D391" i="10" s="1"/>
  <c r="D393" i="10" s="1"/>
  <c r="D396" i="10" s="1"/>
  <c r="D367" i="10"/>
  <c r="C448" i="10" s="1"/>
  <c r="D361" i="10"/>
  <c r="D339" i="10"/>
  <c r="C482" i="10" s="1"/>
  <c r="D329" i="10"/>
  <c r="D328" i="10"/>
  <c r="D330" i="10" s="1"/>
  <c r="D319" i="10"/>
  <c r="D314" i="10"/>
  <c r="C306" i="10"/>
  <c r="AI730" i="10" s="1"/>
  <c r="D290" i="10"/>
  <c r="D283" i="10"/>
  <c r="D275" i="10"/>
  <c r="D277" i="10" s="1"/>
  <c r="D265" i="10"/>
  <c r="D260" i="10"/>
  <c r="D240" i="10"/>
  <c r="D236" i="10"/>
  <c r="B446" i="10" s="1"/>
  <c r="C223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7" i="10" s="1"/>
  <c r="C478" i="10" s="1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C142" i="10"/>
  <c r="AG726" i="10" s="1"/>
  <c r="E141" i="10"/>
  <c r="D463" i="10" s="1"/>
  <c r="C140" i="10"/>
  <c r="AE726" i="10" s="1"/>
  <c r="B140" i="10"/>
  <c r="E139" i="10"/>
  <c r="C415" i="10" s="1"/>
  <c r="D138" i="10"/>
  <c r="AH726" i="10" s="1"/>
  <c r="B138" i="10"/>
  <c r="E127" i="10"/>
  <c r="AR80" i="10"/>
  <c r="T775" i="10" s="1"/>
  <c r="AJ80" i="10"/>
  <c r="T767" i="10" s="1"/>
  <c r="AG80" i="10"/>
  <c r="T764" i="10" s="1"/>
  <c r="Q80" i="10"/>
  <c r="T748" i="10" s="1"/>
  <c r="P80" i="10"/>
  <c r="T747" i="10" s="1"/>
  <c r="O80" i="10"/>
  <c r="T746" i="10" s="1"/>
  <c r="E80" i="10"/>
  <c r="T736" i="10" s="1"/>
  <c r="C80" i="10"/>
  <c r="T734" i="10" s="1"/>
  <c r="CF79" i="10"/>
  <c r="CE79" i="10"/>
  <c r="AJ79" i="10"/>
  <c r="S767" i="10" s="1"/>
  <c r="AJ78" i="10"/>
  <c r="R767" i="10" s="1"/>
  <c r="O78" i="10"/>
  <c r="CE78" i="10" s="1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G75" i="10"/>
  <c r="N764" i="10" s="1"/>
  <c r="AF75" i="10"/>
  <c r="N763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X75" i="10"/>
  <c r="N755" i="10" s="1"/>
  <c r="W75" i="10"/>
  <c r="N754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J74" i="10"/>
  <c r="AG74" i="10"/>
  <c r="AE74" i="10"/>
  <c r="AE75" i="10" s="1"/>
  <c r="N762" i="10" s="1"/>
  <c r="Y74" i="10"/>
  <c r="V74" i="10"/>
  <c r="V75" i="10" s="1"/>
  <c r="N753" i="10" s="1"/>
  <c r="U74" i="10"/>
  <c r="P74" i="10"/>
  <c r="AJ73" i="10"/>
  <c r="AG73" i="10"/>
  <c r="O764" i="10" s="1"/>
  <c r="Y73" i="10"/>
  <c r="O756" i="10" s="1"/>
  <c r="CD71" i="10"/>
  <c r="C575" i="10" s="1"/>
  <c r="CE70" i="10"/>
  <c r="M816" i="10" s="1"/>
  <c r="BY69" i="10"/>
  <c r="L808" i="10" s="1"/>
  <c r="BS69" i="10"/>
  <c r="L802" i="10" s="1"/>
  <c r="BR69" i="10"/>
  <c r="L801" i="10" s="1"/>
  <c r="BN69" i="10"/>
  <c r="L797" i="10" s="1"/>
  <c r="BK69" i="10"/>
  <c r="L794" i="10" s="1"/>
  <c r="BH69" i="10"/>
  <c r="L791" i="10" s="1"/>
  <c r="BE69" i="10"/>
  <c r="L788" i="10" s="1"/>
  <c r="AY69" i="10"/>
  <c r="L782" i="10" s="1"/>
  <c r="AR69" i="10"/>
  <c r="L775" i="10" s="1"/>
  <c r="AJ69" i="10"/>
  <c r="L767" i="10" s="1"/>
  <c r="AG69" i="10"/>
  <c r="L764" i="10" s="1"/>
  <c r="AE69" i="10"/>
  <c r="L762" i="10" s="1"/>
  <c r="AB69" i="10"/>
  <c r="L759" i="10" s="1"/>
  <c r="O69" i="10"/>
  <c r="BP68" i="10"/>
  <c r="K799" i="10" s="1"/>
  <c r="BK68" i="10"/>
  <c r="K794" i="10" s="1"/>
  <c r="BE68" i="10"/>
  <c r="K788" i="10" s="1"/>
  <c r="AJ68" i="10"/>
  <c r="K767" i="10" s="1"/>
  <c r="AE68" i="10"/>
  <c r="K762" i="10" s="1"/>
  <c r="AB68" i="10"/>
  <c r="K759" i="10" s="1"/>
  <c r="Y68" i="10"/>
  <c r="K756" i="10" s="1"/>
  <c r="P68" i="10"/>
  <c r="K747" i="10" s="1"/>
  <c r="BY66" i="10"/>
  <c r="I808" i="10" s="1"/>
  <c r="BS66" i="10"/>
  <c r="I802" i="10" s="1"/>
  <c r="BR66" i="10"/>
  <c r="I801" i="10" s="1"/>
  <c r="BN66" i="10"/>
  <c r="I797" i="10" s="1"/>
  <c r="BK66" i="10"/>
  <c r="I794" i="10" s="1"/>
  <c r="BH66" i="10"/>
  <c r="I791" i="10" s="1"/>
  <c r="BE66" i="10"/>
  <c r="I788" i="10" s="1"/>
  <c r="BB66" i="10"/>
  <c r="I785" i="10" s="1"/>
  <c r="AY66" i="10"/>
  <c r="I782" i="10" s="1"/>
  <c r="AR66" i="10"/>
  <c r="I775" i="10" s="1"/>
  <c r="AJ66" i="10"/>
  <c r="I767" i="10" s="1"/>
  <c r="AG66" i="10"/>
  <c r="I764" i="10" s="1"/>
  <c r="AE66" i="10"/>
  <c r="I762" i="10" s="1"/>
  <c r="AB66" i="10"/>
  <c r="I759" i="10" s="1"/>
  <c r="Q66" i="10"/>
  <c r="I748" i="10" s="1"/>
  <c r="P66" i="10"/>
  <c r="I747" i="10" s="1"/>
  <c r="O66" i="10"/>
  <c r="I746" i="10" s="1"/>
  <c r="E66" i="10"/>
  <c r="I736" i="10" s="1"/>
  <c r="C66" i="10"/>
  <c r="BK65" i="10"/>
  <c r="H794" i="10" s="1"/>
  <c r="BE65" i="10"/>
  <c r="H788" i="10" s="1"/>
  <c r="AJ65" i="10"/>
  <c r="BY64" i="10"/>
  <c r="G808" i="10" s="1"/>
  <c r="BR64" i="10"/>
  <c r="G801" i="10" s="1"/>
  <c r="BN64" i="10"/>
  <c r="G797" i="10" s="1"/>
  <c r="BK64" i="10"/>
  <c r="G794" i="10" s="1"/>
  <c r="BH64" i="10"/>
  <c r="G791" i="10" s="1"/>
  <c r="BE64" i="10"/>
  <c r="G788" i="10" s="1"/>
  <c r="AY64" i="10"/>
  <c r="G782" i="10" s="1"/>
  <c r="AR64" i="10"/>
  <c r="G775" i="10" s="1"/>
  <c r="AJ64" i="10"/>
  <c r="G767" i="10" s="1"/>
  <c r="AG64" i="10"/>
  <c r="G764" i="10" s="1"/>
  <c r="AE64" i="10"/>
  <c r="G762" i="10" s="1"/>
  <c r="AB64" i="10"/>
  <c r="G759" i="10" s="1"/>
  <c r="Q64" i="10"/>
  <c r="G748" i="10" s="1"/>
  <c r="P64" i="10"/>
  <c r="G747" i="10" s="1"/>
  <c r="O64" i="10"/>
  <c r="BR63" i="10"/>
  <c r="F801" i="10" s="1"/>
  <c r="BK63" i="10"/>
  <c r="F794" i="10" s="1"/>
  <c r="BE63" i="10"/>
  <c r="F788" i="10" s="1"/>
  <c r="AJ63" i="10"/>
  <c r="F767" i="10" s="1"/>
  <c r="P63" i="10"/>
  <c r="BY61" i="10"/>
  <c r="BN61" i="10"/>
  <c r="D797" i="10" s="1"/>
  <c r="BK61" i="10"/>
  <c r="D794" i="10" s="1"/>
  <c r="BH61" i="10"/>
  <c r="D791" i="10" s="1"/>
  <c r="AY61" i="10"/>
  <c r="D782" i="10" s="1"/>
  <c r="AR61" i="10"/>
  <c r="D775" i="10" s="1"/>
  <c r="AJ61" i="10"/>
  <c r="D767" i="10" s="1"/>
  <c r="AG61" i="10"/>
  <c r="AB61" i="10"/>
  <c r="D759" i="10" s="1"/>
  <c r="Y61" i="10"/>
  <c r="S61" i="10"/>
  <c r="D750" i="10" s="1"/>
  <c r="P61" i="10"/>
  <c r="O61" i="10"/>
  <c r="D746" i="10" s="1"/>
  <c r="E61" i="10"/>
  <c r="D736" i="10" s="1"/>
  <c r="BY60" i="10"/>
  <c r="C808" i="10" s="1"/>
  <c r="BN60" i="10"/>
  <c r="C797" i="10" s="1"/>
  <c r="BK60" i="10"/>
  <c r="C794" i="10" s="1"/>
  <c r="BH60" i="10"/>
  <c r="C791" i="10" s="1"/>
  <c r="AY60" i="10"/>
  <c r="C782" i="10" s="1"/>
  <c r="AR60" i="10"/>
  <c r="C775" i="10" s="1"/>
  <c r="AJ60" i="10"/>
  <c r="C767" i="10" s="1"/>
  <c r="AG60" i="10"/>
  <c r="C764" i="10" s="1"/>
  <c r="AB60" i="10"/>
  <c r="C759" i="10" s="1"/>
  <c r="Y60" i="10"/>
  <c r="C756" i="10" s="1"/>
  <c r="P60" i="10"/>
  <c r="C747" i="10" s="1"/>
  <c r="O60" i="10"/>
  <c r="C746" i="10" s="1"/>
  <c r="AR59" i="10"/>
  <c r="AL59" i="10"/>
  <c r="AK59" i="10"/>
  <c r="AE59" i="10"/>
  <c r="B762" i="10" s="1"/>
  <c r="AC59" i="10"/>
  <c r="Y59" i="10"/>
  <c r="B756" i="10" s="1"/>
  <c r="X59" i="10"/>
  <c r="B755" i="10" s="1"/>
  <c r="W59" i="10"/>
  <c r="U59" i="10"/>
  <c r="P59" i="10"/>
  <c r="B53" i="10"/>
  <c r="CE51" i="10"/>
  <c r="B49" i="10"/>
  <c r="CE47" i="10"/>
  <c r="D465" i="10" l="1"/>
  <c r="I734" i="10"/>
  <c r="I815" i="10" s="1"/>
  <c r="CE66" i="10"/>
  <c r="Y75" i="10"/>
  <c r="N756" i="10" s="1"/>
  <c r="N815" i="10" s="1"/>
  <c r="P816" i="10"/>
  <c r="D612" i="10"/>
  <c r="CF76" i="10"/>
  <c r="BZ52" i="10"/>
  <c r="BZ67" i="10" s="1"/>
  <c r="J809" i="10" s="1"/>
  <c r="BR52" i="10"/>
  <c r="BR67" i="10" s="1"/>
  <c r="J801" i="10" s="1"/>
  <c r="BJ52" i="10"/>
  <c r="BJ67" i="10" s="1"/>
  <c r="J793" i="10" s="1"/>
  <c r="AT52" i="10"/>
  <c r="AT67" i="10" s="1"/>
  <c r="J777" i="10" s="1"/>
  <c r="AL52" i="10"/>
  <c r="AL67" i="10" s="1"/>
  <c r="J769" i="10" s="1"/>
  <c r="V52" i="10"/>
  <c r="V67" i="10" s="1"/>
  <c r="J753" i="10" s="1"/>
  <c r="N52" i="10"/>
  <c r="N67" i="10" s="1"/>
  <c r="J745" i="10" s="1"/>
  <c r="F52" i="10"/>
  <c r="F67" i="10" s="1"/>
  <c r="J737" i="10" s="1"/>
  <c r="BW52" i="10"/>
  <c r="BW67" i="10" s="1"/>
  <c r="J806" i="10" s="1"/>
  <c r="BG52" i="10"/>
  <c r="BG67" i="10" s="1"/>
  <c r="J790" i="10" s="1"/>
  <c r="AY52" i="10"/>
  <c r="AY67" i="10" s="1"/>
  <c r="J782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E204" i="10"/>
  <c r="C476" i="10" s="1"/>
  <c r="C458" i="10"/>
  <c r="X52" i="10"/>
  <c r="X67" i="10" s="1"/>
  <c r="J755" i="10" s="1"/>
  <c r="AH52" i="10"/>
  <c r="AH67" i="10" s="1"/>
  <c r="J765" i="10" s="1"/>
  <c r="AS52" i="10"/>
  <c r="AS67" i="10" s="1"/>
  <c r="J776" i="10" s="1"/>
  <c r="BD52" i="10"/>
  <c r="BD67" i="10" s="1"/>
  <c r="J787" i="10" s="1"/>
  <c r="BY52" i="10"/>
  <c r="BY67" i="10" s="1"/>
  <c r="J808" i="10" s="1"/>
  <c r="CE73" i="10"/>
  <c r="CE74" i="10"/>
  <c r="C464" i="10" s="1"/>
  <c r="X726" i="10"/>
  <c r="E138" i="10"/>
  <c r="C414" i="10" s="1"/>
  <c r="D229" i="10"/>
  <c r="BT722" i="10"/>
  <c r="C439" i="10"/>
  <c r="B476" i="10"/>
  <c r="B775" i="10"/>
  <c r="E537" i="10"/>
  <c r="D756" i="10"/>
  <c r="P52" i="10"/>
  <c r="P67" i="10" s="1"/>
  <c r="J747" i="10" s="1"/>
  <c r="D808" i="10"/>
  <c r="H767" i="10"/>
  <c r="CE65" i="10"/>
  <c r="CE68" i="10"/>
  <c r="F505" i="10"/>
  <c r="R746" i="10"/>
  <c r="AK52" i="10"/>
  <c r="AK67" i="10" s="1"/>
  <c r="J768" i="10" s="1"/>
  <c r="R816" i="10"/>
  <c r="I612" i="10"/>
  <c r="C468" i="10"/>
  <c r="G52" i="10"/>
  <c r="G67" i="10" s="1"/>
  <c r="J738" i="10" s="1"/>
  <c r="Q52" i="10"/>
  <c r="Q67" i="10" s="1"/>
  <c r="J748" i="10" s="1"/>
  <c r="AB52" i="10"/>
  <c r="AB67" i="10" s="1"/>
  <c r="J759" i="10" s="1"/>
  <c r="AM52" i="10"/>
  <c r="AM67" i="10" s="1"/>
  <c r="J770" i="10" s="1"/>
  <c r="AW52" i="10"/>
  <c r="AW67" i="10" s="1"/>
  <c r="J780" i="10" s="1"/>
  <c r="BH52" i="10"/>
  <c r="BH67" i="10" s="1"/>
  <c r="J791" i="10" s="1"/>
  <c r="BS52" i="10"/>
  <c r="BS67" i="10" s="1"/>
  <c r="J802" i="10" s="1"/>
  <c r="CC52" i="10"/>
  <c r="CC67" i="10" s="1"/>
  <c r="J812" i="10" s="1"/>
  <c r="B760" i="10"/>
  <c r="E522" i="10"/>
  <c r="D764" i="10"/>
  <c r="CE61" i="10"/>
  <c r="G746" i="10"/>
  <c r="CE64" i="10"/>
  <c r="L746" i="10"/>
  <c r="CE69" i="10"/>
  <c r="Z726" i="10"/>
  <c r="E140" i="10"/>
  <c r="D292" i="10"/>
  <c r="D341" i="10" s="1"/>
  <c r="C481" i="10" s="1"/>
  <c r="B752" i="10"/>
  <c r="E514" i="10"/>
  <c r="D747" i="10"/>
  <c r="D815" i="10" s="1"/>
  <c r="O767" i="10"/>
  <c r="AJ75" i="10"/>
  <c r="N767" i="10" s="1"/>
  <c r="E52" i="10"/>
  <c r="E67" i="10" s="1"/>
  <c r="J736" i="10" s="1"/>
  <c r="Z52" i="10"/>
  <c r="Z67" i="10" s="1"/>
  <c r="J757" i="10" s="1"/>
  <c r="AV52" i="10"/>
  <c r="AV67" i="10" s="1"/>
  <c r="J779" i="10" s="1"/>
  <c r="BQ52" i="10"/>
  <c r="BQ67" i="10" s="1"/>
  <c r="J800" i="10" s="1"/>
  <c r="CB52" i="10"/>
  <c r="CB67" i="10" s="1"/>
  <c r="J811" i="10" s="1"/>
  <c r="E517" i="10"/>
  <c r="H52" i="10"/>
  <c r="H67" i="10" s="1"/>
  <c r="J739" i="10" s="1"/>
  <c r="R52" i="10"/>
  <c r="R67" i="10" s="1"/>
  <c r="J749" i="10" s="1"/>
  <c r="AC52" i="10"/>
  <c r="AC67" i="10" s="1"/>
  <c r="J760" i="10" s="1"/>
  <c r="AN52" i="10"/>
  <c r="AN67" i="10" s="1"/>
  <c r="J771" i="10" s="1"/>
  <c r="AX52" i="10"/>
  <c r="AX67" i="10" s="1"/>
  <c r="J781" i="10" s="1"/>
  <c r="BI52" i="10"/>
  <c r="BI67" i="10" s="1"/>
  <c r="J792" i="10" s="1"/>
  <c r="BT52" i="10"/>
  <c r="BT67" i="10" s="1"/>
  <c r="J803" i="10" s="1"/>
  <c r="CE60" i="10"/>
  <c r="D438" i="10"/>
  <c r="S816" i="10"/>
  <c r="J612" i="10"/>
  <c r="F540" i="10"/>
  <c r="H540" i="10"/>
  <c r="B747" i="10"/>
  <c r="E509" i="10"/>
  <c r="B769" i="10"/>
  <c r="E531" i="10"/>
  <c r="F747" i="10"/>
  <c r="CE63" i="10"/>
  <c r="CE75" i="10"/>
  <c r="B768" i="10"/>
  <c r="E530" i="10"/>
  <c r="B444" i="10"/>
  <c r="H497" i="10"/>
  <c r="F497" i="10"/>
  <c r="L815" i="10"/>
  <c r="H539" i="10"/>
  <c r="F539" i="10"/>
  <c r="B754" i="10"/>
  <c r="E516" i="10"/>
  <c r="N817" i="10"/>
  <c r="B465" i="10"/>
  <c r="F517" i="10"/>
  <c r="H523" i="10"/>
  <c r="F523" i="10"/>
  <c r="H528" i="10"/>
  <c r="F528" i="10"/>
  <c r="F534" i="10"/>
  <c r="Q816" i="10"/>
  <c r="G612" i="10"/>
  <c r="T815" i="10"/>
  <c r="CE80" i="10"/>
  <c r="F510" i="10"/>
  <c r="F514" i="10"/>
  <c r="H535" i="10"/>
  <c r="F535" i="10"/>
  <c r="C815" i="10"/>
  <c r="O815" i="10"/>
  <c r="F815" i="10"/>
  <c r="P815" i="10"/>
  <c r="G815" i="10"/>
  <c r="Q815" i="10"/>
  <c r="H815" i="10"/>
  <c r="K815" i="10"/>
  <c r="S815" i="10"/>
  <c r="R815" i="10"/>
  <c r="M815" i="10"/>
  <c r="G816" i="10" l="1"/>
  <c r="F612" i="10"/>
  <c r="C430" i="10"/>
  <c r="H816" i="10"/>
  <c r="C431" i="10"/>
  <c r="BV52" i="10"/>
  <c r="BV67" i="10" s="1"/>
  <c r="J805" i="10" s="1"/>
  <c r="BL52" i="10"/>
  <c r="BL67" i="10" s="1"/>
  <c r="J795" i="10" s="1"/>
  <c r="BA52" i="10"/>
  <c r="BA67" i="10" s="1"/>
  <c r="J784" i="10" s="1"/>
  <c r="AP52" i="10"/>
  <c r="AP67" i="10" s="1"/>
  <c r="J773" i="10" s="1"/>
  <c r="AF52" i="10"/>
  <c r="AF67" i="10" s="1"/>
  <c r="J763" i="10" s="1"/>
  <c r="U52" i="10"/>
  <c r="U67" i="10" s="1"/>
  <c r="J752" i="10" s="1"/>
  <c r="J52" i="10"/>
  <c r="J67" i="10" s="1"/>
  <c r="J741" i="10" s="1"/>
  <c r="AZ52" i="10"/>
  <c r="AZ67" i="10" s="1"/>
  <c r="J783" i="10" s="1"/>
  <c r="BP52" i="10"/>
  <c r="BP67" i="10" s="1"/>
  <c r="J799" i="10" s="1"/>
  <c r="AJ52" i="10"/>
  <c r="AJ67" i="10" s="1"/>
  <c r="J767" i="10" s="1"/>
  <c r="O52" i="10"/>
  <c r="O67" i="10" s="1"/>
  <c r="J746" i="10" s="1"/>
  <c r="BC52" i="10"/>
  <c r="BC67" i="10" s="1"/>
  <c r="J786" i="10" s="1"/>
  <c r="W52" i="10"/>
  <c r="W67" i="10" s="1"/>
  <c r="J754" i="10" s="1"/>
  <c r="BU52" i="10"/>
  <c r="BU67" i="10" s="1"/>
  <c r="J804" i="10" s="1"/>
  <c r="T52" i="10"/>
  <c r="T67" i="10" s="1"/>
  <c r="J751" i="10" s="1"/>
  <c r="CA52" i="10"/>
  <c r="CA67" i="10" s="1"/>
  <c r="J810" i="10" s="1"/>
  <c r="BE52" i="10"/>
  <c r="BE67" i="10" s="1"/>
  <c r="J788" i="10" s="1"/>
  <c r="Y52" i="10"/>
  <c r="Y67" i="10" s="1"/>
  <c r="J756" i="10" s="1"/>
  <c r="D52" i="10"/>
  <c r="D67" i="10" s="1"/>
  <c r="J735" i="10" s="1"/>
  <c r="BM52" i="10"/>
  <c r="BM67" i="10" s="1"/>
  <c r="J796" i="10" s="1"/>
  <c r="L52" i="10"/>
  <c r="L67" i="10" s="1"/>
  <c r="J743" i="10" s="1"/>
  <c r="BK52" i="10"/>
  <c r="BK67" i="10" s="1"/>
  <c r="J794" i="10" s="1"/>
  <c r="AE52" i="10"/>
  <c r="AE67" i="10" s="1"/>
  <c r="J762" i="10" s="1"/>
  <c r="AU52" i="10"/>
  <c r="AU67" i="10" s="1"/>
  <c r="J778" i="10" s="1"/>
  <c r="AR52" i="10"/>
  <c r="AR67" i="10" s="1"/>
  <c r="J775" i="10" s="1"/>
  <c r="BX52" i="10"/>
  <c r="BX67" i="10" s="1"/>
  <c r="J807" i="10" s="1"/>
  <c r="AG52" i="10"/>
  <c r="AG67" i="10" s="1"/>
  <c r="J764" i="10" s="1"/>
  <c r="AO52" i="10"/>
  <c r="AO67" i="10" s="1"/>
  <c r="J772" i="10" s="1"/>
  <c r="I52" i="10"/>
  <c r="I67" i="10" s="1"/>
  <c r="J740" i="10" s="1"/>
  <c r="D816" i="10"/>
  <c r="C427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S48" i="10"/>
  <c r="BS62" i="10" s="1"/>
  <c r="BH48" i="10"/>
  <c r="BH62" i="10" s="1"/>
  <c r="AX48" i="10"/>
  <c r="AX62" i="10" s="1"/>
  <c r="AM48" i="10"/>
  <c r="AM62" i="10" s="1"/>
  <c r="AB48" i="10"/>
  <c r="AB62" i="10" s="1"/>
  <c r="R48" i="10"/>
  <c r="R62" i="10" s="1"/>
  <c r="G48" i="10"/>
  <c r="G62" i="10" s="1"/>
  <c r="CC48" i="10"/>
  <c r="CC62" i="10" s="1"/>
  <c r="AA48" i="10"/>
  <c r="AA62" i="10" s="1"/>
  <c r="CA48" i="10"/>
  <c r="CA62" i="10" s="1"/>
  <c r="BP48" i="10"/>
  <c r="BP62" i="10" s="1"/>
  <c r="BF48" i="10"/>
  <c r="BF62" i="10" s="1"/>
  <c r="AU48" i="10"/>
  <c r="AU62" i="10" s="1"/>
  <c r="AJ48" i="10"/>
  <c r="AJ62" i="10" s="1"/>
  <c r="Z48" i="10"/>
  <c r="Z62" i="10" s="1"/>
  <c r="O48" i="10"/>
  <c r="O62" i="10" s="1"/>
  <c r="D48" i="10"/>
  <c r="D62" i="10" s="1"/>
  <c r="BN48" i="10"/>
  <c r="BN62" i="10" s="1"/>
  <c r="AH48" i="10"/>
  <c r="AH62" i="10" s="1"/>
  <c r="BM48" i="10"/>
  <c r="BM62" i="10" s="1"/>
  <c r="V48" i="10"/>
  <c r="V62" i="10" s="1"/>
  <c r="AL48" i="10"/>
  <c r="AL62" i="10" s="1"/>
  <c r="BZ48" i="10"/>
  <c r="BZ62" i="10" s="1"/>
  <c r="BO48" i="10"/>
  <c r="BO62" i="10" s="1"/>
  <c r="BE48" i="10"/>
  <c r="BE62" i="10" s="1"/>
  <c r="AT48" i="10"/>
  <c r="AT62" i="10" s="1"/>
  <c r="AI48" i="10"/>
  <c r="AI62" i="10" s="1"/>
  <c r="Y48" i="10"/>
  <c r="Y62" i="10" s="1"/>
  <c r="N48" i="10"/>
  <c r="N62" i="10" s="1"/>
  <c r="C48" i="10"/>
  <c r="BX48" i="10"/>
  <c r="BX62" i="10" s="1"/>
  <c r="AR48" i="10"/>
  <c r="AR62" i="10" s="1"/>
  <c r="L48" i="10"/>
  <c r="L62" i="10" s="1"/>
  <c r="BC48" i="10"/>
  <c r="BC62" i="10" s="1"/>
  <c r="W48" i="10"/>
  <c r="W62" i="10" s="1"/>
  <c r="BB48" i="10"/>
  <c r="BB62" i="10" s="1"/>
  <c r="AQ48" i="10"/>
  <c r="AQ62" i="10" s="1"/>
  <c r="K48" i="10"/>
  <c r="K62" i="10" s="1"/>
  <c r="BJ48" i="10"/>
  <c r="BJ62" i="10" s="1"/>
  <c r="AD48" i="10"/>
  <c r="AD62" i="10" s="1"/>
  <c r="BG48" i="10"/>
  <c r="BG62" i="10" s="1"/>
  <c r="Q48" i="10"/>
  <c r="Q62" i="10" s="1"/>
  <c r="BW48" i="10"/>
  <c r="BW62" i="10" s="1"/>
  <c r="AG48" i="10"/>
  <c r="AG62" i="10" s="1"/>
  <c r="AY48" i="10"/>
  <c r="AY62" i="10" s="1"/>
  <c r="I48" i="10"/>
  <c r="I62" i="10" s="1"/>
  <c r="BR48" i="10"/>
  <c r="BR62" i="10" s="1"/>
  <c r="F48" i="10"/>
  <c r="F62" i="10" s="1"/>
  <c r="BV48" i="10"/>
  <c r="BV62" i="10" s="1"/>
  <c r="BK48" i="10"/>
  <c r="BK62" i="10" s="1"/>
  <c r="AZ48" i="10"/>
  <c r="AZ62" i="10" s="1"/>
  <c r="AP48" i="10"/>
  <c r="AP62" i="10" s="1"/>
  <c r="AE48" i="10"/>
  <c r="AE62" i="10" s="1"/>
  <c r="T48" i="10"/>
  <c r="T62" i="10" s="1"/>
  <c r="J48" i="10"/>
  <c r="J62" i="10" s="1"/>
  <c r="BU48" i="10"/>
  <c r="BU62" i="10" s="1"/>
  <c r="AO48" i="10"/>
  <c r="AO62" i="10" s="1"/>
  <c r="S48" i="10"/>
  <c r="S62" i="10" s="1"/>
  <c r="AW48" i="10"/>
  <c r="AW62" i="10" s="1"/>
  <c r="F816" i="10"/>
  <c r="C429" i="10"/>
  <c r="K816" i="10"/>
  <c r="C434" i="10"/>
  <c r="T816" i="10"/>
  <c r="L612" i="10"/>
  <c r="O816" i="10"/>
  <c r="C463" i="10"/>
  <c r="M52" i="10"/>
  <c r="M67" i="10" s="1"/>
  <c r="J744" i="10" s="1"/>
  <c r="AQ52" i="10"/>
  <c r="AQ67" i="10" s="1"/>
  <c r="J774" i="10" s="1"/>
  <c r="AD52" i="10"/>
  <c r="AD67" i="10" s="1"/>
  <c r="J761" i="10" s="1"/>
  <c r="BF52" i="10"/>
  <c r="BF67" i="10" s="1"/>
  <c r="J789" i="10" s="1"/>
  <c r="BN52" i="10"/>
  <c r="BN67" i="10" s="1"/>
  <c r="J797" i="10" s="1"/>
  <c r="C52" i="10"/>
  <c r="BO52" i="10"/>
  <c r="BO67" i="10" s="1"/>
  <c r="J798" i="10" s="1"/>
  <c r="BB52" i="10"/>
  <c r="BB67" i="10" s="1"/>
  <c r="J785" i="10" s="1"/>
  <c r="I816" i="10"/>
  <c r="C432" i="10"/>
  <c r="N816" i="10"/>
  <c r="K612" i="10"/>
  <c r="C465" i="10"/>
  <c r="C816" i="10"/>
  <c r="BI730" i="10"/>
  <c r="H612" i="10"/>
  <c r="D242" i="10"/>
  <c r="B448" i="10" s="1"/>
  <c r="B445" i="10"/>
  <c r="L816" i="10"/>
  <c r="C440" i="10"/>
  <c r="E750" i="10" l="1"/>
  <c r="S71" i="10"/>
  <c r="E777" i="10"/>
  <c r="AT71" i="10"/>
  <c r="E784" i="10"/>
  <c r="BA71" i="10"/>
  <c r="E737" i="10"/>
  <c r="F71" i="10"/>
  <c r="E798" i="10"/>
  <c r="BO71" i="10"/>
  <c r="E736" i="10"/>
  <c r="E71" i="10"/>
  <c r="E741" i="10"/>
  <c r="J71" i="10"/>
  <c r="E801" i="10"/>
  <c r="BR71" i="10"/>
  <c r="E793" i="10"/>
  <c r="BJ71" i="10"/>
  <c r="E807" i="10"/>
  <c r="BX71" i="10"/>
  <c r="E809" i="10"/>
  <c r="BZ71" i="10"/>
  <c r="E757" i="10"/>
  <c r="Z71" i="10"/>
  <c r="E738" i="10"/>
  <c r="G71" i="10"/>
  <c r="E744" i="10"/>
  <c r="M71" i="10"/>
  <c r="E808" i="10"/>
  <c r="BY71" i="10"/>
  <c r="E795" i="10"/>
  <c r="BL71" i="10"/>
  <c r="E764" i="10"/>
  <c r="AG71" i="10"/>
  <c r="CE52" i="10"/>
  <c r="C67" i="10"/>
  <c r="E797" i="10"/>
  <c r="BN71" i="10"/>
  <c r="E804" i="10"/>
  <c r="BU71" i="10"/>
  <c r="E775" i="10"/>
  <c r="AR71" i="10"/>
  <c r="E812" i="10"/>
  <c r="CC71" i="10"/>
  <c r="E787" i="10"/>
  <c r="BD71" i="10"/>
  <c r="E751" i="10"/>
  <c r="T71" i="10"/>
  <c r="E740" i="10"/>
  <c r="I71" i="10"/>
  <c r="E742" i="10"/>
  <c r="K71" i="10"/>
  <c r="CE48" i="10"/>
  <c r="C62" i="10"/>
  <c r="E769" i="10"/>
  <c r="AL71" i="10"/>
  <c r="E767" i="10"/>
  <c r="AJ71" i="10"/>
  <c r="E749" i="10"/>
  <c r="R71" i="10"/>
  <c r="E752" i="10"/>
  <c r="U71" i="10"/>
  <c r="E739" i="10"/>
  <c r="H71" i="10"/>
  <c r="E803" i="10"/>
  <c r="BT71" i="10"/>
  <c r="E794" i="10"/>
  <c r="BK71" i="10"/>
  <c r="E786" i="10"/>
  <c r="BC71" i="10"/>
  <c r="E810" i="10"/>
  <c r="CA71" i="10"/>
  <c r="E771" i="10"/>
  <c r="AN71" i="10"/>
  <c r="E761" i="10"/>
  <c r="AD71" i="10"/>
  <c r="E746" i="10"/>
  <c r="O71" i="10"/>
  <c r="E800" i="10"/>
  <c r="BQ71" i="10"/>
  <c r="E762" i="10"/>
  <c r="AE71" i="10"/>
  <c r="E782" i="10"/>
  <c r="AY71" i="10"/>
  <c r="E774" i="10"/>
  <c r="AQ71" i="10"/>
  <c r="E745" i="10"/>
  <c r="N71" i="10"/>
  <c r="E753" i="10"/>
  <c r="V71" i="10"/>
  <c r="E778" i="10"/>
  <c r="AU71" i="10"/>
  <c r="E759" i="10"/>
  <c r="AB71" i="10"/>
  <c r="E760" i="10"/>
  <c r="AC71" i="10"/>
  <c r="E747" i="10"/>
  <c r="P71" i="10"/>
  <c r="E811" i="10"/>
  <c r="CB71" i="10"/>
  <c r="E773" i="10"/>
  <c r="AP71" i="10"/>
  <c r="E756" i="10"/>
  <c r="Y71" i="10"/>
  <c r="E796" i="10"/>
  <c r="BM71" i="10"/>
  <c r="E789" i="10"/>
  <c r="BF71" i="10"/>
  <c r="E770" i="10"/>
  <c r="AM71" i="10"/>
  <c r="E768" i="10"/>
  <c r="AK71" i="10"/>
  <c r="E755" i="10"/>
  <c r="X71" i="10"/>
  <c r="E780" i="10"/>
  <c r="AW71" i="10"/>
  <c r="E783" i="10"/>
  <c r="AZ71" i="10"/>
  <c r="E806" i="10"/>
  <c r="BW71" i="10"/>
  <c r="E754" i="10"/>
  <c r="W71" i="10"/>
  <c r="E766" i="10"/>
  <c r="AI71" i="10"/>
  <c r="E765" i="10"/>
  <c r="AH71" i="10"/>
  <c r="E799" i="10"/>
  <c r="BP71" i="10"/>
  <c r="E781" i="10"/>
  <c r="AX71" i="10"/>
  <c r="E776" i="10"/>
  <c r="AS71" i="10"/>
  <c r="E763" i="10"/>
  <c r="AF71" i="10"/>
  <c r="E785" i="10"/>
  <c r="BB71" i="10"/>
  <c r="E748" i="10"/>
  <c r="Q71" i="10"/>
  <c r="E791" i="10"/>
  <c r="BH71" i="10"/>
  <c r="E772" i="10"/>
  <c r="AO71" i="10"/>
  <c r="E805" i="10"/>
  <c r="BV71" i="10"/>
  <c r="E790" i="10"/>
  <c r="BG71" i="10"/>
  <c r="E743" i="10"/>
  <c r="L71" i="10"/>
  <c r="E788" i="10"/>
  <c r="BE71" i="10"/>
  <c r="E735" i="10"/>
  <c r="D71" i="10"/>
  <c r="E758" i="10"/>
  <c r="AA71" i="10"/>
  <c r="E802" i="10"/>
  <c r="BS71" i="10"/>
  <c r="E792" i="10"/>
  <c r="BI71" i="10"/>
  <c r="E779" i="10"/>
  <c r="AV71" i="10"/>
  <c r="C701" i="10" l="1"/>
  <c r="C529" i="10"/>
  <c r="C617" i="10"/>
  <c r="C555" i="10"/>
  <c r="C713" i="10"/>
  <c r="C541" i="10"/>
  <c r="C561" i="10"/>
  <c r="C621" i="10"/>
  <c r="C694" i="10"/>
  <c r="C522" i="10"/>
  <c r="C703" i="10"/>
  <c r="C531" i="10"/>
  <c r="C685" i="10"/>
  <c r="C513" i="10"/>
  <c r="G513" i="10" s="1"/>
  <c r="C641" i="10"/>
  <c r="C566" i="10"/>
  <c r="C563" i="10"/>
  <c r="C626" i="10"/>
  <c r="C671" i="10"/>
  <c r="C499" i="10"/>
  <c r="G499" i="10" s="1"/>
  <c r="C554" i="10"/>
  <c r="C634" i="10"/>
  <c r="C614" i="10"/>
  <c r="C550" i="10"/>
  <c r="C706" i="10"/>
  <c r="C534" i="10"/>
  <c r="C697" i="10"/>
  <c r="C525" i="10"/>
  <c r="G525" i="10" s="1"/>
  <c r="C699" i="10"/>
  <c r="C527" i="10"/>
  <c r="G527" i="10" s="1"/>
  <c r="C545" i="10"/>
  <c r="G545" i="10" s="1"/>
  <c r="C628" i="10"/>
  <c r="C704" i="10"/>
  <c r="C532" i="10"/>
  <c r="G532" i="10" s="1"/>
  <c r="C707" i="10"/>
  <c r="C535" i="10"/>
  <c r="G535" i="10" s="1"/>
  <c r="C521" i="10"/>
  <c r="C693" i="10"/>
  <c r="C708" i="10"/>
  <c r="C536" i="10"/>
  <c r="G536" i="10" s="1"/>
  <c r="C508" i="10"/>
  <c r="C680" i="10"/>
  <c r="C640" i="10"/>
  <c r="C565" i="10"/>
  <c r="C709" i="10"/>
  <c r="C537" i="10"/>
  <c r="C684" i="10"/>
  <c r="C512" i="10"/>
  <c r="C632" i="10"/>
  <c r="C547" i="10"/>
  <c r="C702" i="10"/>
  <c r="C530" i="10"/>
  <c r="C562" i="10"/>
  <c r="C623" i="10"/>
  <c r="C647" i="10"/>
  <c r="C572" i="10"/>
  <c r="C691" i="10"/>
  <c r="C519" i="10"/>
  <c r="G519" i="10" s="1"/>
  <c r="C548" i="10"/>
  <c r="C633" i="10"/>
  <c r="C514" i="10"/>
  <c r="C686" i="10"/>
  <c r="E734" i="10"/>
  <c r="E815" i="10" s="1"/>
  <c r="C71" i="10"/>
  <c r="CE62" i="10"/>
  <c r="C549" i="10"/>
  <c r="C624" i="10"/>
  <c r="C559" i="10"/>
  <c r="C619" i="10"/>
  <c r="C645" i="10"/>
  <c r="C570" i="10"/>
  <c r="C646" i="10"/>
  <c r="C571" i="10"/>
  <c r="C675" i="10"/>
  <c r="C503" i="10"/>
  <c r="C546" i="10"/>
  <c r="C630" i="10"/>
  <c r="C674" i="10"/>
  <c r="C502" i="10"/>
  <c r="G502" i="10" s="1"/>
  <c r="C672" i="10"/>
  <c r="C500" i="10"/>
  <c r="G500" i="10" s="1"/>
  <c r="C642" i="10"/>
  <c r="C567" i="10"/>
  <c r="C690" i="10"/>
  <c r="C518" i="10"/>
  <c r="C673" i="10"/>
  <c r="C501" i="10"/>
  <c r="G501" i="10" s="1"/>
  <c r="C637" i="10"/>
  <c r="C557" i="10"/>
  <c r="C639" i="10"/>
  <c r="C564" i="10"/>
  <c r="C677" i="10"/>
  <c r="C505" i="10"/>
  <c r="C553" i="10"/>
  <c r="C636" i="10"/>
  <c r="C710" i="10"/>
  <c r="C538" i="10"/>
  <c r="G538" i="10" s="1"/>
  <c r="C528" i="10"/>
  <c r="G528" i="10" s="1"/>
  <c r="C700" i="10"/>
  <c r="C631" i="10"/>
  <c r="C542" i="10"/>
  <c r="C551" i="10"/>
  <c r="C629" i="10"/>
  <c r="C573" i="10"/>
  <c r="C622" i="10"/>
  <c r="C540" i="10"/>
  <c r="G540" i="10" s="1"/>
  <c r="C712" i="10"/>
  <c r="C625" i="10"/>
  <c r="C544" i="10"/>
  <c r="C695" i="10"/>
  <c r="C523" i="10"/>
  <c r="G523" i="10" s="1"/>
  <c r="C635" i="10"/>
  <c r="C556" i="10"/>
  <c r="C683" i="10"/>
  <c r="C511" i="10"/>
  <c r="G511" i="10" s="1"/>
  <c r="C676" i="10"/>
  <c r="C504" i="10"/>
  <c r="G504" i="10" s="1"/>
  <c r="C574" i="10"/>
  <c r="C620" i="10"/>
  <c r="J734" i="10"/>
  <c r="J815" i="10" s="1"/>
  <c r="CE67" i="10"/>
  <c r="C678" i="10"/>
  <c r="C506" i="10"/>
  <c r="G506" i="10" s="1"/>
  <c r="C644" i="10"/>
  <c r="C569" i="10"/>
  <c r="C670" i="10"/>
  <c r="C498" i="10"/>
  <c r="C711" i="10"/>
  <c r="C539" i="10"/>
  <c r="G539" i="10" s="1"/>
  <c r="C520" i="10"/>
  <c r="G520" i="10" s="1"/>
  <c r="C692" i="10"/>
  <c r="C618" i="10"/>
  <c r="C552" i="10"/>
  <c r="C682" i="10"/>
  <c r="C510" i="10"/>
  <c r="C543" i="10"/>
  <c r="C616" i="10"/>
  <c r="C688" i="10"/>
  <c r="C516" i="10"/>
  <c r="C517" i="10"/>
  <c r="C689" i="10"/>
  <c r="C638" i="10"/>
  <c r="C558" i="10"/>
  <c r="C509" i="10"/>
  <c r="C681" i="10"/>
  <c r="C687" i="10"/>
  <c r="C515" i="10"/>
  <c r="C696" i="10"/>
  <c r="C524" i="10"/>
  <c r="C705" i="10"/>
  <c r="C533" i="10"/>
  <c r="G533" i="10" s="1"/>
  <c r="C698" i="10"/>
  <c r="C526" i="10"/>
  <c r="C627" i="10"/>
  <c r="C560" i="10"/>
  <c r="C497" i="10"/>
  <c r="G497" i="10" s="1"/>
  <c r="C669" i="10"/>
  <c r="C643" i="10"/>
  <c r="C568" i="10"/>
  <c r="C679" i="10"/>
  <c r="C507" i="10"/>
  <c r="G507" i="10" s="1"/>
  <c r="G509" i="10" l="1"/>
  <c r="H509" i="10"/>
  <c r="C715" i="10"/>
  <c r="D615" i="10"/>
  <c r="C648" i="10"/>
  <c r="M716" i="10" s="1"/>
  <c r="Y816" i="10" s="1"/>
  <c r="G550" i="10"/>
  <c r="H550" i="10"/>
  <c r="G498" i="10"/>
  <c r="H498" i="10" s="1"/>
  <c r="H537" i="10"/>
  <c r="G537" i="10"/>
  <c r="G510" i="10"/>
  <c r="H510" i="10"/>
  <c r="H524" i="10"/>
  <c r="G524" i="10"/>
  <c r="G544" i="10"/>
  <c r="H544" i="10" s="1"/>
  <c r="G505" i="10"/>
  <c r="H505" i="10"/>
  <c r="G518" i="10"/>
  <c r="H518" i="10" s="1"/>
  <c r="G514" i="10"/>
  <c r="H514" i="10"/>
  <c r="G521" i="10"/>
  <c r="H521" i="10"/>
  <c r="C668" i="10"/>
  <c r="C496" i="10"/>
  <c r="G530" i="10"/>
  <c r="H530" i="10" s="1"/>
  <c r="G531" i="10"/>
  <c r="H531" i="10"/>
  <c r="G512" i="10"/>
  <c r="H512" i="10"/>
  <c r="G517" i="10"/>
  <c r="H517" i="10"/>
  <c r="G546" i="10"/>
  <c r="H546" i="10"/>
  <c r="G515" i="10"/>
  <c r="H515" i="10"/>
  <c r="G516" i="10"/>
  <c r="H516" i="10" s="1"/>
  <c r="G503" i="10"/>
  <c r="H503" i="10" s="1"/>
  <c r="G534" i="10"/>
  <c r="H534" i="10"/>
  <c r="G522" i="10"/>
  <c r="H522" i="10"/>
  <c r="G529" i="10"/>
  <c r="H529" i="10" s="1"/>
  <c r="G526" i="10"/>
  <c r="H526" i="10"/>
  <c r="J816" i="10"/>
  <c r="C433" i="10"/>
  <c r="E816" i="10"/>
  <c r="C428" i="10"/>
  <c r="C441" i="10" s="1"/>
  <c r="CE71" i="10"/>
  <c r="C716" i="10" s="1"/>
  <c r="G508" i="10"/>
  <c r="H508" i="10"/>
  <c r="G496" i="10" l="1"/>
  <c r="H496" i="10"/>
  <c r="D712" i="10"/>
  <c r="D704" i="10"/>
  <c r="D696" i="10"/>
  <c r="D706" i="10"/>
  <c r="D698" i="10"/>
  <c r="D710" i="10"/>
  <c r="D702" i="10"/>
  <c r="D694" i="10"/>
  <c r="D716" i="10"/>
  <c r="D707" i="10"/>
  <c r="D699" i="10"/>
  <c r="D700" i="10"/>
  <c r="D688" i="10"/>
  <c r="D680" i="10"/>
  <c r="D672" i="10"/>
  <c r="D711" i="10"/>
  <c r="D695" i="10"/>
  <c r="D687" i="10"/>
  <c r="D679" i="10"/>
  <c r="D671" i="10"/>
  <c r="D705" i="10"/>
  <c r="D703" i="10"/>
  <c r="D701" i="10"/>
  <c r="D675" i="10"/>
  <c r="D674" i="10"/>
  <c r="D673" i="10"/>
  <c r="D642" i="10"/>
  <c r="D638" i="10"/>
  <c r="D623" i="10"/>
  <c r="D619" i="10"/>
  <c r="D697" i="10"/>
  <c r="D670" i="10"/>
  <c r="D669" i="10"/>
  <c r="D668" i="10"/>
  <c r="D647" i="10"/>
  <c r="D709" i="10"/>
  <c r="D692" i="10"/>
  <c r="D678" i="10"/>
  <c r="D646" i="10"/>
  <c r="D631" i="10"/>
  <c r="D617" i="10"/>
  <c r="D683" i="10"/>
  <c r="D632" i="10"/>
  <c r="D621" i="10"/>
  <c r="D708" i="10"/>
  <c r="D693" i="10"/>
  <c r="D684" i="10"/>
  <c r="D644" i="10"/>
  <c r="D641" i="10"/>
  <c r="D633" i="10"/>
  <c r="D628" i="10"/>
  <c r="D616" i="10"/>
  <c r="D689" i="10"/>
  <c r="D634" i="10"/>
  <c r="D626" i="10"/>
  <c r="D624" i="10"/>
  <c r="D620" i="10"/>
  <c r="D690" i="10"/>
  <c r="D681" i="10"/>
  <c r="D636" i="10"/>
  <c r="D629" i="10"/>
  <c r="D691" i="10"/>
  <c r="D682" i="10"/>
  <c r="D643" i="10"/>
  <c r="D640" i="10"/>
  <c r="D637" i="10"/>
  <c r="D630" i="10"/>
  <c r="D627" i="10"/>
  <c r="D625" i="10"/>
  <c r="D622" i="10"/>
  <c r="D676" i="10"/>
  <c r="D645" i="10"/>
  <c r="D639" i="10"/>
  <c r="D677" i="10"/>
  <c r="D713" i="10"/>
  <c r="D686" i="10"/>
  <c r="D618" i="10"/>
  <c r="D685" i="10"/>
  <c r="D635" i="10"/>
  <c r="D715" i="10" l="1"/>
  <c r="E623" i="10"/>
  <c r="E612" i="10"/>
  <c r="E709" i="10" l="1"/>
  <c r="E701" i="10"/>
  <c r="E711" i="10"/>
  <c r="E703" i="10"/>
  <c r="E695" i="10"/>
  <c r="E716" i="10"/>
  <c r="E707" i="10"/>
  <c r="E699" i="10"/>
  <c r="E712" i="10"/>
  <c r="E704" i="10"/>
  <c r="E696" i="10"/>
  <c r="E713" i="10"/>
  <c r="E697" i="10"/>
  <c r="E693" i="10"/>
  <c r="E685" i="10"/>
  <c r="E677" i="10"/>
  <c r="E669" i="10"/>
  <c r="E708" i="10"/>
  <c r="E692" i="10"/>
  <c r="E684" i="10"/>
  <c r="E676" i="10"/>
  <c r="E668" i="10"/>
  <c r="E672" i="10"/>
  <c r="E671" i="10"/>
  <c r="E670" i="10"/>
  <c r="E647" i="10"/>
  <c r="E625" i="10"/>
  <c r="E706" i="10"/>
  <c r="E683" i="10"/>
  <c r="E674" i="10"/>
  <c r="E632" i="10"/>
  <c r="E698" i="10"/>
  <c r="E688" i="10"/>
  <c r="E679" i="10"/>
  <c r="E644" i="10"/>
  <c r="E641" i="10"/>
  <c r="E638" i="10"/>
  <c r="E633" i="10"/>
  <c r="E628" i="10"/>
  <c r="E689" i="10"/>
  <c r="E675" i="10"/>
  <c r="E634" i="10"/>
  <c r="E626" i="10"/>
  <c r="E624" i="10"/>
  <c r="E700" i="10"/>
  <c r="E680" i="10"/>
  <c r="E645" i="10"/>
  <c r="E639" i="10"/>
  <c r="E635" i="10"/>
  <c r="E702" i="10"/>
  <c r="E686" i="10"/>
  <c r="E687" i="10"/>
  <c r="E678" i="10"/>
  <c r="E646" i="10"/>
  <c r="E631" i="10"/>
  <c r="E710" i="10"/>
  <c r="E681" i="10"/>
  <c r="E629" i="10"/>
  <c r="E643" i="10"/>
  <c r="E637" i="10"/>
  <c r="E627" i="10"/>
  <c r="E705" i="10"/>
  <c r="E642" i="10"/>
  <c r="E636" i="10"/>
  <c r="E694" i="10"/>
  <c r="E673" i="10"/>
  <c r="E682" i="10"/>
  <c r="E640" i="10"/>
  <c r="E630" i="10"/>
  <c r="E691" i="10"/>
  <c r="E690" i="10"/>
  <c r="E715" i="10" l="1"/>
  <c r="F624" i="10"/>
  <c r="F706" i="10" l="1"/>
  <c r="F698" i="10"/>
  <c r="F708" i="10"/>
  <c r="F700" i="10"/>
  <c r="F712" i="10"/>
  <c r="F704" i="10"/>
  <c r="F696" i="10"/>
  <c r="F709" i="10"/>
  <c r="F701" i="10"/>
  <c r="F710" i="10"/>
  <c r="F694" i="10"/>
  <c r="F690" i="10"/>
  <c r="F682" i="10"/>
  <c r="F674" i="10"/>
  <c r="F705" i="10"/>
  <c r="F689" i="10"/>
  <c r="F681" i="10"/>
  <c r="F673" i="10"/>
  <c r="F699" i="10"/>
  <c r="F697" i="10"/>
  <c r="F695" i="10"/>
  <c r="F669" i="10"/>
  <c r="F668" i="10"/>
  <c r="F643" i="10"/>
  <c r="F639" i="10"/>
  <c r="F628" i="10"/>
  <c r="F688" i="10"/>
  <c r="F679" i="10"/>
  <c r="F670" i="10"/>
  <c r="F644" i="10"/>
  <c r="F641" i="10"/>
  <c r="F638" i="10"/>
  <c r="F633" i="10"/>
  <c r="F711" i="10"/>
  <c r="F693" i="10"/>
  <c r="F684" i="10"/>
  <c r="F675" i="10"/>
  <c r="F634" i="10"/>
  <c r="F626" i="10"/>
  <c r="F703" i="10"/>
  <c r="F680" i="10"/>
  <c r="F671" i="10"/>
  <c r="F647" i="10"/>
  <c r="F645" i="10"/>
  <c r="F635" i="10"/>
  <c r="F713" i="10"/>
  <c r="F685" i="10"/>
  <c r="F676" i="10"/>
  <c r="F642" i="10"/>
  <c r="F636" i="10"/>
  <c r="F629" i="10"/>
  <c r="F716" i="10"/>
  <c r="F691" i="10"/>
  <c r="F677" i="10"/>
  <c r="F640" i="10"/>
  <c r="F637" i="10"/>
  <c r="F630" i="10"/>
  <c r="F627" i="10"/>
  <c r="F692" i="10"/>
  <c r="F683" i="10"/>
  <c r="F632" i="10"/>
  <c r="F686" i="10"/>
  <c r="F707" i="10"/>
  <c r="F678" i="10"/>
  <c r="F631" i="10"/>
  <c r="F625" i="10"/>
  <c r="F687" i="10"/>
  <c r="F646" i="10"/>
  <c r="F672" i="10"/>
  <c r="F702" i="10"/>
  <c r="F715" i="10" l="1"/>
  <c r="G625" i="10"/>
  <c r="G711" i="10" l="1"/>
  <c r="G703" i="10"/>
  <c r="G695" i="10"/>
  <c r="G713" i="10"/>
  <c r="G705" i="10"/>
  <c r="G697" i="10"/>
  <c r="G709" i="10"/>
  <c r="G701" i="10"/>
  <c r="G706" i="10"/>
  <c r="G698" i="10"/>
  <c r="G707" i="10"/>
  <c r="G687" i="10"/>
  <c r="G679" i="10"/>
  <c r="G671" i="10"/>
  <c r="G702" i="10"/>
  <c r="G686" i="10"/>
  <c r="G678" i="10"/>
  <c r="G670" i="10"/>
  <c r="G647" i="10"/>
  <c r="G646" i="10"/>
  <c r="G645" i="10"/>
  <c r="G693" i="10"/>
  <c r="G692" i="10"/>
  <c r="G691" i="10"/>
  <c r="G684" i="10"/>
  <c r="G675" i="10"/>
  <c r="G634" i="10"/>
  <c r="G628" i="10"/>
  <c r="G626" i="10"/>
  <c r="G708" i="10"/>
  <c r="G689" i="10"/>
  <c r="G680" i="10"/>
  <c r="G635" i="10"/>
  <c r="G700" i="10"/>
  <c r="G685" i="10"/>
  <c r="G676" i="10"/>
  <c r="G642" i="10"/>
  <c r="G639" i="10"/>
  <c r="G636" i="10"/>
  <c r="G629" i="10"/>
  <c r="G710" i="10"/>
  <c r="G690" i="10"/>
  <c r="G681" i="10"/>
  <c r="G672" i="10"/>
  <c r="G712" i="10"/>
  <c r="G694" i="10"/>
  <c r="G682" i="10"/>
  <c r="G673" i="10"/>
  <c r="G643" i="10"/>
  <c r="G631" i="10"/>
  <c r="G696" i="10"/>
  <c r="G688" i="10"/>
  <c r="G674" i="10"/>
  <c r="G644" i="10"/>
  <c r="G641" i="10"/>
  <c r="G638" i="10"/>
  <c r="G633" i="10"/>
  <c r="G669" i="10"/>
  <c r="G632" i="10"/>
  <c r="G716" i="10"/>
  <c r="G668" i="10"/>
  <c r="G704" i="10"/>
  <c r="G683" i="10"/>
  <c r="G677" i="10"/>
  <c r="G640" i="10"/>
  <c r="G627" i="10"/>
  <c r="G637" i="10"/>
  <c r="G699" i="10"/>
  <c r="G630" i="10"/>
  <c r="G715" i="10" l="1"/>
  <c r="H628" i="10"/>
  <c r="H708" i="10" l="1"/>
  <c r="H700" i="10"/>
  <c r="H710" i="10"/>
  <c r="H702" i="10"/>
  <c r="H694" i="10"/>
  <c r="H706" i="10"/>
  <c r="H698" i="10"/>
  <c r="H711" i="10"/>
  <c r="H703" i="10"/>
  <c r="H695" i="10"/>
  <c r="H704" i="10"/>
  <c r="H692" i="10"/>
  <c r="H684" i="10"/>
  <c r="H676" i="10"/>
  <c r="H668" i="10"/>
  <c r="H716" i="10"/>
  <c r="H699" i="10"/>
  <c r="H691" i="10"/>
  <c r="H683" i="10"/>
  <c r="H675" i="10"/>
  <c r="H644" i="10"/>
  <c r="H643" i="10"/>
  <c r="H642" i="10"/>
  <c r="H641" i="10"/>
  <c r="H640" i="10"/>
  <c r="H639" i="10"/>
  <c r="H638" i="10"/>
  <c r="H637" i="10"/>
  <c r="H693" i="10"/>
  <c r="H629" i="10"/>
  <c r="H712" i="10"/>
  <c r="H690" i="10"/>
  <c r="H689" i="10"/>
  <c r="H688" i="10"/>
  <c r="H701" i="10"/>
  <c r="H680" i="10"/>
  <c r="H635" i="10"/>
  <c r="H685" i="10"/>
  <c r="H671" i="10"/>
  <c r="H647" i="10"/>
  <c r="H645" i="10"/>
  <c r="H636" i="10"/>
  <c r="H713" i="10"/>
  <c r="H681" i="10"/>
  <c r="H672" i="10"/>
  <c r="H705" i="10"/>
  <c r="H686" i="10"/>
  <c r="H677" i="10"/>
  <c r="H630" i="10"/>
  <c r="H707" i="10"/>
  <c r="H687" i="10"/>
  <c r="H678" i="10"/>
  <c r="H669" i="10"/>
  <c r="H646" i="10"/>
  <c r="H632" i="10"/>
  <c r="H709" i="10"/>
  <c r="H679" i="10"/>
  <c r="H670" i="10"/>
  <c r="H634" i="10"/>
  <c r="H696" i="10"/>
  <c r="H674" i="10"/>
  <c r="H673" i="10"/>
  <c r="H631" i="10"/>
  <c r="H682" i="10"/>
  <c r="H633" i="10"/>
  <c r="H697" i="10"/>
  <c r="H715" i="10" l="1"/>
  <c r="I629" i="10"/>
  <c r="I713" i="10" l="1"/>
  <c r="I705" i="10"/>
  <c r="I697" i="10"/>
  <c r="I716" i="10"/>
  <c r="I707" i="10"/>
  <c r="I699" i="10"/>
  <c r="I711" i="10"/>
  <c r="I703" i="10"/>
  <c r="I695" i="10"/>
  <c r="I708" i="10"/>
  <c r="I700" i="10"/>
  <c r="I701" i="10"/>
  <c r="I689" i="10"/>
  <c r="I681" i="10"/>
  <c r="I673" i="10"/>
  <c r="I712" i="10"/>
  <c r="I696" i="10"/>
  <c r="I688" i="10"/>
  <c r="I680" i="10"/>
  <c r="I672" i="10"/>
  <c r="I692" i="10"/>
  <c r="I691" i="10"/>
  <c r="I690" i="10"/>
  <c r="I644" i="10"/>
  <c r="I640" i="10"/>
  <c r="I636" i="10"/>
  <c r="I635" i="10"/>
  <c r="I634" i="10"/>
  <c r="I633" i="10"/>
  <c r="I632" i="10"/>
  <c r="I631" i="10"/>
  <c r="I630" i="10"/>
  <c r="I710" i="10"/>
  <c r="I687" i="10"/>
  <c r="I686" i="10"/>
  <c r="I685" i="10"/>
  <c r="I645" i="10"/>
  <c r="I698" i="10"/>
  <c r="I693" i="10"/>
  <c r="I671" i="10"/>
  <c r="I647" i="10"/>
  <c r="I676" i="10"/>
  <c r="I642" i="10"/>
  <c r="I639" i="10"/>
  <c r="I677" i="10"/>
  <c r="I702" i="10"/>
  <c r="I682" i="10"/>
  <c r="I668" i="10"/>
  <c r="I637" i="10"/>
  <c r="I704" i="10"/>
  <c r="I683" i="10"/>
  <c r="I674" i="10"/>
  <c r="I706" i="10"/>
  <c r="I684" i="10"/>
  <c r="I675" i="10"/>
  <c r="I679" i="10"/>
  <c r="I694" i="10"/>
  <c r="I678" i="10"/>
  <c r="I641" i="10"/>
  <c r="I643" i="10"/>
  <c r="I709" i="10"/>
  <c r="I638" i="10"/>
  <c r="I670" i="10"/>
  <c r="I669" i="10"/>
  <c r="I646" i="10"/>
  <c r="I715" i="10" l="1"/>
  <c r="J630" i="10"/>
  <c r="J710" i="10" l="1"/>
  <c r="J702" i="10"/>
  <c r="J694" i="10"/>
  <c r="J712" i="10"/>
  <c r="J704" i="10"/>
  <c r="J696" i="10"/>
  <c r="J708" i="10"/>
  <c r="J700" i="10"/>
  <c r="J713" i="10"/>
  <c r="J705" i="10"/>
  <c r="J697" i="10"/>
  <c r="J698" i="10"/>
  <c r="J686" i="10"/>
  <c r="J678" i="10"/>
  <c r="J670" i="10"/>
  <c r="J647" i="10"/>
  <c r="L647" i="10" s="1"/>
  <c r="J646" i="10"/>
  <c r="J645" i="10"/>
  <c r="J709" i="10"/>
  <c r="J693" i="10"/>
  <c r="J685" i="10"/>
  <c r="J677" i="10"/>
  <c r="J669" i="10"/>
  <c r="J689" i="10"/>
  <c r="J688" i="10"/>
  <c r="J687" i="10"/>
  <c r="J706" i="10"/>
  <c r="J684" i="10"/>
  <c r="J683" i="10"/>
  <c r="J682" i="10"/>
  <c r="J711" i="10"/>
  <c r="J676" i="10"/>
  <c r="J642" i="10"/>
  <c r="J639" i="10"/>
  <c r="J636" i="10"/>
  <c r="J703" i="10"/>
  <c r="J681" i="10"/>
  <c r="J672" i="10"/>
  <c r="J695" i="10"/>
  <c r="J690" i="10"/>
  <c r="J668" i="10"/>
  <c r="J637" i="10"/>
  <c r="J716" i="10"/>
  <c r="J673" i="10"/>
  <c r="J643" i="10"/>
  <c r="J640" i="10"/>
  <c r="J631" i="10"/>
  <c r="J699" i="10"/>
  <c r="J679" i="10"/>
  <c r="J641" i="10"/>
  <c r="J638" i="10"/>
  <c r="J633" i="10"/>
  <c r="J701" i="10"/>
  <c r="J680" i="10"/>
  <c r="J671" i="10"/>
  <c r="J635" i="10"/>
  <c r="J691" i="10"/>
  <c r="J692" i="10"/>
  <c r="J634" i="10"/>
  <c r="J675" i="10"/>
  <c r="J674" i="10"/>
  <c r="J707" i="10"/>
  <c r="J632" i="10"/>
  <c r="J644" i="10"/>
  <c r="K644" i="10" s="1"/>
  <c r="J715" i="10" l="1"/>
  <c r="L712" i="10"/>
  <c r="L704" i="10"/>
  <c r="L696" i="10"/>
  <c r="L706" i="10"/>
  <c r="M706" i="10" s="1"/>
  <c r="Y772" i="10" s="1"/>
  <c r="L698" i="10"/>
  <c r="L710" i="10"/>
  <c r="M710" i="10" s="1"/>
  <c r="Y776" i="10" s="1"/>
  <c r="L702" i="10"/>
  <c r="M702" i="10" s="1"/>
  <c r="Y768" i="10" s="1"/>
  <c r="L694" i="10"/>
  <c r="L716" i="10"/>
  <c r="L707" i="10"/>
  <c r="L699" i="10"/>
  <c r="L708" i="10"/>
  <c r="M708" i="10" s="1"/>
  <c r="Y774" i="10" s="1"/>
  <c r="L688" i="10"/>
  <c r="L680" i="10"/>
  <c r="M680" i="10" s="1"/>
  <c r="Y746" i="10" s="1"/>
  <c r="L672" i="10"/>
  <c r="M672" i="10" s="1"/>
  <c r="Y738" i="10" s="1"/>
  <c r="L703" i="10"/>
  <c r="L687" i="10"/>
  <c r="L679" i="10"/>
  <c r="L671" i="10"/>
  <c r="L683" i="10"/>
  <c r="L682" i="10"/>
  <c r="L681" i="10"/>
  <c r="M681" i="10" s="1"/>
  <c r="Y747" i="10" s="1"/>
  <c r="L700" i="10"/>
  <c r="M700" i="10" s="1"/>
  <c r="Y766" i="10" s="1"/>
  <c r="L678" i="10"/>
  <c r="L677" i="10"/>
  <c r="L676" i="10"/>
  <c r="L685" i="10"/>
  <c r="L668" i="10"/>
  <c r="L713" i="10"/>
  <c r="L695" i="10"/>
  <c r="M695" i="10" s="1"/>
  <c r="Y761" i="10" s="1"/>
  <c r="L690" i="10"/>
  <c r="M690" i="10" s="1"/>
  <c r="Y756" i="10" s="1"/>
  <c r="L673" i="10"/>
  <c r="L705" i="10"/>
  <c r="L686" i="10"/>
  <c r="L669" i="10"/>
  <c r="L697" i="10"/>
  <c r="M697" i="10" s="1"/>
  <c r="Y763" i="10" s="1"/>
  <c r="L691" i="10"/>
  <c r="L674" i="10"/>
  <c r="M674" i="10" s="1"/>
  <c r="Y740" i="10" s="1"/>
  <c r="L709" i="10"/>
  <c r="M709" i="10" s="1"/>
  <c r="Y775" i="10" s="1"/>
  <c r="L675" i="10"/>
  <c r="L711" i="10"/>
  <c r="L693" i="10"/>
  <c r="L689" i="10"/>
  <c r="L670" i="10"/>
  <c r="M670" i="10" s="1"/>
  <c r="Y736" i="10" s="1"/>
  <c r="L684" i="10"/>
  <c r="M684" i="10" s="1"/>
  <c r="Y750" i="10" s="1"/>
  <c r="L701" i="10"/>
  <c r="M701" i="10" s="1"/>
  <c r="Y767" i="10" s="1"/>
  <c r="L692" i="10"/>
  <c r="M692" i="10" s="1"/>
  <c r="Y758" i="10" s="1"/>
  <c r="K716" i="10"/>
  <c r="K707" i="10"/>
  <c r="K699" i="10"/>
  <c r="K709" i="10"/>
  <c r="K701" i="10"/>
  <c r="K693" i="10"/>
  <c r="K713" i="10"/>
  <c r="K705" i="10"/>
  <c r="K697" i="10"/>
  <c r="K710" i="10"/>
  <c r="K702" i="10"/>
  <c r="K694" i="10"/>
  <c r="K711" i="10"/>
  <c r="K695" i="10"/>
  <c r="K691" i="10"/>
  <c r="K683" i="10"/>
  <c r="K675" i="10"/>
  <c r="K706" i="10"/>
  <c r="K690" i="10"/>
  <c r="K682" i="10"/>
  <c r="K674" i="10"/>
  <c r="K712" i="10"/>
  <c r="K686" i="10"/>
  <c r="K685" i="10"/>
  <c r="K684" i="10"/>
  <c r="K708" i="10"/>
  <c r="K704" i="10"/>
  <c r="K681" i="10"/>
  <c r="K680" i="10"/>
  <c r="K679" i="10"/>
  <c r="K703" i="10"/>
  <c r="K689" i="10"/>
  <c r="K672" i="10"/>
  <c r="K700" i="10"/>
  <c r="K677" i="10"/>
  <c r="K668" i="10"/>
  <c r="K673" i="10"/>
  <c r="K678" i="10"/>
  <c r="K669" i="10"/>
  <c r="K696" i="10"/>
  <c r="K692" i="10"/>
  <c r="K670" i="10"/>
  <c r="K698" i="10"/>
  <c r="K676" i="10"/>
  <c r="K688" i="10"/>
  <c r="K671" i="10"/>
  <c r="K687" i="10"/>
  <c r="M691" i="10" l="1"/>
  <c r="Y757" i="10" s="1"/>
  <c r="M713" i="10"/>
  <c r="Y779" i="10" s="1"/>
  <c r="M682" i="10"/>
  <c r="Y748" i="10" s="1"/>
  <c r="M688" i="10"/>
  <c r="Y754" i="10" s="1"/>
  <c r="M698" i="10"/>
  <c r="Y764" i="10" s="1"/>
  <c r="L715" i="10"/>
  <c r="M668" i="10"/>
  <c r="M689" i="10"/>
  <c r="Y755" i="10" s="1"/>
  <c r="M669" i="10"/>
  <c r="Y735" i="10" s="1"/>
  <c r="M685" i="10"/>
  <c r="Y751" i="10" s="1"/>
  <c r="M671" i="10"/>
  <c r="Y737" i="10" s="1"/>
  <c r="M699" i="10"/>
  <c r="Y765" i="10" s="1"/>
  <c r="M696" i="10"/>
  <c r="Y762" i="10" s="1"/>
  <c r="M693" i="10"/>
  <c r="Y759" i="10" s="1"/>
  <c r="M686" i="10"/>
  <c r="Y752" i="10" s="1"/>
  <c r="M676" i="10"/>
  <c r="Y742" i="10" s="1"/>
  <c r="M679" i="10"/>
  <c r="Y745" i="10" s="1"/>
  <c r="M707" i="10"/>
  <c r="Y773" i="10" s="1"/>
  <c r="M704" i="10"/>
  <c r="Y770" i="10" s="1"/>
  <c r="K715" i="10"/>
  <c r="M711" i="10"/>
  <c r="Y777" i="10" s="1"/>
  <c r="M705" i="10"/>
  <c r="Y771" i="10" s="1"/>
  <c r="M677" i="10"/>
  <c r="Y743" i="10" s="1"/>
  <c r="M687" i="10"/>
  <c r="Y753" i="10" s="1"/>
  <c r="M712" i="10"/>
  <c r="Y778" i="10" s="1"/>
  <c r="M683" i="10"/>
  <c r="Y749" i="10" s="1"/>
  <c r="M675" i="10"/>
  <c r="Y741" i="10" s="1"/>
  <c r="M673" i="10"/>
  <c r="Y739" i="10" s="1"/>
  <c r="M678" i="10"/>
  <c r="Y744" i="10" s="1"/>
  <c r="M703" i="10"/>
  <c r="Y769" i="10" s="1"/>
  <c r="M694" i="10"/>
  <c r="Y760" i="10" s="1"/>
  <c r="Y734" i="10" l="1"/>
  <c r="Y815" i="10" s="1"/>
  <c r="M715" i="10"/>
  <c r="D213" i="1" l="1"/>
  <c r="C213" i="1"/>
  <c r="C392" i="1" l="1"/>
  <c r="O61" i="1" l="1"/>
  <c r="O80" i="1"/>
  <c r="O60" i="1"/>
  <c r="AJ74" i="1"/>
  <c r="AJ73" i="1"/>
  <c r="P74" i="1"/>
  <c r="P73" i="1"/>
  <c r="E73" i="1"/>
  <c r="AG74" i="1"/>
  <c r="AG73" i="1"/>
  <c r="U74" i="1"/>
  <c r="Y74" i="1"/>
  <c r="Y73" i="1"/>
  <c r="AE74" i="1"/>
  <c r="Y59" i="1"/>
  <c r="AR78" i="1"/>
  <c r="AJ78" i="1"/>
  <c r="P78" i="1"/>
  <c r="C360" i="1" l="1"/>
  <c r="BE59" i="1"/>
  <c r="C80" i="1" l="1"/>
  <c r="E80" i="1"/>
  <c r="AR80" i="1"/>
  <c r="AJ80" i="1"/>
  <c r="AG80" i="1"/>
  <c r="P80" i="1"/>
  <c r="C157" i="1" l="1"/>
  <c r="B157" i="1"/>
  <c r="BN69" i="1"/>
  <c r="BR69" i="1"/>
  <c r="BS69" i="1"/>
  <c r="AJ69" i="1"/>
  <c r="BK69" i="1"/>
  <c r="BE69" i="1"/>
  <c r="AY69" i="1"/>
  <c r="AR69" i="1"/>
  <c r="AG69" i="1"/>
  <c r="AE69" i="1"/>
  <c r="AB69" i="1"/>
  <c r="Y69" i="1"/>
  <c r="P69" i="1"/>
  <c r="E69" i="1"/>
  <c r="AJ68" i="1" l="1"/>
  <c r="BH51" i="1"/>
  <c r="BN66" i="1"/>
  <c r="BN76" i="1"/>
  <c r="AJ76" i="1"/>
  <c r="AE76" i="1"/>
  <c r="AL76" i="1" l="1"/>
  <c r="AK76" i="1"/>
  <c r="BP76" i="1"/>
  <c r="BY76" i="1"/>
  <c r="AY76" i="1"/>
  <c r="BW76" i="1"/>
  <c r="BR76" i="1"/>
  <c r="BK76" i="1"/>
  <c r="BE76" i="1"/>
  <c r="BF76" i="1"/>
  <c r="AR76" i="1"/>
  <c r="BY60" i="1" l="1"/>
  <c r="BR60" i="1"/>
  <c r="BN60" i="1"/>
  <c r="BK60" i="1"/>
  <c r="AY60" i="1"/>
  <c r="AJ60" i="1"/>
  <c r="AR60" i="1" l="1"/>
  <c r="P60" i="1"/>
  <c r="AG60" i="1"/>
  <c r="AB60" i="1"/>
  <c r="Y60" i="1"/>
  <c r="C389" i="1" l="1"/>
  <c r="P59" i="1" l="1"/>
  <c r="E51" i="1" l="1"/>
  <c r="AR59" i="1"/>
  <c r="B141" i="1"/>
  <c r="AJ51" i="1" l="1"/>
  <c r="BY51" i="1"/>
  <c r="Q51" i="1"/>
  <c r="P51" i="1"/>
  <c r="BY61" i="1"/>
  <c r="AR61" i="1"/>
  <c r="BK61" i="1"/>
  <c r="BB61" i="1"/>
  <c r="AG61" i="1"/>
  <c r="AE61" i="1"/>
  <c r="AC61" i="1"/>
  <c r="Y61" i="1"/>
  <c r="P61" i="1"/>
  <c r="E61" i="1"/>
  <c r="BS61" i="1"/>
  <c r="BN61" i="1"/>
  <c r="AY61" i="1"/>
  <c r="AJ61" i="1"/>
  <c r="AB61" i="1"/>
  <c r="U61" i="1"/>
  <c r="BY64" i="1"/>
  <c r="BR64" i="1"/>
  <c r="BS64" i="1"/>
  <c r="BN64" i="1"/>
  <c r="BK64" i="1"/>
  <c r="BJ64" i="1"/>
  <c r="BH64" i="1"/>
  <c r="BF64" i="1"/>
  <c r="BE64" i="1"/>
  <c r="BD64" i="1"/>
  <c r="AY64" i="1"/>
  <c r="AR64" i="1"/>
  <c r="AJ64" i="1"/>
  <c r="AG64" i="1"/>
  <c r="AE64" i="1"/>
  <c r="AC64" i="1"/>
  <c r="AB64" i="1"/>
  <c r="U64" i="1"/>
  <c r="Q64" i="1"/>
  <c r="P64" i="1"/>
  <c r="O64" i="1"/>
  <c r="E64" i="1"/>
  <c r="C200" i="1" l="1"/>
  <c r="C175" i="1"/>
  <c r="BE65" i="1"/>
  <c r="AJ65" i="1"/>
  <c r="C172" i="1"/>
  <c r="C168" i="1"/>
  <c r="C170" i="1"/>
  <c r="C267" i="1"/>
  <c r="C306" i="1"/>
  <c r="C325" i="1"/>
  <c r="C378" i="1"/>
  <c r="AR74" i="1"/>
  <c r="AJ79" i="1"/>
  <c r="AJ63" i="1"/>
  <c r="BK63" i="1"/>
  <c r="BN63" i="1"/>
  <c r="BR63" i="1"/>
  <c r="BW69" i="1"/>
  <c r="BW64" i="1"/>
  <c r="BV69" i="1" l="1"/>
  <c r="C61" i="1" l="1"/>
  <c r="C66" i="1"/>
  <c r="D24" i="7" l="1"/>
  <c r="AE59" i="1" l="1"/>
  <c r="BY69" i="1" l="1"/>
  <c r="BY66" i="1"/>
  <c r="AJ66" i="1"/>
  <c r="AR66" i="1"/>
  <c r="BK66" i="1"/>
  <c r="BH66" i="1"/>
  <c r="BE66" i="1"/>
  <c r="BB66" i="1"/>
  <c r="AY66" i="1"/>
  <c r="AG66" i="1"/>
  <c r="AE66" i="1"/>
  <c r="AB66" i="1"/>
  <c r="Q66" i="1"/>
  <c r="P66" i="1"/>
  <c r="O66" i="1"/>
  <c r="E66" i="1"/>
  <c r="Y68" i="1" l="1"/>
  <c r="BK68" i="1" l="1"/>
  <c r="BE68" i="1"/>
  <c r="AE68" i="1"/>
  <c r="AB68" i="1"/>
  <c r="P68" i="1"/>
  <c r="S61" i="1" l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C470" i="1" s="1"/>
  <c r="E198" i="1"/>
  <c r="E199" i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19" i="7"/>
  <c r="D18" i="7"/>
  <c r="D12" i="7"/>
  <c r="D11" i="7"/>
  <c r="D10" i="7"/>
  <c r="D9" i="7"/>
  <c r="D8" i="7"/>
  <c r="D7" i="7"/>
  <c r="B28" i="2"/>
  <c r="E21" i="2"/>
  <c r="E18" i="2"/>
  <c r="E17" i="2"/>
  <c r="L48" i="1"/>
  <c r="L62" i="1" s="1"/>
  <c r="D436" i="1"/>
  <c r="C34" i="5"/>
  <c r="C473" i="1"/>
  <c r="F12" i="6"/>
  <c r="G122" i="9"/>
  <c r="I26" i="9"/>
  <c r="F90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E48" i="1"/>
  <c r="E62" i="1" s="1"/>
  <c r="AI48" i="1"/>
  <c r="AI62" i="1" s="1"/>
  <c r="C615" i="1"/>
  <c r="E372" i="9"/>
  <c r="BP48" i="1"/>
  <c r="BP62" i="1" s="1"/>
  <c r="AV48" i="1"/>
  <c r="AV62" i="1" s="1"/>
  <c r="V48" i="1"/>
  <c r="V62" i="1" s="1"/>
  <c r="F499" i="1"/>
  <c r="F517" i="1"/>
  <c r="H501" i="1"/>
  <c r="F501" i="1"/>
  <c r="F497" i="1"/>
  <c r="H497" i="1"/>
  <c r="H499" i="1"/>
  <c r="H511" i="1"/>
  <c r="C469" i="1" l="1"/>
  <c r="C84" i="8"/>
  <c r="B465" i="1"/>
  <c r="C10" i="4"/>
  <c r="C421" i="1"/>
  <c r="F9" i="6"/>
  <c r="C575" i="1"/>
  <c r="AJ48" i="1"/>
  <c r="AJ62" i="1" s="1"/>
  <c r="H140" i="9" s="1"/>
  <c r="BF48" i="1"/>
  <c r="BF62" i="1" s="1"/>
  <c r="CA48" i="1"/>
  <c r="CA62" i="1" s="1"/>
  <c r="CB48" i="1"/>
  <c r="CB62" i="1" s="1"/>
  <c r="C364" i="9" s="1"/>
  <c r="CC48" i="1"/>
  <c r="CC62" i="1" s="1"/>
  <c r="BC48" i="1"/>
  <c r="BC62" i="1" s="1"/>
  <c r="F236" i="9" s="1"/>
  <c r="AH48" i="1"/>
  <c r="AH62" i="1" s="1"/>
  <c r="F140" i="9" s="1"/>
  <c r="BD48" i="1"/>
  <c r="BD62" i="1" s="1"/>
  <c r="BX48" i="1"/>
  <c r="BX62" i="1" s="1"/>
  <c r="BO48" i="1"/>
  <c r="BO62" i="1" s="1"/>
  <c r="D300" i="9" s="1"/>
  <c r="BI48" i="1"/>
  <c r="BI62" i="1" s="1"/>
  <c r="R48" i="1"/>
  <c r="R62" i="1" s="1"/>
  <c r="D76" i="9" s="1"/>
  <c r="AR48" i="1"/>
  <c r="AR62" i="1" s="1"/>
  <c r="I172" i="9" s="1"/>
  <c r="BN48" i="1"/>
  <c r="BN62" i="1" s="1"/>
  <c r="AA48" i="1"/>
  <c r="AA62" i="1" s="1"/>
  <c r="F108" i="9" s="1"/>
  <c r="BM48" i="1"/>
  <c r="BM62" i="1" s="1"/>
  <c r="D48" i="1"/>
  <c r="D62" i="1" s="1"/>
  <c r="B476" i="1"/>
  <c r="C33" i="8"/>
  <c r="G612" i="1"/>
  <c r="CF77" i="1"/>
  <c r="C440" i="1"/>
  <c r="I372" i="9"/>
  <c r="D5" i="7"/>
  <c r="D13" i="7"/>
  <c r="D428" i="1"/>
  <c r="CF76" i="1"/>
  <c r="AC52" i="1" s="1"/>
  <c r="AC67" i="1" s="1"/>
  <c r="H113" i="9" s="1"/>
  <c r="D612" i="1"/>
  <c r="C464" i="1"/>
  <c r="I366" i="9"/>
  <c r="C430" i="1"/>
  <c r="C429" i="1"/>
  <c r="C432" i="1"/>
  <c r="I612" i="1"/>
  <c r="J48" i="1"/>
  <c r="J62" i="1" s="1"/>
  <c r="C44" i="9" s="1"/>
  <c r="AF48" i="1"/>
  <c r="AF62" i="1" s="1"/>
  <c r="D140" i="9" s="1"/>
  <c r="AP48" i="1"/>
  <c r="AP62" i="1" s="1"/>
  <c r="G172" i="9" s="1"/>
  <c r="AZ48" i="1"/>
  <c r="AZ62" i="1" s="1"/>
  <c r="BL48" i="1"/>
  <c r="BL62" i="1" s="1"/>
  <c r="BV48" i="1"/>
  <c r="BV62" i="1" s="1"/>
  <c r="D332" i="9" s="1"/>
  <c r="S48" i="1"/>
  <c r="S62" i="1" s="1"/>
  <c r="BG48" i="1"/>
  <c r="BG62" i="1" s="1"/>
  <c r="C268" i="9" s="1"/>
  <c r="AO48" i="1"/>
  <c r="AO62" i="1" s="1"/>
  <c r="AC48" i="1"/>
  <c r="AC62" i="1" s="1"/>
  <c r="H108" i="9" s="1"/>
  <c r="F48" i="1"/>
  <c r="F62" i="1" s="1"/>
  <c r="F12" i="9" s="1"/>
  <c r="Z48" i="1"/>
  <c r="Z62" i="1" s="1"/>
  <c r="E108" i="9" s="1"/>
  <c r="AN48" i="1"/>
  <c r="AN62" i="1" s="1"/>
  <c r="AX48" i="1"/>
  <c r="AX62" i="1" s="1"/>
  <c r="BH48" i="1"/>
  <c r="BH62" i="1" s="1"/>
  <c r="BT48" i="1"/>
  <c r="BT62" i="1" s="1"/>
  <c r="C48" i="1"/>
  <c r="C62" i="1" s="1"/>
  <c r="C12" i="9" s="1"/>
  <c r="AY48" i="1"/>
  <c r="AY62" i="1" s="1"/>
  <c r="Q48" i="1"/>
  <c r="Q62" i="1" s="1"/>
  <c r="BA48" i="1"/>
  <c r="BA62" i="1" s="1"/>
  <c r="D236" i="9" s="1"/>
  <c r="M48" i="1"/>
  <c r="M62" i="1" s="1"/>
  <c r="X48" i="1"/>
  <c r="X62" i="1" s="1"/>
  <c r="W48" i="1"/>
  <c r="W62" i="1" s="1"/>
  <c r="I76" i="9" s="1"/>
  <c r="I90" i="9"/>
  <c r="AG48" i="1"/>
  <c r="AG62" i="1" s="1"/>
  <c r="E140" i="9" s="1"/>
  <c r="BU48" i="1"/>
  <c r="BU62" i="1" s="1"/>
  <c r="BQ48" i="1"/>
  <c r="BQ62" i="1" s="1"/>
  <c r="F300" i="9" s="1"/>
  <c r="AM48" i="1"/>
  <c r="AM62" i="1" s="1"/>
  <c r="AU48" i="1"/>
  <c r="AU62" i="1" s="1"/>
  <c r="H48" i="1"/>
  <c r="H62" i="1" s="1"/>
  <c r="AB48" i="1"/>
  <c r="AB62" i="1" s="1"/>
  <c r="G108" i="9" s="1"/>
  <c r="I48" i="1"/>
  <c r="I62" i="1" s="1"/>
  <c r="AW48" i="1"/>
  <c r="AW62" i="1" s="1"/>
  <c r="AK48" i="1"/>
  <c r="AK62" i="1" s="1"/>
  <c r="C427" i="1"/>
  <c r="AE48" i="1"/>
  <c r="AE62" i="1" s="1"/>
  <c r="C140" i="9" s="1"/>
  <c r="G48" i="1"/>
  <c r="G62" i="1" s="1"/>
  <c r="G12" i="9" s="1"/>
  <c r="T48" i="1"/>
  <c r="T62" i="1" s="1"/>
  <c r="N48" i="1"/>
  <c r="N62" i="1" s="1"/>
  <c r="AD48" i="1"/>
  <c r="AD62" i="1" s="1"/>
  <c r="AL48" i="1"/>
  <c r="AL62" i="1" s="1"/>
  <c r="C172" i="9" s="1"/>
  <c r="AT48" i="1"/>
  <c r="AT62" i="1" s="1"/>
  <c r="D204" i="9" s="1"/>
  <c r="BB48" i="1"/>
  <c r="BB62" i="1" s="1"/>
  <c r="BJ48" i="1"/>
  <c r="BJ62" i="1" s="1"/>
  <c r="BR48" i="1"/>
  <c r="BR62" i="1" s="1"/>
  <c r="BY48" i="1"/>
  <c r="BY62" i="1" s="1"/>
  <c r="G332" i="9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O48" i="1"/>
  <c r="O62" i="1" s="1"/>
  <c r="BS48" i="1"/>
  <c r="BS62" i="1" s="1"/>
  <c r="BZ48" i="1"/>
  <c r="BZ62" i="1" s="1"/>
  <c r="H332" i="9" s="1"/>
  <c r="P48" i="1"/>
  <c r="P62" i="1" s="1"/>
  <c r="I44" i="9" s="1"/>
  <c r="I363" i="9"/>
  <c r="E44" i="9"/>
  <c r="AS48" i="1"/>
  <c r="AS62" i="1" s="1"/>
  <c r="F204" i="9"/>
  <c r="I332" i="9"/>
  <c r="E268" i="9"/>
  <c r="E300" i="9"/>
  <c r="I362" i="9"/>
  <c r="C475" i="1"/>
  <c r="B440" i="1"/>
  <c r="C141" i="8"/>
  <c r="C119" i="8"/>
  <c r="D368" i="1"/>
  <c r="C120" i="8" s="1"/>
  <c r="B10" i="4"/>
  <c r="C300" i="9"/>
  <c r="H76" i="9"/>
  <c r="I236" i="9"/>
  <c r="B446" i="1"/>
  <c r="D242" i="1"/>
  <c r="D27" i="7" s="1"/>
  <c r="G140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12" i="9" l="1"/>
  <c r="F332" i="9"/>
  <c r="H52" i="1"/>
  <c r="H67" i="1" s="1"/>
  <c r="AX52" i="1"/>
  <c r="AX67" i="1" s="1"/>
  <c r="AX71" i="1" s="1"/>
  <c r="H213" i="9" s="1"/>
  <c r="T52" i="1"/>
  <c r="T67" i="1" s="1"/>
  <c r="I268" i="9"/>
  <c r="G236" i="9"/>
  <c r="D364" i="9"/>
  <c r="D373" i="1"/>
  <c r="D391" i="1" s="1"/>
  <c r="H204" i="9"/>
  <c r="BF52" i="1"/>
  <c r="BF67" i="1" s="1"/>
  <c r="BF71" i="1" s="1"/>
  <c r="C551" i="1" s="1"/>
  <c r="BB52" i="1"/>
  <c r="BB67" i="1" s="1"/>
  <c r="E241" i="9" s="1"/>
  <c r="Z52" i="1"/>
  <c r="Z67" i="1" s="1"/>
  <c r="E113" i="9" s="1"/>
  <c r="C108" i="9"/>
  <c r="I204" i="9"/>
  <c r="CA52" i="1"/>
  <c r="CA67" i="1" s="1"/>
  <c r="CA71" i="1" s="1"/>
  <c r="C647" i="1" s="1"/>
  <c r="AP52" i="1"/>
  <c r="AP67" i="1" s="1"/>
  <c r="D52" i="1"/>
  <c r="D67" i="1" s="1"/>
  <c r="D71" i="1" s="1"/>
  <c r="C669" i="1" s="1"/>
  <c r="BM52" i="1"/>
  <c r="BM67" i="1" s="1"/>
  <c r="BM71" i="1" s="1"/>
  <c r="C638" i="1" s="1"/>
  <c r="AV52" i="1"/>
  <c r="AV67" i="1" s="1"/>
  <c r="AV71" i="1" s="1"/>
  <c r="C713" i="1" s="1"/>
  <c r="BS52" i="1"/>
  <c r="BS67" i="1" s="1"/>
  <c r="H305" i="9" s="1"/>
  <c r="BV52" i="1"/>
  <c r="BV67" i="1" s="1"/>
  <c r="BV71" i="1" s="1"/>
  <c r="C567" i="1" s="1"/>
  <c r="AY52" i="1"/>
  <c r="AY67" i="1" s="1"/>
  <c r="AY71" i="1" s="1"/>
  <c r="C625" i="1" s="1"/>
  <c r="V52" i="1"/>
  <c r="V67" i="1" s="1"/>
  <c r="G52" i="1"/>
  <c r="G67" i="1" s="1"/>
  <c r="BN52" i="1"/>
  <c r="BN67" i="1" s="1"/>
  <c r="BN71" i="1" s="1"/>
  <c r="C619" i="1" s="1"/>
  <c r="BQ52" i="1"/>
  <c r="BQ67" i="1" s="1"/>
  <c r="BZ52" i="1"/>
  <c r="BZ67" i="1" s="1"/>
  <c r="H337" i="9" s="1"/>
  <c r="P52" i="1"/>
  <c r="P67" i="1" s="1"/>
  <c r="I49" i="9" s="1"/>
  <c r="R52" i="1"/>
  <c r="R67" i="1" s="1"/>
  <c r="AI52" i="1"/>
  <c r="AI67" i="1" s="1"/>
  <c r="AI71" i="1" s="1"/>
  <c r="G149" i="9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G209" i="9" s="1"/>
  <c r="BY52" i="1"/>
  <c r="BY67" i="1" s="1"/>
  <c r="BY71" i="1" s="1"/>
  <c r="C570" i="1" s="1"/>
  <c r="AM52" i="1"/>
  <c r="AM67" i="1" s="1"/>
  <c r="AM71" i="1" s="1"/>
  <c r="C532" i="1" s="1"/>
  <c r="G532" i="1" s="1"/>
  <c r="AB52" i="1"/>
  <c r="AB67" i="1" s="1"/>
  <c r="G113" i="9" s="1"/>
  <c r="S52" i="1"/>
  <c r="S67" i="1" s="1"/>
  <c r="S71" i="1" s="1"/>
  <c r="C512" i="1" s="1"/>
  <c r="G512" i="1" s="1"/>
  <c r="BK52" i="1"/>
  <c r="BK67" i="1" s="1"/>
  <c r="BK71" i="1" s="1"/>
  <c r="C556" i="1" s="1"/>
  <c r="AZ52" i="1"/>
  <c r="AZ67" i="1" s="1"/>
  <c r="AO52" i="1"/>
  <c r="AO67" i="1" s="1"/>
  <c r="F177" i="9" s="1"/>
  <c r="CC52" i="1"/>
  <c r="CC67" i="1" s="1"/>
  <c r="D369" i="9" s="1"/>
  <c r="AT52" i="1"/>
  <c r="AT67" i="1" s="1"/>
  <c r="O52" i="1"/>
  <c r="O67" i="1" s="1"/>
  <c r="BR52" i="1"/>
  <c r="BR67" i="1" s="1"/>
  <c r="BR71" i="1" s="1"/>
  <c r="G309" i="9" s="1"/>
  <c r="AA52" i="1"/>
  <c r="AA67" i="1" s="1"/>
  <c r="AA71" i="1" s="1"/>
  <c r="C520" i="1" s="1"/>
  <c r="G520" i="1" s="1"/>
  <c r="M52" i="1"/>
  <c r="M67" i="1" s="1"/>
  <c r="M71" i="1" s="1"/>
  <c r="C506" i="1" s="1"/>
  <c r="G506" i="1" s="1"/>
  <c r="CB52" i="1"/>
  <c r="CB67" i="1" s="1"/>
  <c r="CB71" i="1" s="1"/>
  <c r="C573" i="1" s="1"/>
  <c r="F52" i="1"/>
  <c r="F67" i="1" s="1"/>
  <c r="F71" i="1" s="1"/>
  <c r="F21" i="9" s="1"/>
  <c r="BD52" i="1"/>
  <c r="BD67" i="1" s="1"/>
  <c r="BD71" i="1" s="1"/>
  <c r="G245" i="9" s="1"/>
  <c r="BL52" i="1"/>
  <c r="BL67" i="1" s="1"/>
  <c r="K52" i="1"/>
  <c r="K67" i="1" s="1"/>
  <c r="N52" i="1"/>
  <c r="N67" i="1" s="1"/>
  <c r="E52" i="1"/>
  <c r="E67" i="1" s="1"/>
  <c r="AL52" i="1"/>
  <c r="AL67" i="1" s="1"/>
  <c r="C177" i="9" s="1"/>
  <c r="G71" i="1"/>
  <c r="C672" i="1" s="1"/>
  <c r="H172" i="9"/>
  <c r="G204" i="9"/>
  <c r="G300" i="9"/>
  <c r="E76" i="9"/>
  <c r="I300" i="9"/>
  <c r="H71" i="1"/>
  <c r="C673" i="1" s="1"/>
  <c r="G76" i="9"/>
  <c r="H12" i="9"/>
  <c r="F172" i="9"/>
  <c r="E172" i="9"/>
  <c r="F44" i="9"/>
  <c r="H268" i="9"/>
  <c r="BC52" i="1"/>
  <c r="BC67" i="1" s="1"/>
  <c r="BJ52" i="1"/>
  <c r="BJ67" i="1" s="1"/>
  <c r="W52" i="1"/>
  <c r="W67" i="1" s="1"/>
  <c r="W71" i="1" s="1"/>
  <c r="C516" i="1" s="1"/>
  <c r="G516" i="1" s="1"/>
  <c r="BP52" i="1"/>
  <c r="BP67" i="1" s="1"/>
  <c r="L52" i="1"/>
  <c r="L67" i="1" s="1"/>
  <c r="Y52" i="1"/>
  <c r="Y67" i="1" s="1"/>
  <c r="AS52" i="1"/>
  <c r="AS67" i="1" s="1"/>
  <c r="BU52" i="1"/>
  <c r="BU67" i="1" s="1"/>
  <c r="BU71" i="1" s="1"/>
  <c r="AU52" i="1"/>
  <c r="AU67" i="1" s="1"/>
  <c r="AU71" i="1" s="1"/>
  <c r="BA52" i="1"/>
  <c r="BA67" i="1" s="1"/>
  <c r="AF52" i="1"/>
  <c r="AF67" i="1" s="1"/>
  <c r="BT52" i="1"/>
  <c r="BT67" i="1" s="1"/>
  <c r="AG52" i="1"/>
  <c r="AG67" i="1" s="1"/>
  <c r="AG71" i="1" s="1"/>
  <c r="E149" i="9" s="1"/>
  <c r="BI52" i="1"/>
  <c r="BI67" i="1" s="1"/>
  <c r="BO52" i="1"/>
  <c r="BO67" i="1" s="1"/>
  <c r="BH52" i="1"/>
  <c r="BH67" i="1" s="1"/>
  <c r="C52" i="1"/>
  <c r="C67" i="1" s="1"/>
  <c r="J52" i="1"/>
  <c r="J67" i="1" s="1"/>
  <c r="AN52" i="1"/>
  <c r="AN67" i="1" s="1"/>
  <c r="BX52" i="1"/>
  <c r="BX67" i="1" s="1"/>
  <c r="AR52" i="1"/>
  <c r="AR67" i="1" s="1"/>
  <c r="X52" i="1"/>
  <c r="X67" i="1" s="1"/>
  <c r="U52" i="1"/>
  <c r="U67" i="1" s="1"/>
  <c r="AE52" i="1"/>
  <c r="AE67" i="1" s="1"/>
  <c r="AE71" i="1" s="1"/>
  <c r="Q52" i="1"/>
  <c r="Q67" i="1" s="1"/>
  <c r="Q71" i="1" s="1"/>
  <c r="AH52" i="1"/>
  <c r="AH67" i="1" s="1"/>
  <c r="AJ52" i="1"/>
  <c r="AJ67" i="1" s="1"/>
  <c r="BG52" i="1"/>
  <c r="BG67" i="1" s="1"/>
  <c r="BG71" i="1" s="1"/>
  <c r="C618" i="1" s="1"/>
  <c r="BW52" i="1"/>
  <c r="BW67" i="1" s="1"/>
  <c r="BW71" i="1" s="1"/>
  <c r="C568" i="1" s="1"/>
  <c r="I52" i="1"/>
  <c r="I67" i="1" s="1"/>
  <c r="AD52" i="1"/>
  <c r="AD67" i="1" s="1"/>
  <c r="AQ52" i="1"/>
  <c r="AQ67" i="1" s="1"/>
  <c r="AC71" i="1"/>
  <c r="C522" i="1" s="1"/>
  <c r="G522" i="1" s="1"/>
  <c r="C236" i="9"/>
  <c r="C76" i="9"/>
  <c r="D268" i="9"/>
  <c r="F268" i="9"/>
  <c r="I108" i="9"/>
  <c r="I12" i="9"/>
  <c r="D44" i="9"/>
  <c r="F76" i="9"/>
  <c r="E236" i="9"/>
  <c r="G44" i="9"/>
  <c r="D108" i="9"/>
  <c r="D172" i="9"/>
  <c r="H300" i="9"/>
  <c r="E204" i="9"/>
  <c r="I140" i="9"/>
  <c r="C332" i="9"/>
  <c r="H44" i="9"/>
  <c r="E332" i="9"/>
  <c r="CE48" i="1"/>
  <c r="CE62" i="1"/>
  <c r="C428" i="1" s="1"/>
  <c r="C204" i="9"/>
  <c r="H17" i="9"/>
  <c r="B448" i="1"/>
  <c r="F544" i="1"/>
  <c r="H536" i="1"/>
  <c r="F536" i="1"/>
  <c r="F528" i="1"/>
  <c r="H528" i="1"/>
  <c r="F520" i="1"/>
  <c r="H520" i="1"/>
  <c r="D341" i="1"/>
  <c r="C481" i="1" s="1"/>
  <c r="C50" i="8"/>
  <c r="H209" i="9"/>
  <c r="F81" i="9"/>
  <c r="I378" i="9"/>
  <c r="K612" i="1"/>
  <c r="C465" i="1"/>
  <c r="C126" i="8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Z71" i="1" l="1"/>
  <c r="E117" i="9" s="1"/>
  <c r="T71" i="1"/>
  <c r="C685" i="1" s="1"/>
  <c r="F209" i="9"/>
  <c r="K71" i="1"/>
  <c r="C504" i="1" s="1"/>
  <c r="G504" i="1" s="1"/>
  <c r="G145" i="9"/>
  <c r="D17" i="9"/>
  <c r="BB71" i="1"/>
  <c r="E245" i="9" s="1"/>
  <c r="CC71" i="1"/>
  <c r="C620" i="1" s="1"/>
  <c r="D337" i="9"/>
  <c r="D81" i="9"/>
  <c r="AW71" i="1"/>
  <c r="C631" i="1" s="1"/>
  <c r="BQ71" i="1"/>
  <c r="F309" i="9" s="1"/>
  <c r="F113" i="9"/>
  <c r="C305" i="9"/>
  <c r="R71" i="1"/>
  <c r="D85" i="9" s="1"/>
  <c r="AP71" i="1"/>
  <c r="C535" i="1" s="1"/>
  <c r="G535" i="1" s="1"/>
  <c r="E71" i="1"/>
  <c r="E21" i="9" s="1"/>
  <c r="E85" i="9"/>
  <c r="I145" i="9"/>
  <c r="V71" i="1"/>
  <c r="C515" i="1" s="1"/>
  <c r="G515" i="1" s="1"/>
  <c r="AO71" i="1"/>
  <c r="F181" i="9" s="1"/>
  <c r="I245" i="9"/>
  <c r="G17" i="9"/>
  <c r="G49" i="9"/>
  <c r="H49" i="9"/>
  <c r="P71" i="1"/>
  <c r="C681" i="1" s="1"/>
  <c r="F17" i="9"/>
  <c r="AB71" i="1"/>
  <c r="G117" i="9" s="1"/>
  <c r="G177" i="9"/>
  <c r="C500" i="1"/>
  <c r="G500" i="1" s="1"/>
  <c r="G305" i="9"/>
  <c r="N71" i="1"/>
  <c r="C679" i="1" s="1"/>
  <c r="I241" i="9"/>
  <c r="BS71" i="1"/>
  <c r="C639" i="1" s="1"/>
  <c r="C700" i="1"/>
  <c r="C543" i="1"/>
  <c r="D341" i="9"/>
  <c r="C616" i="1"/>
  <c r="D21" i="9"/>
  <c r="C642" i="1"/>
  <c r="F117" i="9"/>
  <c r="C497" i="1"/>
  <c r="G497" i="1" s="1"/>
  <c r="G21" i="9"/>
  <c r="C309" i="9"/>
  <c r="C549" i="1"/>
  <c r="C692" i="1"/>
  <c r="H21" i="9"/>
  <c r="C572" i="1"/>
  <c r="C373" i="9"/>
  <c r="C541" i="1"/>
  <c r="C629" i="1"/>
  <c r="C559" i="1"/>
  <c r="C519" i="1"/>
  <c r="G519" i="1" s="1"/>
  <c r="H241" i="9"/>
  <c r="C501" i="1"/>
  <c r="G501" i="1" s="1"/>
  <c r="F213" i="9"/>
  <c r="I341" i="9"/>
  <c r="H81" i="9"/>
  <c r="C241" i="9"/>
  <c r="C369" i="9"/>
  <c r="C622" i="1"/>
  <c r="D177" i="9"/>
  <c r="BZ71" i="1"/>
  <c r="H341" i="9" s="1"/>
  <c r="O71" i="1"/>
  <c r="C680" i="1" s="1"/>
  <c r="I337" i="9"/>
  <c r="AZ71" i="1"/>
  <c r="C628" i="1" s="1"/>
  <c r="D49" i="9"/>
  <c r="I213" i="9"/>
  <c r="G337" i="9"/>
  <c r="C528" i="1"/>
  <c r="G528" i="1" s="1"/>
  <c r="I209" i="9"/>
  <c r="C558" i="1"/>
  <c r="G273" i="9"/>
  <c r="C544" i="1"/>
  <c r="G544" i="1" s="1"/>
  <c r="F305" i="9"/>
  <c r="I273" i="9"/>
  <c r="I277" i="9"/>
  <c r="C513" i="1"/>
  <c r="G513" i="1" s="1"/>
  <c r="C678" i="1"/>
  <c r="BL71" i="1"/>
  <c r="H277" i="9" s="1"/>
  <c r="D209" i="9"/>
  <c r="F53" i="9"/>
  <c r="F49" i="9"/>
  <c r="C624" i="1"/>
  <c r="F85" i="9"/>
  <c r="H273" i="9"/>
  <c r="C635" i="1"/>
  <c r="E17" i="9"/>
  <c r="G277" i="9"/>
  <c r="G241" i="9"/>
  <c r="C684" i="1"/>
  <c r="AT71" i="1"/>
  <c r="C711" i="1" s="1"/>
  <c r="E81" i="9"/>
  <c r="AL71" i="1"/>
  <c r="C181" i="9" s="1"/>
  <c r="C691" i="1"/>
  <c r="D181" i="9"/>
  <c r="C704" i="1"/>
  <c r="C694" i="1"/>
  <c r="H117" i="9"/>
  <c r="G341" i="9"/>
  <c r="C510" i="1"/>
  <c r="G510" i="1" s="1"/>
  <c r="C85" i="9"/>
  <c r="C712" i="1"/>
  <c r="E213" i="9"/>
  <c r="C540" i="1"/>
  <c r="G540" i="1" s="1"/>
  <c r="I113" i="9"/>
  <c r="G81" i="9"/>
  <c r="U71" i="1"/>
  <c r="BO71" i="1"/>
  <c r="D305" i="9"/>
  <c r="C209" i="9"/>
  <c r="I81" i="9"/>
  <c r="CE52" i="1"/>
  <c r="I17" i="9"/>
  <c r="F145" i="9"/>
  <c r="AH71" i="1"/>
  <c r="C113" i="9"/>
  <c r="J71" i="1"/>
  <c r="C49" i="9"/>
  <c r="BI71" i="1"/>
  <c r="E273" i="9"/>
  <c r="BA71" i="1"/>
  <c r="D241" i="9"/>
  <c r="D113" i="9"/>
  <c r="F273" i="9"/>
  <c r="AS71" i="1"/>
  <c r="AN71" i="1"/>
  <c r="E177" i="9"/>
  <c r="CE67" i="1"/>
  <c r="AD71" i="1"/>
  <c r="C523" i="1" s="1"/>
  <c r="G523" i="1" s="1"/>
  <c r="E337" i="9"/>
  <c r="C81" i="9"/>
  <c r="I177" i="9"/>
  <c r="AR71" i="1"/>
  <c r="C71" i="1"/>
  <c r="C17" i="9"/>
  <c r="E145" i="9"/>
  <c r="E209" i="9"/>
  <c r="L71" i="1"/>
  <c r="E49" i="9"/>
  <c r="F241" i="9"/>
  <c r="BC71" i="1"/>
  <c r="I71" i="1"/>
  <c r="X71" i="1"/>
  <c r="H145" i="9"/>
  <c r="AJ71" i="1"/>
  <c r="AF71" i="1"/>
  <c r="D145" i="9"/>
  <c r="I85" i="9"/>
  <c r="C682" i="1"/>
  <c r="H177" i="9"/>
  <c r="AQ71" i="1"/>
  <c r="C273" i="9"/>
  <c r="C145" i="9"/>
  <c r="F337" i="9"/>
  <c r="BX71" i="1"/>
  <c r="D273" i="9"/>
  <c r="I305" i="9"/>
  <c r="BT71" i="1"/>
  <c r="C337" i="9"/>
  <c r="BP71" i="1"/>
  <c r="E305" i="9"/>
  <c r="BH71" i="1"/>
  <c r="BJ71" i="1"/>
  <c r="Y71" i="1"/>
  <c r="C526" i="1"/>
  <c r="G526" i="1" s="1"/>
  <c r="C499" i="1"/>
  <c r="G499" i="1" s="1"/>
  <c r="C671" i="1"/>
  <c r="C688" i="1"/>
  <c r="C563" i="1"/>
  <c r="C552" i="1"/>
  <c r="C645" i="1"/>
  <c r="C626" i="1"/>
  <c r="C277" i="9"/>
  <c r="C702" i="1"/>
  <c r="C524" i="1"/>
  <c r="C696" i="1"/>
  <c r="C698" i="1"/>
  <c r="C149" i="9"/>
  <c r="I149" i="9"/>
  <c r="C507" i="1"/>
  <c r="G507" i="1" s="1"/>
  <c r="C550" i="1"/>
  <c r="G550" i="1" s="1"/>
  <c r="E341" i="9"/>
  <c r="C643" i="1"/>
  <c r="C614" i="1"/>
  <c r="D615" i="1" s="1"/>
  <c r="D687" i="1" s="1"/>
  <c r="C641" i="1"/>
  <c r="C341" i="9"/>
  <c r="C566" i="1"/>
  <c r="I364" i="9"/>
  <c r="H516" i="1"/>
  <c r="F522" i="1"/>
  <c r="H522" i="1"/>
  <c r="F510" i="1"/>
  <c r="F513" i="1"/>
  <c r="H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H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707" i="1" l="1"/>
  <c r="D53" i="9"/>
  <c r="C676" i="1"/>
  <c r="C632" i="1"/>
  <c r="G181" i="9"/>
  <c r="C534" i="1"/>
  <c r="G534" i="1" s="1"/>
  <c r="C706" i="1"/>
  <c r="H309" i="9"/>
  <c r="C564" i="1"/>
  <c r="D373" i="9"/>
  <c r="G213" i="9"/>
  <c r="C511" i="1"/>
  <c r="G511" i="1" s="1"/>
  <c r="C562" i="1"/>
  <c r="C623" i="1"/>
  <c r="C542" i="1"/>
  <c r="C547" i="1"/>
  <c r="C683" i="1"/>
  <c r="C574" i="1"/>
  <c r="C693" i="1"/>
  <c r="C509" i="1"/>
  <c r="G509" i="1" s="1"/>
  <c r="C498" i="1"/>
  <c r="G498" i="1" s="1"/>
  <c r="H498" i="1" s="1"/>
  <c r="C670" i="1"/>
  <c r="I53" i="9"/>
  <c r="C521" i="1"/>
  <c r="G521" i="1" s="1"/>
  <c r="C687" i="1"/>
  <c r="H515" i="1"/>
  <c r="H85" i="9"/>
  <c r="G53" i="9"/>
  <c r="C571" i="1"/>
  <c r="C545" i="1"/>
  <c r="G545" i="1" s="1"/>
  <c r="H544" i="1"/>
  <c r="C646" i="1"/>
  <c r="C245" i="9"/>
  <c r="C508" i="1"/>
  <c r="H53" i="9"/>
  <c r="C703" i="1"/>
  <c r="C531" i="1"/>
  <c r="G531" i="1" s="1"/>
  <c r="C557" i="1"/>
  <c r="C637" i="1"/>
  <c r="C539" i="1"/>
  <c r="G539" i="1" s="1"/>
  <c r="D213" i="9"/>
  <c r="H534" i="1"/>
  <c r="H510" i="1"/>
  <c r="C433" i="1"/>
  <c r="C441" i="1" s="1"/>
  <c r="I117" i="9"/>
  <c r="CE71" i="1"/>
  <c r="C716" i="1" s="1"/>
  <c r="I369" i="9"/>
  <c r="D277" i="9"/>
  <c r="C553" i="1"/>
  <c r="C636" i="1"/>
  <c r="C633" i="1"/>
  <c r="F245" i="9"/>
  <c r="C548" i="1"/>
  <c r="E181" i="9"/>
  <c r="C705" i="1"/>
  <c r="C533" i="1"/>
  <c r="G533" i="1" s="1"/>
  <c r="C546" i="1"/>
  <c r="D245" i="9"/>
  <c r="C630" i="1"/>
  <c r="E277" i="9"/>
  <c r="C554" i="1"/>
  <c r="C634" i="1"/>
  <c r="C537" i="1"/>
  <c r="G537" i="1" s="1"/>
  <c r="C709" i="1"/>
  <c r="I181" i="9"/>
  <c r="C514" i="1"/>
  <c r="G85" i="9"/>
  <c r="C686" i="1"/>
  <c r="C496" i="1"/>
  <c r="C668" i="1"/>
  <c r="C21" i="9"/>
  <c r="C695" i="1"/>
  <c r="D117" i="9"/>
  <c r="C518" i="1"/>
  <c r="C690" i="1"/>
  <c r="E309" i="9"/>
  <c r="C561" i="1"/>
  <c r="C621" i="1"/>
  <c r="C640" i="1"/>
  <c r="I309" i="9"/>
  <c r="C565" i="1"/>
  <c r="D149" i="9"/>
  <c r="C525" i="1"/>
  <c r="G525" i="1" s="1"/>
  <c r="C697" i="1"/>
  <c r="C117" i="9"/>
  <c r="C517" i="1"/>
  <c r="C689" i="1"/>
  <c r="C538" i="1"/>
  <c r="G538" i="1" s="1"/>
  <c r="C213" i="9"/>
  <c r="C710" i="1"/>
  <c r="C527" i="1"/>
  <c r="G527" i="1" s="1"/>
  <c r="F149" i="9"/>
  <c r="C699" i="1"/>
  <c r="D309" i="9"/>
  <c r="C627" i="1"/>
  <c r="C560" i="1"/>
  <c r="C677" i="1"/>
  <c r="C505" i="1"/>
  <c r="E53" i="9"/>
  <c r="F277" i="9"/>
  <c r="C617" i="1"/>
  <c r="C555" i="1"/>
  <c r="F341" i="9"/>
  <c r="C569" i="1"/>
  <c r="C644" i="1"/>
  <c r="C708" i="1"/>
  <c r="C536" i="1"/>
  <c r="G536" i="1" s="1"/>
  <c r="H181" i="9"/>
  <c r="H149" i="9"/>
  <c r="C701" i="1"/>
  <c r="C529" i="1"/>
  <c r="G529" i="1" s="1"/>
  <c r="C674" i="1"/>
  <c r="I21" i="9"/>
  <c r="C502" i="1"/>
  <c r="G502" i="1" s="1"/>
  <c r="C53" i="9"/>
  <c r="C503" i="1"/>
  <c r="C675" i="1"/>
  <c r="H526" i="1"/>
  <c r="D676" i="1"/>
  <c r="D644" i="1"/>
  <c r="D645" i="1"/>
  <c r="D639" i="1"/>
  <c r="D705" i="1"/>
  <c r="D704" i="1"/>
  <c r="D711" i="1"/>
  <c r="D692" i="1"/>
  <c r="D623" i="1"/>
  <c r="D622" i="1"/>
  <c r="D628" i="1"/>
  <c r="G524" i="1"/>
  <c r="H524" i="1" s="1"/>
  <c r="D699" i="1"/>
  <c r="D700" i="1"/>
  <c r="D686" i="1"/>
  <c r="D630" i="1"/>
  <c r="D631" i="1"/>
  <c r="D706" i="1"/>
  <c r="D710" i="1"/>
  <c r="D685" i="1"/>
  <c r="D626" i="1"/>
  <c r="D638" i="1"/>
  <c r="D675" i="1"/>
  <c r="D682" i="1"/>
  <c r="D694" i="1"/>
  <c r="D637" i="1"/>
  <c r="D707" i="1"/>
  <c r="D643" i="1"/>
  <c r="D698" i="1"/>
  <c r="D641" i="1"/>
  <c r="D709" i="1"/>
  <c r="D678" i="1"/>
  <c r="D669" i="1"/>
  <c r="D632" i="1"/>
  <c r="D677" i="1"/>
  <c r="D712" i="1"/>
  <c r="D696" i="1"/>
  <c r="D629" i="1"/>
  <c r="D633" i="1"/>
  <c r="D640" i="1"/>
  <c r="D619" i="1"/>
  <c r="D668" i="1"/>
  <c r="D688" i="1"/>
  <c r="D693" i="1"/>
  <c r="D703" i="1"/>
  <c r="D617" i="1"/>
  <c r="D708" i="1"/>
  <c r="D672" i="1"/>
  <c r="D634" i="1"/>
  <c r="D671" i="1"/>
  <c r="D695" i="1"/>
  <c r="D625" i="1"/>
  <c r="D702" i="1"/>
  <c r="H550" i="1"/>
  <c r="D646" i="1"/>
  <c r="D713" i="1"/>
  <c r="D680" i="1"/>
  <c r="D624" i="1"/>
  <c r="D618" i="1"/>
  <c r="D670" i="1"/>
  <c r="D673" i="1"/>
  <c r="D679" i="1"/>
  <c r="D620" i="1"/>
  <c r="D697" i="1"/>
  <c r="D716" i="1"/>
  <c r="D690" i="1"/>
  <c r="D691" i="1"/>
  <c r="D642" i="1"/>
  <c r="D627" i="1"/>
  <c r="D647" i="1"/>
  <c r="D701" i="1"/>
  <c r="D674" i="1"/>
  <c r="D621" i="1"/>
  <c r="D636" i="1"/>
  <c r="D681" i="1"/>
  <c r="D689" i="1"/>
  <c r="D616" i="1"/>
  <c r="D635" i="1"/>
  <c r="D683" i="1"/>
  <c r="D684" i="1"/>
  <c r="H545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 l="1"/>
  <c r="H509" i="1"/>
  <c r="H521" i="1"/>
  <c r="G508" i="1"/>
  <c r="H508" i="1" s="1"/>
  <c r="I373" i="9"/>
  <c r="C648" i="1"/>
  <c r="M716" i="1" s="1"/>
  <c r="H529" i="1"/>
  <c r="H537" i="1"/>
  <c r="C715" i="1"/>
  <c r="H505" i="1"/>
  <c r="G505" i="1"/>
  <c r="G517" i="1"/>
  <c r="H517" i="1" s="1"/>
  <c r="G518" i="1"/>
  <c r="H518" i="1" s="1"/>
  <c r="G514" i="1"/>
  <c r="H514" i="1" s="1"/>
  <c r="G496" i="1"/>
  <c r="H496" i="1" s="1"/>
  <c r="G546" i="1"/>
  <c r="H546" i="1"/>
  <c r="G503" i="1"/>
  <c r="H503" i="1" s="1"/>
  <c r="E623" i="1"/>
  <c r="E716" i="1" s="1"/>
  <c r="E612" i="1"/>
  <c r="D715" i="1"/>
  <c r="E633" i="1" l="1"/>
  <c r="E686" i="1"/>
  <c r="E709" i="1"/>
  <c r="E693" i="1"/>
  <c r="E692" i="1"/>
  <c r="E637" i="1"/>
  <c r="E634" i="1"/>
  <c r="E640" i="1"/>
  <c r="E701" i="1"/>
  <c r="E713" i="1"/>
  <c r="E639" i="1"/>
  <c r="E700" i="1"/>
  <c r="E635" i="1"/>
  <c r="E641" i="1"/>
  <c r="E712" i="1"/>
  <c r="E704" i="1"/>
  <c r="E682" i="1"/>
  <c r="E705" i="1"/>
  <c r="E679" i="1"/>
  <c r="E644" i="1"/>
  <c r="E697" i="1"/>
  <c r="E684" i="1"/>
  <c r="E691" i="1"/>
  <c r="E636" i="1"/>
  <c r="E674" i="1"/>
  <c r="E624" i="1"/>
  <c r="F624" i="1" s="1"/>
  <c r="E671" i="1"/>
  <c r="E628" i="1"/>
  <c r="E625" i="1"/>
  <c r="E645" i="1"/>
  <c r="E669" i="1"/>
  <c r="E702" i="1"/>
  <c r="E647" i="1"/>
  <c r="E646" i="1"/>
  <c r="E678" i="1"/>
  <c r="E688" i="1"/>
  <c r="E672" i="1"/>
  <c r="E696" i="1"/>
  <c r="E680" i="1"/>
  <c r="E670" i="1"/>
  <c r="E706" i="1"/>
  <c r="E707" i="1"/>
  <c r="E675" i="1"/>
  <c r="E694" i="1"/>
  <c r="E689" i="1"/>
  <c r="E711" i="1"/>
  <c r="E685" i="1"/>
  <c r="E668" i="1"/>
  <c r="E632" i="1"/>
  <c r="E683" i="1"/>
  <c r="E626" i="1"/>
  <c r="E673" i="1"/>
  <c r="E629" i="1"/>
  <c r="E630" i="1"/>
  <c r="E698" i="1"/>
  <c r="E695" i="1"/>
  <c r="E699" i="1"/>
  <c r="E643" i="1"/>
  <c r="E681" i="1"/>
  <c r="E677" i="1"/>
  <c r="E690" i="1"/>
  <c r="E631" i="1"/>
  <c r="E710" i="1"/>
  <c r="E687" i="1"/>
  <c r="E703" i="1"/>
  <c r="E676" i="1"/>
  <c r="E627" i="1"/>
  <c r="E642" i="1"/>
  <c r="E638" i="1"/>
  <c r="E708" i="1"/>
  <c r="E715" i="1" l="1"/>
  <c r="F711" i="1"/>
  <c r="F641" i="1"/>
  <c r="F690" i="1"/>
  <c r="F627" i="1"/>
  <c r="F694" i="1"/>
  <c r="F689" i="1"/>
  <c r="F683" i="1"/>
  <c r="F709" i="1"/>
  <c r="F625" i="1"/>
  <c r="G625" i="1" s="1"/>
  <c r="F639" i="1"/>
  <c r="F713" i="1"/>
  <c r="F704" i="1"/>
  <c r="F676" i="1"/>
  <c r="F634" i="1"/>
  <c r="F628" i="1"/>
  <c r="F673" i="1"/>
  <c r="F699" i="1"/>
  <c r="F681" i="1"/>
  <c r="F716" i="1"/>
  <c r="F631" i="1"/>
  <c r="F693" i="1"/>
  <c r="F672" i="1"/>
  <c r="F688" i="1"/>
  <c r="F707" i="1"/>
  <c r="F677" i="1"/>
  <c r="F670" i="1"/>
  <c r="F674" i="1"/>
  <c r="F712" i="1"/>
  <c r="F700" i="1"/>
  <c r="F626" i="1"/>
  <c r="F642" i="1"/>
  <c r="F629" i="1"/>
  <c r="F698" i="1"/>
  <c r="F635" i="1"/>
  <c r="F643" i="1"/>
  <c r="F684" i="1"/>
  <c r="F647" i="1"/>
  <c r="F632" i="1"/>
  <c r="F701" i="1"/>
  <c r="F630" i="1"/>
  <c r="F675" i="1"/>
  <c r="F637" i="1"/>
  <c r="F686" i="1"/>
  <c r="F692" i="1"/>
  <c r="F633" i="1"/>
  <c r="F636" i="1"/>
  <c r="F682" i="1"/>
  <c r="F679" i="1"/>
  <c r="F708" i="1"/>
  <c r="F697" i="1"/>
  <c r="F702" i="1"/>
  <c r="F705" i="1"/>
  <c r="F680" i="1"/>
  <c r="F687" i="1"/>
  <c r="F695" i="1"/>
  <c r="F645" i="1"/>
  <c r="F678" i="1"/>
  <c r="F671" i="1"/>
  <c r="F710" i="1"/>
  <c r="F638" i="1"/>
  <c r="F691" i="1"/>
  <c r="F644" i="1"/>
  <c r="F706" i="1"/>
  <c r="F646" i="1"/>
  <c r="F640" i="1"/>
  <c r="F696" i="1"/>
  <c r="F668" i="1"/>
  <c r="F669" i="1"/>
  <c r="F685" i="1"/>
  <c r="F703" i="1"/>
  <c r="F715" i="1" l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36" i="1"/>
  <c r="G689" i="1"/>
  <c r="G672" i="1"/>
  <c r="G626" i="1"/>
  <c r="G681" i="1"/>
  <c r="G634" i="1"/>
  <c r="G699" i="1"/>
  <c r="G708" i="1"/>
  <c r="G706" i="1"/>
  <c r="H628" i="1" l="1"/>
  <c r="H672" i="1" s="1"/>
  <c r="G715" i="1"/>
  <c r="H630" i="1" l="1"/>
  <c r="H706" i="1"/>
  <c r="H633" i="1"/>
  <c r="H669" i="1"/>
  <c r="H683" i="1"/>
  <c r="H642" i="1"/>
  <c r="H687" i="1"/>
  <c r="H676" i="1"/>
  <c r="H704" i="1"/>
  <c r="H703" i="1"/>
  <c r="H686" i="1"/>
  <c r="H690" i="1"/>
  <c r="H636" i="1"/>
  <c r="H716" i="1"/>
  <c r="H681" i="1"/>
  <c r="H635" i="1"/>
  <c r="H699" i="1"/>
  <c r="H673" i="1"/>
  <c r="H713" i="1"/>
  <c r="H688" i="1"/>
  <c r="H684" i="1"/>
  <c r="H644" i="1"/>
  <c r="H710" i="1"/>
  <c r="H697" i="1"/>
  <c r="H700" i="1"/>
  <c r="H693" i="1"/>
  <c r="H680" i="1"/>
  <c r="H670" i="1"/>
  <c r="H707" i="1"/>
  <c r="H671" i="1"/>
  <c r="H711" i="1"/>
  <c r="H682" i="1"/>
  <c r="H677" i="1"/>
  <c r="H640" i="1"/>
  <c r="H692" i="1"/>
  <c r="H708" i="1"/>
  <c r="H634" i="1"/>
  <c r="H645" i="1"/>
  <c r="H695" i="1"/>
  <c r="H701" i="1"/>
  <c r="H689" i="1"/>
  <c r="H678" i="1"/>
  <c r="H629" i="1"/>
  <c r="I629" i="1" s="1"/>
  <c r="H641" i="1"/>
  <c r="H631" i="1"/>
  <c r="H702" i="1"/>
  <c r="H639" i="1"/>
  <c r="H675" i="1"/>
  <c r="H646" i="1"/>
  <c r="H668" i="1"/>
  <c r="H632" i="1"/>
  <c r="H679" i="1"/>
  <c r="H698" i="1"/>
  <c r="H709" i="1"/>
  <c r="H637" i="1"/>
  <c r="H705" i="1"/>
  <c r="H685" i="1"/>
  <c r="H643" i="1"/>
  <c r="H696" i="1"/>
  <c r="H691" i="1"/>
  <c r="H674" i="1"/>
  <c r="H694" i="1"/>
  <c r="H638" i="1"/>
  <c r="H647" i="1"/>
  <c r="H712" i="1"/>
  <c r="H715" i="1" l="1"/>
  <c r="I645" i="1"/>
  <c r="I637" i="1"/>
  <c r="I646" i="1"/>
  <c r="I644" i="1"/>
  <c r="I695" i="1"/>
  <c r="I678" i="1"/>
  <c r="I668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96" i="1"/>
  <c r="I680" i="1"/>
  <c r="I710" i="1"/>
  <c r="I643" i="1"/>
  <c r="I707" i="1"/>
  <c r="I635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82" i="1"/>
  <c r="I713" i="1"/>
  <c r="I706" i="1"/>
  <c r="I63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703" i="1"/>
  <c r="I687" i="1"/>
  <c r="I671" i="1"/>
  <c r="I633" i="1"/>
  <c r="I715" i="1" l="1"/>
  <c r="J630" i="1"/>
  <c r="J693" i="1" l="1"/>
  <c r="J632" i="1"/>
  <c r="J636" i="1"/>
  <c r="J699" i="1"/>
  <c r="J696" i="1"/>
  <c r="J701" i="1"/>
  <c r="J707" i="1"/>
  <c r="J646" i="1"/>
  <c r="J694" i="1"/>
  <c r="J678" i="1"/>
  <c r="J637" i="1"/>
  <c r="J672" i="1"/>
  <c r="J640" i="1"/>
  <c r="J702" i="1"/>
  <c r="J635" i="1"/>
  <c r="J690" i="1"/>
  <c r="J713" i="1"/>
  <c r="J676" i="1"/>
  <c r="J708" i="1"/>
  <c r="J709" i="1"/>
  <c r="J669" i="1"/>
  <c r="J638" i="1"/>
  <c r="J644" i="1"/>
  <c r="J700" i="1"/>
  <c r="J681" i="1"/>
  <c r="J633" i="1"/>
  <c r="J673" i="1"/>
  <c r="J697" i="1"/>
  <c r="J647" i="1"/>
  <c r="J688" i="1"/>
  <c r="J684" i="1"/>
  <c r="J711" i="1"/>
  <c r="J670" i="1"/>
  <c r="J698" i="1"/>
  <c r="J674" i="1"/>
  <c r="J675" i="1"/>
  <c r="J685" i="1"/>
  <c r="J706" i="1"/>
  <c r="J639" i="1"/>
  <c r="J712" i="1"/>
  <c r="J705" i="1"/>
  <c r="J692" i="1"/>
  <c r="J680" i="1"/>
  <c r="J703" i="1"/>
  <c r="J677" i="1"/>
  <c r="J631" i="1"/>
  <c r="J671" i="1"/>
  <c r="J716" i="1"/>
  <c r="J668" i="1"/>
  <c r="J682" i="1"/>
  <c r="J691" i="1"/>
  <c r="J687" i="1"/>
  <c r="J634" i="1"/>
  <c r="J695" i="1"/>
  <c r="J704" i="1"/>
  <c r="J643" i="1"/>
  <c r="J679" i="1"/>
  <c r="J645" i="1"/>
  <c r="J683" i="1"/>
  <c r="J689" i="1"/>
  <c r="J686" i="1"/>
  <c r="J710" i="1"/>
  <c r="J641" i="1"/>
  <c r="J642" i="1"/>
  <c r="K644" i="1" l="1"/>
  <c r="K716" i="1" s="1"/>
  <c r="L647" i="1"/>
  <c r="L716" i="1" s="1"/>
  <c r="J715" i="1"/>
  <c r="L702" i="1" l="1"/>
  <c r="L672" i="1"/>
  <c r="L681" i="1"/>
  <c r="L677" i="1"/>
  <c r="K696" i="1"/>
  <c r="K680" i="1"/>
  <c r="K712" i="1"/>
  <c r="K700" i="1"/>
  <c r="L707" i="1"/>
  <c r="L691" i="1"/>
  <c r="L701" i="1"/>
  <c r="L711" i="1"/>
  <c r="K697" i="1"/>
  <c r="K708" i="1"/>
  <c r="K689" i="1"/>
  <c r="K691" i="1"/>
  <c r="K679" i="1"/>
  <c r="K690" i="1"/>
  <c r="K704" i="1"/>
  <c r="K709" i="1"/>
  <c r="L687" i="1"/>
  <c r="L700" i="1"/>
  <c r="L693" i="1"/>
  <c r="L692" i="1"/>
  <c r="L705" i="1"/>
  <c r="L668" i="1"/>
  <c r="L696" i="1"/>
  <c r="L698" i="1"/>
  <c r="L676" i="1"/>
  <c r="K678" i="1"/>
  <c r="K682" i="1"/>
  <c r="K681" i="1"/>
  <c r="K670" i="1"/>
  <c r="K685" i="1"/>
  <c r="K674" i="1"/>
  <c r="K705" i="1"/>
  <c r="K692" i="1"/>
  <c r="K702" i="1"/>
  <c r="K694" i="1"/>
  <c r="K703" i="1"/>
  <c r="K698" i="1"/>
  <c r="K706" i="1"/>
  <c r="K687" i="1"/>
  <c r="K695" i="1"/>
  <c r="K707" i="1"/>
  <c r="M707" i="1" s="1"/>
  <c r="K693" i="1"/>
  <c r="K675" i="1"/>
  <c r="K686" i="1"/>
  <c r="K713" i="1"/>
  <c r="K672" i="1"/>
  <c r="M672" i="1" s="1"/>
  <c r="K677" i="1"/>
  <c r="K676" i="1"/>
  <c r="L695" i="1"/>
  <c r="L706" i="1"/>
  <c r="M706" i="1" s="1"/>
  <c r="L703" i="1"/>
  <c r="L684" i="1"/>
  <c r="L670" i="1"/>
  <c r="M670" i="1" s="1"/>
  <c r="L686" i="1"/>
  <c r="L710" i="1"/>
  <c r="L709" i="1"/>
  <c r="M709" i="1" s="1"/>
  <c r="L673" i="1"/>
  <c r="L682" i="1"/>
  <c r="L680" i="1"/>
  <c r="L669" i="1"/>
  <c r="L685" i="1"/>
  <c r="L690" i="1"/>
  <c r="M690" i="1" s="1"/>
  <c r="L708" i="1"/>
  <c r="L704" i="1"/>
  <c r="L674" i="1"/>
  <c r="L679" i="1"/>
  <c r="K683" i="1"/>
  <c r="K710" i="1"/>
  <c r="K668" i="1"/>
  <c r="K669" i="1"/>
  <c r="K684" i="1"/>
  <c r="K688" i="1"/>
  <c r="K699" i="1"/>
  <c r="K711" i="1"/>
  <c r="K671" i="1"/>
  <c r="K673" i="1"/>
  <c r="K701" i="1"/>
  <c r="L683" i="1"/>
  <c r="L713" i="1"/>
  <c r="L712" i="1"/>
  <c r="L671" i="1"/>
  <c r="L678" i="1"/>
  <c r="L699" i="1"/>
  <c r="L697" i="1"/>
  <c r="L675" i="1"/>
  <c r="L694" i="1"/>
  <c r="L689" i="1"/>
  <c r="L688" i="1"/>
  <c r="M691" i="1" l="1"/>
  <c r="M680" i="1"/>
  <c r="H55" i="9" s="1"/>
  <c r="M681" i="1"/>
  <c r="I55" i="9" s="1"/>
  <c r="M702" i="1"/>
  <c r="I151" i="9" s="1"/>
  <c r="M711" i="1"/>
  <c r="M677" i="1"/>
  <c r="E55" i="9" s="1"/>
  <c r="M712" i="1"/>
  <c r="M696" i="1"/>
  <c r="M697" i="1"/>
  <c r="D151" i="9" s="1"/>
  <c r="M700" i="1"/>
  <c r="M694" i="1"/>
  <c r="M701" i="1"/>
  <c r="H151" i="9" s="1"/>
  <c r="M693" i="1"/>
  <c r="M713" i="1"/>
  <c r="F215" i="9" s="1"/>
  <c r="M695" i="1"/>
  <c r="M678" i="1"/>
  <c r="M676" i="1"/>
  <c r="D55" i="9" s="1"/>
  <c r="M668" i="1"/>
  <c r="M685" i="1"/>
  <c r="F87" i="9" s="1"/>
  <c r="E23" i="9"/>
  <c r="M708" i="1"/>
  <c r="H183" i="9" s="1"/>
  <c r="M687" i="1"/>
  <c r="M689" i="1"/>
  <c r="M679" i="1"/>
  <c r="G55" i="9" s="1"/>
  <c r="M682" i="1"/>
  <c r="C87" i="9" s="1"/>
  <c r="M686" i="1"/>
  <c r="G87" i="9" s="1"/>
  <c r="M705" i="1"/>
  <c r="M698" i="1"/>
  <c r="E151" i="9" s="1"/>
  <c r="M704" i="1"/>
  <c r="M692" i="1"/>
  <c r="F119" i="9" s="1"/>
  <c r="F183" i="9"/>
  <c r="M674" i="1"/>
  <c r="I23" i="9" s="1"/>
  <c r="M699" i="1"/>
  <c r="M675" i="1"/>
  <c r="M703" i="1"/>
  <c r="C183" i="9" s="1"/>
  <c r="G23" i="9"/>
  <c r="G183" i="9"/>
  <c r="K715" i="1"/>
  <c r="M684" i="1"/>
  <c r="E87" i="9" s="1"/>
  <c r="M710" i="1"/>
  <c r="I183" i="9"/>
  <c r="M688" i="1"/>
  <c r="I87" i="9" s="1"/>
  <c r="M673" i="1"/>
  <c r="H23" i="9" s="1"/>
  <c r="M683" i="1"/>
  <c r="M671" i="1"/>
  <c r="M669" i="1"/>
  <c r="D119" i="9"/>
  <c r="L715" i="1"/>
  <c r="E119" i="9" l="1"/>
  <c r="G119" i="9"/>
  <c r="H119" i="9"/>
  <c r="E215" i="9"/>
  <c r="D215" i="9"/>
  <c r="F55" i="9"/>
  <c r="G151" i="9"/>
  <c r="C151" i="9"/>
  <c r="I119" i="9"/>
  <c r="C55" i="9"/>
  <c r="F151" i="9"/>
  <c r="C23" i="9"/>
  <c r="C119" i="9"/>
  <c r="H87" i="9"/>
  <c r="E183" i="9"/>
  <c r="D183" i="9"/>
  <c r="F23" i="9"/>
  <c r="C215" i="9"/>
  <c r="D87" i="9"/>
  <c r="D23" i="9"/>
  <c r="M715" i="1"/>
  <c r="G9" i="4" l="1"/>
  <c r="E9" i="4"/>
  <c r="E141" i="1"/>
  <c r="E10" i="4" s="1"/>
  <c r="G10" i="4" l="1"/>
  <c r="D463" i="1"/>
  <c r="D465" i="1" s="1"/>
</calcChain>
</file>

<file path=xl/sharedStrings.xml><?xml version="1.0" encoding="utf-8"?>
<sst xmlns="http://schemas.openxmlformats.org/spreadsheetml/2006/main" count="4678" uniqueCount="1282">
  <si>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</si>
  <si>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</si>
  <si>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</si>
  <si>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</si>
  <si>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</si>
  <si>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</si>
  <si>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</si>
  <si>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</si>
  <si>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</si>
  <si>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</si>
  <si>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</si>
  <si>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</si>
  <si>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</si>
  <si>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</si>
  <si>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</si>
  <si>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</si>
  <si>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</si>
  <si>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</si>
  <si>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</si>
  <si>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</si>
  <si>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</si>
  <si>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</si>
  <si>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</si>
  <si>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</si>
  <si>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</si>
  <si>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</si>
  <si>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</si>
  <si>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</si>
  <si>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</si>
  <si>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</si>
  <si>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</si>
  <si>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</si>
  <si>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</si>
  <si>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</si>
  <si>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</si>
  <si>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</si>
  <si>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</si>
  <si>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</si>
  <si>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</si>
  <si>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</si>
  <si>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</si>
  <si>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</si>
  <si>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</si>
  <si>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</si>
  <si>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</si>
  <si>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</si>
  <si>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</si>
  <si>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</si>
  <si>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</si>
  <si>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</si>
  <si>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</si>
  <si>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</si>
  <si>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</si>
  <si>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</si>
  <si>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</si>
  <si>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</si>
  <si>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</si>
  <si>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</si>
  <si>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</si>
  <si>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</si>
  <si>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</si>
  <si>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</si>
  <si>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</si>
  <si>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</si>
  <si>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</si>
  <si>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</si>
  <si>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</si>
  <si>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</si>
  <si>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</si>
  <si>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</si>
  <si>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</si>
  <si>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</si>
  <si>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</si>
  <si>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</si>
  <si>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</si>
  <si>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</si>
  <si>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</si>
  <si>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</si>
  <si>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</si>
  <si>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</si>
  <si>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</si>
  <si>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</si>
  <si>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</si>
  <si>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</si>
  <si>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</si>
  <si>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</si>
  <si>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</si>
  <si>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</si>
  <si>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</si>
  <si>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</si>
  <si>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</si>
  <si>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</si>
  <si>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</si>
  <si>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</si>
  <si>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</si>
  <si>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</si>
  <si>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</si>
  <si>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</si>
  <si>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</si>
  <si>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</si>
  <si>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</si>
  <si>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</si>
  <si>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</si>
  <si>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</si>
  <si>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</si>
  <si>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</si>
  <si>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</si>
  <si>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</si>
  <si>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</si>
  <si>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</si>
  <si>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</si>
  <si>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</si>
  <si>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</si>
  <si>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</si>
  <si>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</si>
  <si>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</si>
  <si>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</si>
  <si>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</si>
  <si>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</si>
  <si>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</si>
  <si>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</si>
  <si>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</si>
  <si>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</si>
  <si>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</si>
  <si>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</si>
  <si>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</si>
  <si>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</si>
  <si>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</si>
  <si>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</si>
  <si>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</si>
  <si>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</si>
  <si>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</si>
  <si>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</si>
  <si>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</si>
  <si>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</si>
  <si>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</si>
  <si>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</si>
  <si>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</si>
  <si>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</si>
  <si>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</si>
  <si>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</si>
  <si>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</si>
  <si>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</si>
  <si>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</si>
  <si>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</si>
  <si>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</si>
  <si>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</si>
  <si>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</si>
  <si>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</si>
  <si>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</si>
  <si>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</si>
  <si>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</si>
  <si>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</si>
  <si>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</si>
  <si>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</si>
  <si>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</si>
  <si>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</si>
  <si>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</si>
  <si>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</si>
  <si>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</si>
  <si>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</si>
  <si>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</si>
  <si>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</si>
  <si>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</si>
  <si>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</si>
  <si>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</si>
  <si>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</si>
  <si>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</si>
  <si>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</si>
  <si>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</si>
  <si>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</si>
  <si>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</si>
  <si>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</si>
  <si>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</si>
  <si>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</si>
  <si>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</si>
  <si>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</si>
  <si>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</si>
  <si>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</si>
  <si>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</si>
  <si>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</si>
  <si>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</si>
  <si>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</si>
  <si>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</si>
  <si>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</si>
  <si>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</si>
  <si>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</si>
  <si>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</si>
  <si>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</si>
  <si>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</si>
  <si>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</si>
  <si>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</si>
  <si>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</si>
  <si>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</si>
  <si>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</si>
  <si>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</si>
  <si>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</si>
  <si>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</si>
  <si>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</si>
  <si>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</si>
  <si>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</si>
  <si>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</si>
  <si>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</si>
  <si>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</si>
  <si>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</si>
  <si>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</si>
  <si>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</si>
  <si>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</si>
  <si>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</si>
  <si>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</si>
  <si>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</si>
  <si>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</si>
  <si>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</si>
  <si>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</si>
  <si>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</si>
  <si>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</si>
  <si>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</si>
  <si>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</si>
  <si>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</si>
  <si>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</si>
  <si>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</si>
  <si>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</si>
  <si>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</si>
  <si>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</si>
  <si>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</si>
  <si>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</si>
  <si>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</si>
  <si>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</si>
  <si>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</si>
  <si>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</si>
  <si>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</si>
  <si>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</si>
  <si>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</si>
  <si>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</si>
  <si>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</si>
  <si>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</si>
  <si>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</si>
  <si>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</si>
  <si>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</si>
  <si>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</si>
  <si>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</si>
  <si>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</si>
  <si>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</si>
  <si>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</si>
  <si>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</si>
  <si>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</si>
  <si>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</si>
  <si>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</si>
  <si>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</si>
  <si>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</si>
  <si>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</si>
  <si>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</si>
  <si>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</si>
  <si>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</si>
  <si>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</si>
  <si>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</si>
  <si>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</si>
  <si>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</si>
  <si>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</si>
  <si>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</si>
  <si>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</si>
  <si>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</si>
  <si>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</si>
  <si>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</si>
  <si>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</si>
  <si>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</si>
  <si>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</si>
  <si>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</si>
  <si>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</si>
  <si>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</si>
  <si>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</si>
  <si>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</si>
  <si>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</si>
  <si>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</si>
  <si>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</si>
  <si>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</si>
  <si>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</si>
  <si>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</si>
  <si>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</si>
  <si>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</si>
  <si>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</si>
  <si>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</si>
  <si>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</si>
  <si>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</si>
  <si>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</si>
  <si>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</si>
  <si>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</si>
  <si>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</si>
  <si>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</si>
  <si>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</si>
  <si>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</si>
  <si>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</si>
  <si>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</si>
  <si>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</si>
  <si>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</si>
  <si>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</si>
  <si>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</si>
  <si>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</si>
  <si>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</si>
  <si>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</si>
  <si>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</si>
  <si>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</si>
  <si>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</si>
  <si>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</si>
  <si>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</si>
  <si>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</si>
  <si>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</si>
  <si>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</si>
  <si>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</si>
  <si>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</si>
  <si>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</si>
  <si>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</si>
  <si>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</si>
  <si>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</si>
  <si>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</si>
  <si>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</si>
  <si>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</si>
  <si>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</si>
  <si>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</si>
  <si>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</si>
  <si>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</si>
  <si>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</si>
  <si>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</si>
  <si>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</si>
  <si>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</si>
  <si>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</si>
  <si>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</si>
  <si>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</si>
  <si>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</si>
  <si>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</si>
  <si>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</si>
  <si>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</si>
  <si>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</si>
  <si>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</si>
  <si>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</si>
  <si>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</si>
  <si>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</si>
  <si>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</si>
  <si>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</si>
  <si>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</si>
  <si>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</si>
  <si>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</si>
  <si>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</si>
  <si>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</si>
  <si>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</si>
  <si>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</si>
  <si>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</si>
  <si>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</si>
  <si>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</si>
  <si>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</si>
  <si>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</si>
  <si>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</si>
  <si>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</si>
  <si>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</si>
  <si>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</si>
  <si>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</si>
  <si>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</si>
  <si>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</si>
  <si>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</si>
  <si>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</si>
  <si>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</si>
  <si>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</si>
  <si>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</si>
  <si>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</si>
  <si>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</si>
  <si>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</si>
  <si>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</si>
  <si>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</si>
  <si>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</si>
  <si>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</si>
  <si>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</si>
  <si>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</si>
  <si>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</si>
  <si>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</si>
  <si>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</si>
  <si>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</si>
  <si>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</si>
  <si>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</si>
  <si>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</si>
  <si>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</si>
  <si>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</si>
  <si>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</si>
  <si>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</si>
  <si>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</si>
  <si>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</si>
  <si>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</si>
  <si>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</si>
  <si>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</si>
  <si>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</si>
  <si>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</si>
  <si>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</si>
  <si>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</si>
  <si>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</si>
  <si>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</si>
  <si>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</si>
  <si>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</si>
  <si>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</si>
  <si>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</si>
  <si>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</si>
  <si>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</si>
  <si>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</si>
  <si>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</si>
  <si>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</si>
  <si>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</si>
  <si>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</si>
  <si>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</si>
  <si>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</si>
  <si>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</si>
  <si>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</si>
  <si>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</si>
  <si>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</si>
  <si>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</si>
  <si>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</si>
  <si>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</si>
  <si>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</si>
  <si>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</si>
  <si>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</si>
  <si>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</si>
  <si>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</si>
  <si>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</si>
  <si>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</si>
  <si>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</si>
  <si>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</si>
  <si>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</si>
  <si>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</si>
  <si>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</si>
  <si>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</si>
  <si>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</si>
  <si>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</si>
  <si>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</si>
  <si>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</si>
  <si>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</si>
  <si>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</si>
  <si>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</si>
  <si>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</si>
  <si>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</si>
  <si>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</si>
  <si>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</si>
  <si>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</si>
  <si>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</si>
  <si>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</si>
  <si>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</si>
  <si>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</si>
  <si>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</si>
  <si>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</si>
  <si>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</si>
  <si>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</si>
  <si>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</si>
  <si>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</si>
  <si>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</si>
  <si>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</si>
  <si>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</si>
  <si>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</si>
  <si>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</si>
  <si>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</si>
  <si>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</si>
  <si>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</si>
  <si>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</si>
  <si>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</si>
  <si>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</si>
  <si>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</si>
  <si>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</si>
  <si>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</si>
  <si>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</si>
  <si>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</si>
  <si>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</si>
  <si>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</si>
  <si>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</si>
  <si>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</si>
  <si>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</si>
  <si>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</si>
  <si>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</si>
  <si>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</si>
  <si>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</si>
  <si>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</si>
  <si>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</si>
  <si>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</si>
  <si>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</si>
  <si>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</si>
  <si>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</si>
  <si>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</si>
  <si>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</si>
  <si>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</si>
  <si>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</si>
  <si>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</si>
  <si>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</si>
  <si>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</si>
  <si>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</si>
  <si>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</si>
  <si>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</si>
  <si>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</si>
  <si>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</si>
  <si>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</si>
  <si>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</si>
  <si>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</si>
  <si>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</si>
  <si>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</si>
  <si>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</si>
  <si>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</si>
  <si>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</si>
  <si>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</si>
  <si>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</si>
  <si>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</si>
  <si>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</si>
  <si>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</si>
  <si>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</si>
  <si>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</si>
  <si>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</si>
  <si>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</si>
  <si>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</si>
  <si>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</si>
  <si>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</si>
  <si>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</si>
  <si>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</si>
  <si>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</si>
  <si>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</si>
  <si>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</si>
  <si>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</si>
  <si>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</si>
  <si>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</si>
  <si>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</si>
  <si>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</si>
  <si>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</si>
  <si>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</si>
  <si>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</si>
  <si>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</si>
  <si>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</si>
  <si>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</si>
  <si>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</si>
  <si>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</si>
  <si>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</si>
  <si>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</si>
  <si>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</si>
  <si>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</si>
  <si>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</si>
  <si>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</si>
  <si>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</si>
  <si>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</si>
  <si>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</si>
  <si>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</si>
  <si>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</si>
  <si>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</si>
  <si>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</si>
  <si>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</si>
  <si>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</si>
  <si>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</si>
  <si>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</si>
  <si>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</si>
  <si>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</si>
  <si>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</si>
  <si>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</si>
  <si>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</si>
  <si>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</si>
  <si>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</si>
  <si>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</si>
  <si>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</si>
  <si>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</si>
  <si>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</si>
  <si>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</si>
  <si>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</si>
  <si>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</si>
  <si>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</si>
  <si>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</si>
  <si>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</si>
  <si>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</si>
  <si>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</si>
  <si>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</si>
  <si>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</si>
  <si>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</si>
  <si>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</si>
  <si>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</si>
  <si>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</si>
  <si>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</si>
  <si>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</si>
  <si>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</si>
  <si>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</si>
  <si>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</si>
  <si>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</si>
  <si>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</si>
  <si>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</si>
  <si>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</si>
  <si>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</si>
  <si>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</si>
  <si>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</si>
  <si>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</si>
  <si>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</si>
  <si>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</si>
  <si>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</si>
  <si>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</si>
  <si>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</si>
  <si>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</si>
  <si>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</si>
  <si>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</si>
  <si>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</si>
  <si>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</si>
  <si>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</si>
  <si>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</si>
  <si>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</si>
  <si>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</si>
  <si>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</si>
  <si>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</si>
  <si>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</si>
  <si>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</si>
  <si>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</si>
  <si>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</si>
  <si>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</si>
  <si>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</si>
  <si>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</si>
  <si>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</si>
  <si>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</si>
  <si>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</si>
  <si>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</si>
  <si>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</si>
  <si>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</si>
  <si>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</si>
  <si>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</si>
  <si>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</si>
  <si>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</si>
  <si>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</si>
  <si>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</si>
  <si>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</si>
  <si>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</si>
  <si>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</si>
  <si>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</si>
  <si>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</si>
  <si>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</si>
  <si>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</si>
  <si>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</si>
  <si>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</si>
  <si>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</si>
  <si>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</si>
  <si>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</si>
  <si>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</si>
  <si>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</si>
  <si>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</si>
  <si>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</si>
  <si>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</si>
  <si>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</si>
  <si>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</si>
  <si>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</si>
  <si>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</si>
  <si>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</si>
  <si>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</si>
  <si>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</si>
  <si>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</si>
  <si>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</si>
  <si>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</si>
  <si>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</si>
  <si>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</si>
  <si>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</si>
  <si>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</si>
  <si>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</si>
  <si>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</si>
  <si>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</si>
  <si>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</si>
  <si>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</si>
  <si>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</si>
  <si>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</si>
  <si>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</si>
  <si>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</si>
  <si>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</si>
  <si>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</si>
  <si>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</si>
  <si>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</si>
  <si>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</si>
  <si>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</si>
  <si>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</si>
  <si>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</si>
  <si>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</si>
  <si>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</si>
  <si>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</si>
  <si>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</si>
  <si>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</si>
  <si>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</si>
  <si>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</si>
  <si>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</si>
  <si>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</si>
  <si>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</si>
  <si>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</si>
  <si>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</si>
  <si>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</si>
  <si>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</si>
  <si>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</si>
  <si>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</si>
  <si>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</si>
  <si>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</si>
  <si>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</si>
  <si>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</si>
  <si>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</si>
  <si>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</si>
  <si>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</si>
  <si>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</si>
  <si>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</si>
  <si>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</si>
  <si>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</si>
  <si>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</si>
  <si>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</si>
  <si>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</si>
  <si>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</si>
  <si>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</si>
  <si>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</si>
  <si>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</si>
  <si>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</si>
  <si>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</si>
  <si>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</si>
  <si>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</si>
  <si>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</si>
  <si>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</si>
  <si>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</si>
  <si>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</si>
  <si>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</si>
  <si>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</si>
  <si>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</si>
  <si>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</si>
  <si>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</si>
  <si>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</si>
  <si>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</si>
  <si>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</si>
  <si>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</si>
  <si>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</si>
  <si>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</si>
  <si>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</si>
  <si>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</si>
  <si>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</si>
  <si>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</si>
  <si>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</si>
  <si>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</si>
  <si>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</si>
  <si>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</si>
  <si>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</si>
  <si>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</si>
  <si>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</si>
  <si>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</si>
  <si>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</si>
  <si>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</si>
  <si>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</si>
  <si>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</si>
  <si>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</si>
  <si>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</si>
  <si>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</si>
  <si>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</si>
  <si>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</si>
  <si>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</si>
  <si>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</si>
  <si>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</si>
  <si>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</si>
  <si>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</si>
  <si>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</si>
  <si>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</si>
  <si>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</si>
  <si>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</si>
  <si>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</si>
  <si>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</si>
  <si>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</si>
  <si>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</si>
  <si>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</si>
  <si>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</si>
  <si>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</si>
  <si>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</si>
  <si>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</si>
  <si>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</si>
  <si>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</si>
  <si>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</si>
  <si>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</si>
  <si>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</si>
  <si>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</si>
  <si>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</si>
  <si>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</si>
  <si>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</si>
  <si>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</si>
  <si>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</si>
  <si>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</si>
  <si>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</si>
  <si>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</si>
  <si>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</si>
  <si>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</si>
  <si>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</si>
  <si>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</si>
  <si>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</si>
  <si>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</si>
  <si>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</si>
  <si>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</si>
  <si>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</si>
  <si>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</si>
  <si>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</si>
  <si>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</si>
  <si>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</si>
  <si>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</si>
  <si>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</si>
  <si>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</si>
  <si>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</si>
  <si>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</si>
  <si>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</si>
  <si>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</si>
  <si>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</si>
  <si>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</si>
  <si>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</si>
  <si>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</si>
  <si>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</si>
  <si>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</si>
  <si>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</si>
  <si>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</si>
  <si>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</si>
  <si>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</si>
  <si>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</si>
  <si>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</si>
  <si>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</si>
  <si>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</si>
  <si>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</si>
  <si>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</si>
  <si>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</si>
  <si>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</si>
  <si>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</si>
  <si>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</si>
  <si>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</si>
  <si>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</si>
  <si>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</si>
  <si>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</si>
  <si>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</si>
  <si>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</si>
  <si>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</si>
  <si>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</si>
  <si>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</si>
  <si>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</si>
  <si>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</si>
  <si>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</si>
  <si>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</si>
  <si>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</si>
  <si>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</si>
  <si>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</si>
  <si>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</si>
  <si>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</si>
  <si>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</si>
  <si>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</si>
  <si>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</si>
  <si>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</si>
  <si>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</si>
  <si>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</si>
  <si>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</si>
  <si>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</si>
  <si>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</si>
  <si>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</si>
  <si>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</si>
  <si>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</si>
  <si>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</si>
  <si>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</si>
  <si>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</si>
  <si>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</si>
  <si>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</si>
  <si>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</si>
  <si>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</si>
  <si>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</si>
  <si>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</si>
  <si>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</si>
  <si>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</si>
  <si>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</si>
  <si>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</si>
  <si>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</si>
  <si>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</si>
  <si>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</si>
  <si>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</si>
  <si>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</si>
  <si>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</si>
  <si>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</si>
  <si>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</si>
  <si>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</si>
  <si>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</si>
  <si>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</si>
  <si>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</si>
  <si>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</si>
  <si>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</si>
  <si>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</si>
  <si>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</si>
  <si>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</si>
  <si>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</si>
  <si>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</si>
  <si>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</si>
  <si>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</si>
  <si>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</si>
  <si>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</si>
  <si>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</si>
  <si>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</si>
  <si>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</si>
  <si>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</si>
  <si>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</si>
  <si>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</si>
  <si>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</si>
  <si>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</si>
  <si>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</si>
  <si>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</si>
  <si>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</si>
  <si>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</si>
  <si>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</si>
  <si>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</si>
  <si>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</si>
  <si>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</si>
  <si>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</si>
  <si>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</si>
  <si>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</si>
  <si>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</si>
  <si>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</si>
  <si>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</si>
  <si>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</si>
  <si>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</si>
  <si>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</si>
  <si>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</si>
  <si>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</si>
  <si>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</si>
  <si>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</si>
  <si>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</si>
  <si>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</si>
  <si>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</si>
  <si>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</si>
  <si>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</si>
  <si>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</si>
  <si>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</si>
  <si>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</si>
  <si>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</si>
  <si>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</si>
  <si>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</si>
  <si>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</si>
  <si>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</si>
  <si>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</si>
  <si>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</si>
  <si>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</si>
  <si>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</si>
  <si>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</si>
  <si>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</si>
  <si>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</si>
  <si>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</si>
  <si>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</si>
  <si>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</si>
  <si>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</si>
  <si>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</si>
  <si>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</si>
  <si>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</si>
  <si>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</si>
  <si>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</si>
  <si>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</si>
  <si>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</si>
  <si>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</si>
  <si>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</si>
  <si>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</si>
  <si>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</si>
  <si>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</si>
  <si>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</si>
  <si>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</si>
  <si>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</si>
  <si>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</si>
  <si>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</si>
  <si>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</si>
  <si>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</si>
  <si>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</si>
  <si>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</si>
  <si>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</si>
  <si>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</si>
  <si>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</si>
  <si>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</si>
  <si>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</si>
  <si>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</si>
  <si>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</si>
  <si>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</si>
  <si>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</si>
  <si>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</si>
  <si>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</si>
  <si>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</si>
  <si>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</si>
  <si>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</si>
  <si>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</si>
  <si>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</si>
  <si>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</si>
  <si>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</si>
  <si>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</si>
  <si>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</si>
  <si>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</si>
  <si>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</si>
  <si>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</si>
  <si>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</si>
  <si>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</si>
  <si>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</si>
  <si>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</si>
  <si>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</si>
  <si>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</si>
  <si>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</si>
  <si>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</si>
  <si>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</si>
  <si>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</si>
  <si>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</si>
  <si>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</si>
  <si>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</si>
  <si>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</si>
  <si>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</si>
  <si>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</si>
  <si>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</si>
  <si>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</si>
  <si>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</si>
  <si>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</si>
  <si>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</si>
  <si>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</si>
  <si>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</si>
  <si>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</si>
  <si>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</si>
  <si>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</si>
  <si>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</si>
  <si>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</si>
  <si>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</si>
  <si>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</si>
  <si>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</si>
  <si>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</si>
  <si>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</si>
  <si>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</si>
  <si>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</si>
  <si>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</si>
  <si>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</si>
  <si>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</si>
  <si>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</si>
  <si>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</si>
  <si>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</si>
  <si>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</si>
  <si>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</si>
  <si>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</si>
  <si>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</si>
  <si>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</si>
  <si>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</si>
  <si>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</si>
  <si>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</si>
  <si>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</si>
  <si>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</si>
  <si>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</si>
  <si>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</si>
  <si>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</si>
  <si>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</si>
  <si>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</si>
  <si>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</si>
  <si>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</si>
  <si>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</si>
  <si>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</si>
  <si>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</si>
  <si>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</si>
  <si>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</si>
  <si>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</si>
  <si>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</si>
  <si>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</si>
  <si>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</si>
  <si>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</si>
  <si>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</si>
  <si>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</si>
  <si>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</si>
  <si>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</si>
  <si>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</si>
  <si>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</si>
  <si>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</si>
  <si>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</si>
  <si>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</si>
  <si>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</si>
  <si>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</si>
  <si>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</si>
  <si>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</si>
  <si>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</si>
  <si>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</si>
  <si>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</si>
  <si>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</si>
  <si>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</si>
  <si>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</si>
  <si>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</si>
  <si>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</si>
  <si>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</si>
  <si>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</si>
  <si>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</si>
  <si>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</si>
  <si>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</si>
  <si>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</si>
  <si>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</si>
  <si>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</si>
  <si>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</si>
  <si>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</si>
  <si>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</si>
  <si>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</si>
  <si>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</si>
  <si>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</si>
  <si>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</si>
  <si>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</si>
  <si>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</si>
  <si>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</si>
  <si>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</si>
  <si>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</si>
  <si>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</si>
  <si>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</si>
  <si>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</si>
  <si>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</si>
  <si>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</si>
  <si>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</si>
  <si>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</si>
  <si>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</si>
  <si>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</si>
  <si>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</si>
  <si>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</si>
  <si>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</si>
  <si>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</si>
  <si>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</si>
  <si>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</si>
  <si>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</si>
  <si>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</si>
  <si>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</si>
  <si>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</si>
  <si>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</si>
  <si>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</si>
  <si>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</si>
  <si>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</si>
  <si>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</si>
  <si>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</si>
  <si>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</si>
  <si>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</si>
  <si>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</si>
  <si>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</si>
  <si>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</si>
  <si>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</si>
  <si>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</si>
  <si>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</si>
  <si>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</si>
  <si>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</si>
  <si>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</si>
  <si>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</si>
  <si>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</si>
  <si>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</si>
  <si>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</si>
  <si>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</si>
  <si>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</si>
  <si>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</si>
  <si>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</si>
  <si>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</si>
  <si>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</si>
  <si>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</si>
  <si>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</si>
  <si>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</si>
  <si>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</si>
  <si>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</si>
  <si>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</si>
  <si>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</si>
  <si>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</si>
  <si>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</si>
  <si>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</si>
  <si>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</si>
  <si>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</si>
  <si>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</si>
  <si>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</si>
  <si>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</si>
  <si>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</si>
  <si>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</si>
  <si>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</si>
  <si>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</si>
  <si>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</si>
  <si>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</si>
  <si>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</si>
  <si>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</si>
  <si>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</si>
  <si>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</si>
  <si>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</si>
  <si>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</si>
  <si>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</si>
  <si>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</si>
  <si>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</si>
  <si>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</si>
  <si>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</si>
  <si>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</si>
  <si>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</si>
  <si>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</si>
  <si>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</si>
  <si>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</si>
  <si>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</si>
  <si>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</si>
  <si>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</si>
  <si>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</si>
  <si>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</si>
  <si>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</si>
  <si>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</si>
  <si>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</si>
  <si>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</si>
  <si>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</si>
  <si>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</si>
  <si>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</si>
  <si>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</si>
  <si>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</si>
  <si>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</si>
  <si>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</si>
  <si>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</si>
  <si>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</si>
  <si>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</si>
  <si>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</si>
  <si>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</si>
  <si>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</si>
  <si>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</si>
  <si>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</si>
  <si>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</si>
  <si>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</si>
  <si>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</si>
  <si>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</si>
  <si>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</si>
  <si>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</si>
  <si>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</si>
  <si>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</si>
  <si>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</si>
  <si>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</si>
  <si>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</si>
  <si>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</si>
  <si>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</si>
  <si>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</si>
  <si>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</si>
  <si>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</si>
  <si>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</si>
  <si>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</si>
  <si>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</si>
  <si>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</si>
  <si>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</si>
  <si>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</si>
  <si>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</si>
  <si>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</si>
  <si>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</si>
  <si>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</si>
  <si>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</si>
  <si>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</si>
  <si>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</si>
  <si>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</si>
  <si>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</si>
  <si>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</si>
  <si>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</si>
  <si>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</si>
  <si>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</si>
  <si>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</si>
  <si>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</si>
  <si>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</si>
  <si>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</si>
  <si>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</si>
  <si>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</si>
  <si>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</si>
  <si>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</si>
  <si>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</si>
  <si>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</si>
  <si>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</si>
  <si>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</si>
  <si>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</si>
  <si>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</si>
  <si>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</si>
  <si>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</si>
  <si>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</si>
  <si>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</si>
  <si>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</si>
  <si>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</si>
  <si>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</si>
  <si>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</si>
  <si>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</si>
  <si>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</si>
  <si>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</si>
  <si>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</si>
  <si>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</si>
  <si>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</si>
  <si>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</si>
  <si>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</si>
  <si>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</si>
  <si>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</si>
  <si>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</si>
  <si>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</si>
  <si>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</si>
  <si>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</si>
  <si>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</si>
  <si>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140</t>
  </si>
  <si>
    <t>Kittitas Valley Healthcare</t>
  </si>
  <si>
    <t>Julie A. Petersen</t>
  </si>
  <si>
    <t>Matthew Altman</t>
  </si>
  <si>
    <t>(509) 962-9841</t>
  </si>
  <si>
    <t>(509) 962-7351</t>
  </si>
  <si>
    <t>603 South Chestnut</t>
  </si>
  <si>
    <t>Ellensburg, WA 98926</t>
  </si>
  <si>
    <t>Dale Scott Olander</t>
  </si>
  <si>
    <t>X</t>
  </si>
  <si>
    <t xml:space="preserve"> </t>
  </si>
  <si>
    <t>12/31/2019</t>
  </si>
  <si>
    <t>Dr. Bob Davis</t>
  </si>
  <si>
    <t>Kittitas County</t>
  </si>
  <si>
    <t>???</t>
  </si>
  <si>
    <t>12/31/2018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</si>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</sst>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9592681</v>
      </c>
      <c r="C48" s="245">
        <f>ROUND(((B48/CE61)*C61),0)</f>
        <v>249054</v>
      </c>
      <c r="D48" s="245">
        <f>ROUND(((B48/CE61)*D61),0)</f>
        <v>0</v>
      </c>
      <c r="E48" s="195">
        <f>ROUND(((B48/CE61)*E61),0)</f>
        <v>346169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99773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207529</v>
      </c>
      <c r="P48" s="195">
        <f>ROUND(((B48/CE61)*P61),0)</f>
        <v>511313</v>
      </c>
      <c r="Q48" s="195">
        <f>ROUND(((B48/CE61)*Q61),0)</f>
        <v>32054</v>
      </c>
      <c r="R48" s="195">
        <f>ROUND(((B48/CE61)*R61),0)</f>
        <v>0</v>
      </c>
      <c r="S48" s="195">
        <f>ROUND(((B48/CE61)*S61),0)</f>
        <v>39699</v>
      </c>
      <c r="T48" s="195">
        <f>ROUND(((B48/CE61)*T61),0)</f>
        <v>0</v>
      </c>
      <c r="U48" s="195">
        <f>ROUND(((B48/CE61)*U61),0)</f>
        <v>335991</v>
      </c>
      <c r="V48" s="195">
        <f>ROUND(((B48/CE61)*V61),0)</f>
        <v>7630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342911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285082</v>
      </c>
      <c r="AC48" s="195">
        <f>ROUND(((B48/CE61)*AC61),0)</f>
        <v>91133</v>
      </c>
      <c r="AD48" s="195">
        <f>ROUND(((B48/CE61)*AD61),0)</f>
        <v>0</v>
      </c>
      <c r="AE48" s="195">
        <f>ROUND(((B48/CE61)*AE61),0)</f>
        <v>32853</v>
      </c>
      <c r="AF48" s="195">
        <f>ROUND(((B48/CE61)*AF61),0)</f>
        <v>0</v>
      </c>
      <c r="AG48" s="195">
        <f>ROUND(((B48/CE61)*AG61),0)</f>
        <v>1028579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3317393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376965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144675</v>
      </c>
      <c r="AZ48" s="195">
        <f>ROUND(((B48/CE61)*AZ61),0)</f>
        <v>0</v>
      </c>
      <c r="BA48" s="195">
        <f>ROUND(((B48/CE61)*BA61),0)</f>
        <v>29088</v>
      </c>
      <c r="BB48" s="195">
        <f>ROUND(((B48/CE61)*BB61),0)</f>
        <v>30604</v>
      </c>
      <c r="BC48" s="195">
        <f>ROUND(((B48/CE61)*BC61),0)</f>
        <v>0</v>
      </c>
      <c r="BD48" s="195">
        <f>ROUND(((B48/CE61)*BD61),0)</f>
        <v>67725</v>
      </c>
      <c r="BE48" s="195">
        <f>ROUND(((B48/CE61)*BE61),0)</f>
        <v>112680</v>
      </c>
      <c r="BF48" s="195">
        <f>ROUND(((B48/CE61)*BF61),0)</f>
        <v>143267</v>
      </c>
      <c r="BG48" s="195">
        <f>ROUND(((B48/CE61)*BG61),0)</f>
        <v>0</v>
      </c>
      <c r="BH48" s="195">
        <f>ROUND(((B48/CE61)*BH61),0)</f>
        <v>291127</v>
      </c>
      <c r="BI48" s="195">
        <f>ROUND(((B48/CE61)*BI61),0)</f>
        <v>0</v>
      </c>
      <c r="BJ48" s="195">
        <f>ROUND(((B48/CE61)*BJ61),0)</f>
        <v>100696</v>
      </c>
      <c r="BK48" s="195">
        <f>ROUND(((B48/CE61)*BK61),0)</f>
        <v>297270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238728</v>
      </c>
      <c r="BO48" s="195">
        <f>ROUND(((B48/CE61)*BO61),0)</f>
        <v>12948</v>
      </c>
      <c r="BP48" s="195">
        <f>ROUND(((B48/CE61)*BP61),0)</f>
        <v>43956</v>
      </c>
      <c r="BQ48" s="195">
        <f>ROUND(((B48/CE61)*BQ61),0)</f>
        <v>0</v>
      </c>
      <c r="BR48" s="195">
        <f>ROUND(((B48/CE61)*BR61),0)</f>
        <v>90488</v>
      </c>
      <c r="BS48" s="195">
        <f>ROUND(((B48/CE61)*BS61),0)</f>
        <v>19227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161338</v>
      </c>
      <c r="BW48" s="195">
        <f>ROUND(((B48/CE61)*BW61),0)</f>
        <v>114716</v>
      </c>
      <c r="BX48" s="195">
        <f>ROUND(((B48/CE61)*BX61),0)</f>
        <v>142613</v>
      </c>
      <c r="BY48" s="195">
        <f>ROUND(((B48/CE61)*BY61),0)</f>
        <v>247408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9592682</v>
      </c>
    </row>
    <row r="49" spans="1:84" ht="12.6" customHeight="1" x14ac:dyDescent="0.25">
      <c r="A49" s="175" t="s">
        <v>206</v>
      </c>
      <c r="B49" s="195">
        <f>B47+B48</f>
        <v>9592681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>
        <v>27673</v>
      </c>
      <c r="D51" s="184"/>
      <c r="E51" s="184">
        <f>62473+13274</f>
        <v>75747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46836</v>
      </c>
      <c r="P51" s="184">
        <f>167416+2759+7250</f>
        <v>177425</v>
      </c>
      <c r="Q51" s="184">
        <f>4439+13777</f>
        <v>18216</v>
      </c>
      <c r="R51" s="184"/>
      <c r="S51" s="184">
        <v>43330</v>
      </c>
      <c r="T51" s="184"/>
      <c r="U51" s="184">
        <v>108029</v>
      </c>
      <c r="V51" s="184">
        <v>14170</v>
      </c>
      <c r="W51" s="184"/>
      <c r="X51" s="184"/>
      <c r="Y51" s="184">
        <v>179058</v>
      </c>
      <c r="Z51" s="184"/>
      <c r="AA51" s="184"/>
      <c r="AB51" s="184">
        <v>5199</v>
      </c>
      <c r="AC51" s="184">
        <v>21216</v>
      </c>
      <c r="AD51" s="184"/>
      <c r="AE51" s="184">
        <v>4156</v>
      </c>
      <c r="AF51" s="184"/>
      <c r="AG51" s="184">
        <v>38073</v>
      </c>
      <c r="AH51" s="184"/>
      <c r="AI51" s="184"/>
      <c r="AJ51" s="184">
        <f>9037+57714</f>
        <v>66751</v>
      </c>
      <c r="AK51" s="184">
        <v>955</v>
      </c>
      <c r="AL51" s="184"/>
      <c r="AM51" s="184"/>
      <c r="AN51" s="184"/>
      <c r="AO51" s="184"/>
      <c r="AP51" s="184"/>
      <c r="AQ51" s="184"/>
      <c r="AR51" s="184">
        <v>4295</v>
      </c>
      <c r="AS51" s="184"/>
      <c r="AT51" s="184"/>
      <c r="AU51" s="184"/>
      <c r="AV51" s="184"/>
      <c r="AW51" s="184"/>
      <c r="AX51" s="184"/>
      <c r="AY51" s="184">
        <v>4111</v>
      </c>
      <c r="AZ51" s="184"/>
      <c r="BA51" s="184">
        <v>4443</v>
      </c>
      <c r="BB51" s="184"/>
      <c r="BC51" s="184"/>
      <c r="BD51" s="184"/>
      <c r="BE51" s="184">
        <v>47933</v>
      </c>
      <c r="BF51" s="184">
        <v>1434</v>
      </c>
      <c r="BG51" s="184"/>
      <c r="BH51" s="184">
        <f>1183681-13161</f>
        <v>1170520</v>
      </c>
      <c r="BI51" s="184"/>
      <c r="BJ51" s="184">
        <v>61439</v>
      </c>
      <c r="BK51" s="184">
        <v>24</v>
      </c>
      <c r="BL51" s="184"/>
      <c r="BM51" s="184"/>
      <c r="BN51" s="184">
        <v>7961</v>
      </c>
      <c r="BO51" s="184"/>
      <c r="BP51" s="184"/>
      <c r="BQ51" s="184"/>
      <c r="BR51" s="184">
        <v>76059</v>
      </c>
      <c r="BS51" s="184">
        <v>1088</v>
      </c>
      <c r="BT51" s="184"/>
      <c r="BU51" s="184"/>
      <c r="BV51" s="184">
        <v>49347</v>
      </c>
      <c r="BW51" s="184"/>
      <c r="BX51" s="184">
        <v>1148</v>
      </c>
      <c r="BY51" s="184">
        <f>4446+55</f>
        <v>4501</v>
      </c>
      <c r="BZ51" s="184"/>
      <c r="CA51" s="184"/>
      <c r="CB51" s="184"/>
      <c r="CC51" s="184"/>
      <c r="CD51" s="195"/>
      <c r="CE51" s="195">
        <f>SUM(C51:CD51)</f>
        <v>2261137</v>
      </c>
    </row>
    <row r="52" spans="1:84" ht="12.6" customHeight="1" x14ac:dyDescent="0.25">
      <c r="A52" s="171" t="s">
        <v>208</v>
      </c>
      <c r="B52" s="184">
        <v>1440628</v>
      </c>
      <c r="C52" s="195">
        <f>ROUND((B52/(CE76+CF76)*C76),0)</f>
        <v>42888</v>
      </c>
      <c r="D52" s="195">
        <f>ROUND((B52/(CE76+CF76)*D76),0)</f>
        <v>0</v>
      </c>
      <c r="E52" s="195">
        <f>ROUND((B52/(CE76+CF76)*E76),0)</f>
        <v>185425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3731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29194</v>
      </c>
      <c r="P52" s="195">
        <f>ROUND((B52/(CE76+CF76)*P76),0)</f>
        <v>182020</v>
      </c>
      <c r="Q52" s="195">
        <f>ROUND((B52/(CE76+CF76)*Q76),0)</f>
        <v>14982</v>
      </c>
      <c r="R52" s="195">
        <f>ROUND((B52/(CE76+CF76)*R76),0)</f>
        <v>0</v>
      </c>
      <c r="S52" s="195">
        <f>ROUND((B52/(CE76+CF76)*S76),0)</f>
        <v>22636</v>
      </c>
      <c r="T52" s="195">
        <f>ROUND((B52/(CE76+CF76)*T76),0)</f>
        <v>0</v>
      </c>
      <c r="U52" s="195">
        <f>ROUND((B52/(CE76+CF76)*U76),0)</f>
        <v>23687</v>
      </c>
      <c r="V52" s="195">
        <f>ROUND((B52/(CE76+CF76)*V76),0)</f>
        <v>3553</v>
      </c>
      <c r="W52" s="195">
        <f>ROUND((B52/(CE76+CF76)*W76),0)</f>
        <v>2102</v>
      </c>
      <c r="X52" s="195">
        <f>ROUND((B52/(CE76+CF76)*X76),0)</f>
        <v>33636</v>
      </c>
      <c r="Y52" s="195">
        <f>ROUND((B52/(CE76+CF76)*Y76),0)</f>
        <v>34879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13990</v>
      </c>
      <c r="AC52" s="195">
        <f>ROUND((B52/(CE76+CF76)*AC76),0)</f>
        <v>11725</v>
      </c>
      <c r="AD52" s="195">
        <f>ROUND((B52/(CE76+CF76)*AD76),0)</f>
        <v>0</v>
      </c>
      <c r="AE52" s="195">
        <f>ROUND((B52/(CE76+CF76)*AE76),0)</f>
        <v>3997</v>
      </c>
      <c r="AF52" s="195">
        <f>ROUND((B52/(CE76+CF76)*AF76),0)</f>
        <v>0</v>
      </c>
      <c r="AG52" s="195">
        <f>ROUND((B52/(CE76+CF76)*AG76),0)</f>
        <v>76361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62741</v>
      </c>
      <c r="AK52" s="195">
        <f>ROUND((B52/(CE76+CF76)*AK76),0)</f>
        <v>22695</v>
      </c>
      <c r="AL52" s="195">
        <f>ROUND((B52/(CE76+CF76)*AL76),0)</f>
        <v>11350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23332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59217</v>
      </c>
      <c r="AZ52" s="195">
        <f>ROUND((B52/(CE76+CF76)*AZ76),0)</f>
        <v>0</v>
      </c>
      <c r="BA52" s="195">
        <f>ROUND((B52/(CE76+CF76)*BA76),0)</f>
        <v>12643</v>
      </c>
      <c r="BB52" s="195">
        <f>ROUND((B52/(CE76+CF76)*BB76),0)</f>
        <v>3198</v>
      </c>
      <c r="BC52" s="195">
        <f>ROUND((B52/(CE76+CF76)*BC76),0)</f>
        <v>0</v>
      </c>
      <c r="BD52" s="195">
        <f>ROUND((B52/(CE76+CF76)*BD76),0)</f>
        <v>23776</v>
      </c>
      <c r="BE52" s="195">
        <f>ROUND((B52/(CE76+CF76)*BE76),0)</f>
        <v>112780</v>
      </c>
      <c r="BF52" s="195">
        <f>ROUND((B52/(CE76+CF76)*BF76),0)</f>
        <v>5078</v>
      </c>
      <c r="BG52" s="195">
        <f>ROUND((B52/(CE76+CF76)*BG76),0)</f>
        <v>0</v>
      </c>
      <c r="BH52" s="195">
        <f>ROUND((B52/(CE76+CF76)*BH76),0)</f>
        <v>13975</v>
      </c>
      <c r="BI52" s="195">
        <f>ROUND((B52/(CE76+CF76)*BI76),0)</f>
        <v>0</v>
      </c>
      <c r="BJ52" s="195">
        <f>ROUND((B52/(CE76+CF76)*BJ76),0)</f>
        <v>7151</v>
      </c>
      <c r="BK52" s="195">
        <f>ROUND((B52/(CE76+CF76)*BK76),0)</f>
        <v>133106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239727</v>
      </c>
      <c r="BO52" s="195">
        <f>ROUND((B52/(CE76+CF76)*BO76),0)</f>
        <v>1554</v>
      </c>
      <c r="BP52" s="195">
        <f>ROUND((B52/(CE76+CF76)*BP76),0)</f>
        <v>4352</v>
      </c>
      <c r="BQ52" s="195">
        <f>ROUND((B52/(CE76+CF76)*BQ76),0)</f>
        <v>0</v>
      </c>
      <c r="BR52" s="195">
        <f>ROUND((B52/(CE76+CF76)*BR76),0)</f>
        <v>10881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1244</v>
      </c>
      <c r="BX52" s="195">
        <f>ROUND((B52/(CE76+CF76)*BX76),0)</f>
        <v>0</v>
      </c>
      <c r="BY52" s="195">
        <f>ROUND((B52/(CE76+CF76)*BY76),0)</f>
        <v>7017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1440623</v>
      </c>
    </row>
    <row r="53" spans="1:84" ht="12.6" customHeight="1" x14ac:dyDescent="0.25">
      <c r="A53" s="175" t="s">
        <v>206</v>
      </c>
      <c r="B53" s="195">
        <f>B51+B52</f>
        <v>1440628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243</v>
      </c>
      <c r="D59" s="184"/>
      <c r="E59" s="184">
        <v>1982</v>
      </c>
      <c r="F59" s="184"/>
      <c r="G59" s="184"/>
      <c r="H59" s="184"/>
      <c r="I59" s="184"/>
      <c r="J59" s="184">
        <v>498</v>
      </c>
      <c r="K59" s="184"/>
      <c r="L59" s="184">
        <v>48</v>
      </c>
      <c r="M59" s="184"/>
      <c r="N59" s="184"/>
      <c r="O59" s="184">
        <v>309</v>
      </c>
      <c r="P59" s="185">
        <f>34834+71917</f>
        <v>106751</v>
      </c>
      <c r="Q59" s="185">
        <v>57939</v>
      </c>
      <c r="R59" s="185"/>
      <c r="S59" s="248"/>
      <c r="T59" s="248"/>
      <c r="U59" s="224">
        <v>209144</v>
      </c>
      <c r="V59" s="185">
        <v>687</v>
      </c>
      <c r="W59" s="185">
        <v>1831</v>
      </c>
      <c r="X59" s="185">
        <v>5081</v>
      </c>
      <c r="Y59" s="185">
        <f>16113+2387+4298</f>
        <v>22798</v>
      </c>
      <c r="Z59" s="185"/>
      <c r="AA59" s="185"/>
      <c r="AB59" s="248"/>
      <c r="AC59" s="185" t="s">
        <v>1279</v>
      </c>
      <c r="AD59" s="185"/>
      <c r="AE59" s="185">
        <f>261+4423+1305</f>
        <v>5989</v>
      </c>
      <c r="AF59" s="185"/>
      <c r="AG59" s="185">
        <v>13861</v>
      </c>
      <c r="AH59" s="185"/>
      <c r="AI59" s="185"/>
      <c r="AJ59" s="185">
        <v>96976</v>
      </c>
      <c r="AK59" s="185"/>
      <c r="AL59" s="185"/>
      <c r="AM59" s="185"/>
      <c r="AN59" s="185"/>
      <c r="AO59" s="185"/>
      <c r="AP59" s="185"/>
      <c r="AQ59" s="185"/>
      <c r="AR59" s="185">
        <f>6553+9692</f>
        <v>16245</v>
      </c>
      <c r="AS59" s="185"/>
      <c r="AT59" s="185"/>
      <c r="AU59" s="185"/>
      <c r="AV59" s="248"/>
      <c r="AW59" s="248"/>
      <c r="AX59" s="248"/>
      <c r="AY59" s="185">
        <v>10124</v>
      </c>
      <c r="AZ59" s="185"/>
      <c r="BA59" s="248"/>
      <c r="BB59" s="248"/>
      <c r="BC59" s="248"/>
      <c r="BD59" s="248"/>
      <c r="BE59" s="185">
        <f>76229+21082</f>
        <v>97311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12.9</v>
      </c>
      <c r="D60" s="187"/>
      <c r="E60" s="187">
        <v>23</v>
      </c>
      <c r="F60" s="223"/>
      <c r="G60" s="187"/>
      <c r="H60" s="187"/>
      <c r="I60" s="187"/>
      <c r="J60" s="223">
        <v>5</v>
      </c>
      <c r="K60" s="187"/>
      <c r="L60" s="187"/>
      <c r="M60" s="187"/>
      <c r="N60" s="187"/>
      <c r="O60" s="187">
        <f>15.3+0.1-5</f>
        <v>10.4</v>
      </c>
      <c r="P60" s="187">
        <f>9.7+2.1+1.3+1.4+11.3</f>
        <v>25.8</v>
      </c>
      <c r="Q60" s="221">
        <v>0.7</v>
      </c>
      <c r="R60" s="221"/>
      <c r="S60" s="221">
        <v>3.5</v>
      </c>
      <c r="T60" s="221"/>
      <c r="U60" s="221">
        <v>23.3</v>
      </c>
      <c r="V60" s="221">
        <v>0.5</v>
      </c>
      <c r="W60" s="221"/>
      <c r="X60" s="221">
        <v>6.8</v>
      </c>
      <c r="Y60" s="221">
        <f>6.1+1.3+3.3+2.3</f>
        <v>13</v>
      </c>
      <c r="Z60" s="221"/>
      <c r="AA60" s="221"/>
      <c r="AB60" s="221">
        <f>10.4+2</f>
        <v>12.4</v>
      </c>
      <c r="AC60" s="221">
        <v>4.2</v>
      </c>
      <c r="AD60" s="221"/>
      <c r="AE60" s="221">
        <v>2</v>
      </c>
      <c r="AF60" s="221"/>
      <c r="AG60" s="221">
        <f>24.3+0.2+0.1+7</f>
        <v>31.6</v>
      </c>
      <c r="AH60" s="221"/>
      <c r="AI60" s="221"/>
      <c r="AJ60" s="221">
        <f>4.2+3.9+9.1+10.6+21.5+10.1+3.7+24.2+40.4+2.2+6.7</f>
        <v>136.59999999999997</v>
      </c>
      <c r="AK60" s="221"/>
      <c r="AL60" s="221"/>
      <c r="AM60" s="221"/>
      <c r="AN60" s="221"/>
      <c r="AO60" s="221"/>
      <c r="AP60" s="221"/>
      <c r="AQ60" s="221"/>
      <c r="AR60" s="185">
        <f>15.1+7.3</f>
        <v>22.4</v>
      </c>
      <c r="AS60" s="221"/>
      <c r="AT60" s="221"/>
      <c r="AU60" s="221"/>
      <c r="AV60" s="221"/>
      <c r="AW60" s="221"/>
      <c r="AX60" s="221"/>
      <c r="AY60" s="221">
        <f>13.8+0.9</f>
        <v>14.700000000000001</v>
      </c>
      <c r="AZ60" s="221"/>
      <c r="BA60" s="221">
        <v>3.1</v>
      </c>
      <c r="BB60" s="221">
        <v>1.7</v>
      </c>
      <c r="BC60" s="221"/>
      <c r="BD60" s="221">
        <v>6</v>
      </c>
      <c r="BE60" s="221">
        <v>7.1</v>
      </c>
      <c r="BF60" s="221">
        <v>16.7</v>
      </c>
      <c r="BG60" s="221"/>
      <c r="BH60" s="221">
        <v>14.4</v>
      </c>
      <c r="BI60" s="221"/>
      <c r="BJ60" s="221">
        <v>5.5</v>
      </c>
      <c r="BK60" s="221">
        <f>16+8.2+2.1</f>
        <v>26.3</v>
      </c>
      <c r="BL60" s="221"/>
      <c r="BM60" s="221"/>
      <c r="BN60" s="221">
        <f>6.4+0.1</f>
        <v>6.5</v>
      </c>
      <c r="BO60" s="221">
        <v>0.6</v>
      </c>
      <c r="BP60" s="221">
        <v>2.7</v>
      </c>
      <c r="BQ60" s="221"/>
      <c r="BR60" s="221">
        <f>5.1+0.5</f>
        <v>5.6</v>
      </c>
      <c r="BS60" s="221">
        <v>1</v>
      </c>
      <c r="BT60" s="221"/>
      <c r="BU60" s="221"/>
      <c r="BV60" s="221">
        <v>11.8</v>
      </c>
      <c r="BW60" s="221">
        <v>3.8</v>
      </c>
      <c r="BX60" s="221">
        <v>6.9</v>
      </c>
      <c r="BY60" s="221">
        <f>1.4+2+4.8+0.9-0.2</f>
        <v>8.9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477.39999999999992</v>
      </c>
    </row>
    <row r="61" spans="1:84" ht="12.6" customHeight="1" x14ac:dyDescent="0.25">
      <c r="A61" s="171" t="s">
        <v>235</v>
      </c>
      <c r="B61" s="175"/>
      <c r="C61" s="184">
        <f>1057923+34729</f>
        <v>1092652</v>
      </c>
      <c r="D61" s="184"/>
      <c r="E61" s="184">
        <f>1472645+46071</f>
        <v>1518716</v>
      </c>
      <c r="F61" s="185"/>
      <c r="G61" s="184"/>
      <c r="H61" s="184"/>
      <c r="I61" s="185"/>
      <c r="J61" s="185">
        <v>437726</v>
      </c>
      <c r="K61" s="185"/>
      <c r="L61" s="185"/>
      <c r="M61" s="184"/>
      <c r="N61" s="184"/>
      <c r="O61" s="184">
        <f>1336357+6341+5500-437726</f>
        <v>910472</v>
      </c>
      <c r="P61" s="185">
        <f>824501+149786+101605+1079176+85739+2433</f>
        <v>2243240</v>
      </c>
      <c r="Q61" s="185">
        <v>140629</v>
      </c>
      <c r="R61" s="185"/>
      <c r="S61" s="185">
        <f>174717-549</f>
        <v>174168</v>
      </c>
      <c r="T61" s="185"/>
      <c r="U61" s="185">
        <f>1474066</f>
        <v>1474066</v>
      </c>
      <c r="V61" s="185">
        <v>33473</v>
      </c>
      <c r="W61" s="185"/>
      <c r="X61" s="185"/>
      <c r="Y61" s="185">
        <f>1404867+99556</f>
        <v>1504423</v>
      </c>
      <c r="Z61" s="185"/>
      <c r="AA61" s="185" t="s">
        <v>1275</v>
      </c>
      <c r="AB61" s="185">
        <f>1087730+162987</f>
        <v>1250717</v>
      </c>
      <c r="AC61" s="185">
        <f>356537+43284</f>
        <v>399821</v>
      </c>
      <c r="AD61" s="185"/>
      <c r="AE61" s="185">
        <f>145608-1476</f>
        <v>144132</v>
      </c>
      <c r="AF61" s="185"/>
      <c r="AG61" s="185">
        <f>2069858+17770+4479+2355350+65139</f>
        <v>4512596</v>
      </c>
      <c r="AH61" s="185"/>
      <c r="AI61" s="185"/>
      <c r="AJ61" s="185">
        <f>12316555+764171+213461+1259928</f>
        <v>14554115</v>
      </c>
      <c r="AK61" s="185"/>
      <c r="AL61" s="185"/>
      <c r="AM61" s="185"/>
      <c r="AN61" s="185"/>
      <c r="AO61" s="185"/>
      <c r="AP61" s="185"/>
      <c r="AQ61" s="185"/>
      <c r="AR61" s="185">
        <f>1207385+419000+27440</f>
        <v>1653825</v>
      </c>
      <c r="AS61" s="185"/>
      <c r="AT61" s="185"/>
      <c r="AU61" s="185"/>
      <c r="AV61" s="185"/>
      <c r="AW61" s="185"/>
      <c r="AX61" s="185"/>
      <c r="AY61" s="185">
        <f>65954+568767</f>
        <v>634721</v>
      </c>
      <c r="AZ61" s="185"/>
      <c r="BA61" s="185">
        <v>127615</v>
      </c>
      <c r="BB61" s="185">
        <f>134062+204</f>
        <v>134266</v>
      </c>
      <c r="BC61" s="185"/>
      <c r="BD61" s="185">
        <v>297125</v>
      </c>
      <c r="BE61" s="185">
        <v>494351</v>
      </c>
      <c r="BF61" s="185">
        <v>628541</v>
      </c>
      <c r="BG61" s="185"/>
      <c r="BH61" s="185">
        <v>1277237</v>
      </c>
      <c r="BI61" s="185"/>
      <c r="BJ61" s="185">
        <v>441777</v>
      </c>
      <c r="BK61" s="185">
        <f>721251+481498+93915+7524</f>
        <v>1304188</v>
      </c>
      <c r="BL61" s="185"/>
      <c r="BM61" s="185"/>
      <c r="BN61" s="185">
        <f>1009790+37559</f>
        <v>1047349</v>
      </c>
      <c r="BO61" s="185">
        <v>56806</v>
      </c>
      <c r="BP61" s="185">
        <v>192844</v>
      </c>
      <c r="BQ61" s="185"/>
      <c r="BR61" s="185">
        <v>396990</v>
      </c>
      <c r="BS61" s="185">
        <f>67208+17143</f>
        <v>84351</v>
      </c>
      <c r="BT61" s="185"/>
      <c r="BU61" s="185"/>
      <c r="BV61" s="185">
        <v>707826</v>
      </c>
      <c r="BW61" s="185">
        <v>503285</v>
      </c>
      <c r="BX61" s="185">
        <v>625672</v>
      </c>
      <c r="BY61" s="185">
        <f>160669+225491+610700+87217+1354</f>
        <v>1085431</v>
      </c>
      <c r="BZ61" s="185"/>
      <c r="CA61" s="185"/>
      <c r="CB61" s="185"/>
      <c r="CC61" s="185"/>
      <c r="CD61" s="249" t="s">
        <v>221</v>
      </c>
      <c r="CE61" s="195">
        <f t="shared" si="0"/>
        <v>42085146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249054</v>
      </c>
      <c r="D62" s="195">
        <f t="shared" si="1"/>
        <v>0</v>
      </c>
      <c r="E62" s="195">
        <f t="shared" si="1"/>
        <v>346169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99773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207529</v>
      </c>
      <c r="P62" s="195">
        <f t="shared" si="1"/>
        <v>511313</v>
      </c>
      <c r="Q62" s="195">
        <f t="shared" si="1"/>
        <v>32054</v>
      </c>
      <c r="R62" s="195">
        <f t="shared" si="1"/>
        <v>0</v>
      </c>
      <c r="S62" s="195">
        <f t="shared" si="1"/>
        <v>39699</v>
      </c>
      <c r="T62" s="195">
        <f t="shared" si="1"/>
        <v>0</v>
      </c>
      <c r="U62" s="195">
        <f t="shared" si="1"/>
        <v>335991</v>
      </c>
      <c r="V62" s="195">
        <f t="shared" si="1"/>
        <v>7630</v>
      </c>
      <c r="W62" s="195">
        <f t="shared" si="1"/>
        <v>0</v>
      </c>
      <c r="X62" s="195">
        <f t="shared" si="1"/>
        <v>0</v>
      </c>
      <c r="Y62" s="195">
        <f t="shared" si="1"/>
        <v>342911</v>
      </c>
      <c r="Z62" s="195">
        <f t="shared" si="1"/>
        <v>0</v>
      </c>
      <c r="AA62" s="195">
        <f t="shared" si="1"/>
        <v>0</v>
      </c>
      <c r="AB62" s="195">
        <f t="shared" si="1"/>
        <v>285082</v>
      </c>
      <c r="AC62" s="195">
        <f t="shared" si="1"/>
        <v>91133</v>
      </c>
      <c r="AD62" s="195">
        <f t="shared" si="1"/>
        <v>0</v>
      </c>
      <c r="AE62" s="195">
        <f t="shared" si="1"/>
        <v>32853</v>
      </c>
      <c r="AF62" s="195">
        <f t="shared" si="1"/>
        <v>0</v>
      </c>
      <c r="AG62" s="195">
        <f t="shared" si="1"/>
        <v>1028579</v>
      </c>
      <c r="AH62" s="195">
        <f t="shared" si="1"/>
        <v>0</v>
      </c>
      <c r="AI62" s="195">
        <f t="shared" si="1"/>
        <v>0</v>
      </c>
      <c r="AJ62" s="195">
        <f t="shared" si="1"/>
        <v>3317393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376965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144675</v>
      </c>
      <c r="AZ62" s="195">
        <f>ROUND(AZ47+AZ48,0)</f>
        <v>0</v>
      </c>
      <c r="BA62" s="195">
        <f>ROUND(BA47+BA48,0)</f>
        <v>29088</v>
      </c>
      <c r="BB62" s="195">
        <f t="shared" si="1"/>
        <v>30604</v>
      </c>
      <c r="BC62" s="195">
        <f t="shared" si="1"/>
        <v>0</v>
      </c>
      <c r="BD62" s="195">
        <f t="shared" si="1"/>
        <v>67725</v>
      </c>
      <c r="BE62" s="195">
        <f t="shared" si="1"/>
        <v>112680</v>
      </c>
      <c r="BF62" s="195">
        <f t="shared" si="1"/>
        <v>143267</v>
      </c>
      <c r="BG62" s="195">
        <f t="shared" si="1"/>
        <v>0</v>
      </c>
      <c r="BH62" s="195">
        <f t="shared" si="1"/>
        <v>291127</v>
      </c>
      <c r="BI62" s="195">
        <f t="shared" si="1"/>
        <v>0</v>
      </c>
      <c r="BJ62" s="195">
        <f t="shared" si="1"/>
        <v>100696</v>
      </c>
      <c r="BK62" s="195">
        <f t="shared" si="1"/>
        <v>297270</v>
      </c>
      <c r="BL62" s="195">
        <f t="shared" si="1"/>
        <v>0</v>
      </c>
      <c r="BM62" s="195">
        <f t="shared" si="1"/>
        <v>0</v>
      </c>
      <c r="BN62" s="195">
        <f t="shared" si="1"/>
        <v>238728</v>
      </c>
      <c r="BO62" s="195">
        <f t="shared" ref="BO62:CC62" si="2">ROUND(BO47+BO48,0)</f>
        <v>12948</v>
      </c>
      <c r="BP62" s="195">
        <f t="shared" si="2"/>
        <v>43956</v>
      </c>
      <c r="BQ62" s="195">
        <f t="shared" si="2"/>
        <v>0</v>
      </c>
      <c r="BR62" s="195">
        <f t="shared" si="2"/>
        <v>90488</v>
      </c>
      <c r="BS62" s="195">
        <f t="shared" si="2"/>
        <v>19227</v>
      </c>
      <c r="BT62" s="195">
        <f t="shared" si="2"/>
        <v>0</v>
      </c>
      <c r="BU62" s="195">
        <f t="shared" si="2"/>
        <v>0</v>
      </c>
      <c r="BV62" s="195">
        <f t="shared" si="2"/>
        <v>161338</v>
      </c>
      <c r="BW62" s="195">
        <f t="shared" si="2"/>
        <v>114716</v>
      </c>
      <c r="BX62" s="195">
        <f t="shared" si="2"/>
        <v>142613</v>
      </c>
      <c r="BY62" s="195">
        <f t="shared" si="2"/>
        <v>247408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9592682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240</v>
      </c>
      <c r="P63" s="185">
        <v>55000</v>
      </c>
      <c r="Q63" s="185"/>
      <c r="R63" s="185"/>
      <c r="S63" s="185"/>
      <c r="T63" s="185"/>
      <c r="U63" s="185">
        <v>8500</v>
      </c>
      <c r="V63" s="185"/>
      <c r="W63" s="185"/>
      <c r="X63" s="185"/>
      <c r="Y63" s="185">
        <v>97699</v>
      </c>
      <c r="Z63" s="185"/>
      <c r="AA63" s="185"/>
      <c r="AB63" s="185"/>
      <c r="AC63" s="185">
        <v>4704</v>
      </c>
      <c r="AD63" s="185"/>
      <c r="AE63" s="185">
        <v>140</v>
      </c>
      <c r="AF63" s="185"/>
      <c r="AG63" s="185"/>
      <c r="AH63" s="185"/>
      <c r="AI63" s="185"/>
      <c r="AJ63" s="185">
        <f>189047+391874</f>
        <v>580921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71714</v>
      </c>
      <c r="BK63" s="185">
        <f>13000</f>
        <v>13000</v>
      </c>
      <c r="BL63" s="185"/>
      <c r="BM63" s="185"/>
      <c r="BN63" s="185">
        <f>35528+16064</f>
        <v>51592</v>
      </c>
      <c r="BO63" s="185"/>
      <c r="BP63" s="185"/>
      <c r="BQ63" s="185"/>
      <c r="BR63" s="185">
        <f>36682+6200</f>
        <v>42882</v>
      </c>
      <c r="BS63" s="185"/>
      <c r="BT63" s="185"/>
      <c r="BU63" s="185"/>
      <c r="BV63" s="185"/>
      <c r="BW63" s="185">
        <v>8060</v>
      </c>
      <c r="BX63" s="185">
        <v>743</v>
      </c>
      <c r="BY63" s="185">
        <v>96</v>
      </c>
      <c r="BZ63" s="185"/>
      <c r="CA63" s="185"/>
      <c r="CB63" s="185"/>
      <c r="CC63" s="185"/>
      <c r="CD63" s="249" t="s">
        <v>221</v>
      </c>
      <c r="CE63" s="195">
        <f t="shared" si="0"/>
        <v>935291</v>
      </c>
      <c r="CF63" s="252"/>
    </row>
    <row r="64" spans="1:84" ht="12.6" customHeight="1" x14ac:dyDescent="0.25">
      <c r="A64" s="171" t="s">
        <v>237</v>
      </c>
      <c r="B64" s="175"/>
      <c r="C64" s="184">
        <v>47686</v>
      </c>
      <c r="D64" s="184"/>
      <c r="E64" s="185">
        <f>91769+1018</f>
        <v>92787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f>99392+6</f>
        <v>99398</v>
      </c>
      <c r="P64" s="185">
        <f>2385208+5915+48+274606+139261+89435</f>
        <v>2894473</v>
      </c>
      <c r="Q64" s="185">
        <f>35734+35764</f>
        <v>71498</v>
      </c>
      <c r="R64" s="185"/>
      <c r="S64" s="185">
        <v>0</v>
      </c>
      <c r="T64" s="185"/>
      <c r="U64" s="185">
        <f>982180</f>
        <v>982180</v>
      </c>
      <c r="V64" s="185">
        <v>10</v>
      </c>
      <c r="W64" s="185"/>
      <c r="X64" s="185"/>
      <c r="Y64" s="185">
        <v>177678</v>
      </c>
      <c r="Z64" s="185"/>
      <c r="AA64" s="185"/>
      <c r="AB64" s="185">
        <f>1093960+20995+371725+326741</f>
        <v>1813421</v>
      </c>
      <c r="AC64" s="185">
        <f>44846</f>
        <v>44846</v>
      </c>
      <c r="AD64" s="185"/>
      <c r="AE64" s="185">
        <f>24418+2393</f>
        <v>26811</v>
      </c>
      <c r="AF64" s="185"/>
      <c r="AG64" s="185">
        <f>228945+584+1198</f>
        <v>230727</v>
      </c>
      <c r="AH64" s="185"/>
      <c r="AI64" s="185"/>
      <c r="AJ64" s="185">
        <f>44780+955524</f>
        <v>1000304</v>
      </c>
      <c r="AK64" s="185">
        <v>13884</v>
      </c>
      <c r="AL64" s="185">
        <v>3837</v>
      </c>
      <c r="AM64" s="185"/>
      <c r="AN64" s="185"/>
      <c r="AO64" s="185"/>
      <c r="AP64" s="185"/>
      <c r="AQ64" s="185"/>
      <c r="AR64" s="185">
        <f>55573+70024</f>
        <v>125597</v>
      </c>
      <c r="AS64" s="185"/>
      <c r="AT64" s="185"/>
      <c r="AU64" s="185"/>
      <c r="AV64" s="185"/>
      <c r="AW64" s="185"/>
      <c r="AX64" s="185"/>
      <c r="AY64" s="185">
        <f>720+331394</f>
        <v>332114</v>
      </c>
      <c r="AZ64" s="185"/>
      <c r="BA64" s="185">
        <v>9043</v>
      </c>
      <c r="BB64" s="185">
        <v>96</v>
      </c>
      <c r="BC64" s="185"/>
      <c r="BD64" s="185">
        <f>39781</f>
        <v>39781</v>
      </c>
      <c r="BE64" s="185">
        <f>34594+1984+853</f>
        <v>37431</v>
      </c>
      <c r="BF64" s="185">
        <f>224059</f>
        <v>224059</v>
      </c>
      <c r="BG64" s="185"/>
      <c r="BH64" s="185">
        <f>166001</f>
        <v>166001</v>
      </c>
      <c r="BI64" s="185"/>
      <c r="BJ64" s="185">
        <f>7844</f>
        <v>7844</v>
      </c>
      <c r="BK64" s="185">
        <f>46005+6472+362+76</f>
        <v>52915</v>
      </c>
      <c r="BL64" s="185"/>
      <c r="BM64" s="185"/>
      <c r="BN64" s="185">
        <f>15214+2055</f>
        <v>17269</v>
      </c>
      <c r="BO64" s="185">
        <v>13264</v>
      </c>
      <c r="BP64" s="185">
        <v>12579</v>
      </c>
      <c r="BQ64" s="185"/>
      <c r="BR64" s="185">
        <f>3310+2113</f>
        <v>5423</v>
      </c>
      <c r="BS64" s="185">
        <f>10+5168+65803</f>
        <v>70981</v>
      </c>
      <c r="BT64" s="185"/>
      <c r="BU64" s="185"/>
      <c r="BV64" s="185">
        <v>14876</v>
      </c>
      <c r="BW64" s="185">
        <f>1512+1651+17</f>
        <v>3180</v>
      </c>
      <c r="BX64" s="185">
        <v>2667</v>
      </c>
      <c r="BY64" s="185">
        <f>189+1184+34+9251+689</f>
        <v>11347</v>
      </c>
      <c r="BZ64" s="185"/>
      <c r="CA64" s="185"/>
      <c r="CB64" s="185"/>
      <c r="CC64" s="185"/>
      <c r="CD64" s="249" t="s">
        <v>221</v>
      </c>
      <c r="CE64" s="195">
        <f t="shared" si="0"/>
        <v>8646007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523</v>
      </c>
      <c r="AF65" s="185"/>
      <c r="AG65" s="185"/>
      <c r="AH65" s="185"/>
      <c r="AI65" s="185"/>
      <c r="AJ65" s="185">
        <f>13119+168138</f>
        <v>181257</v>
      </c>
      <c r="AK65" s="185">
        <v>219</v>
      </c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687817+50771+6407-45</f>
        <v>744950</v>
      </c>
      <c r="BF65" s="185"/>
      <c r="BG65" s="185"/>
      <c r="BH65" s="185">
        <v>7073</v>
      </c>
      <c r="BI65" s="185"/>
      <c r="BJ65" s="185"/>
      <c r="BK65" s="185">
        <v>28709</v>
      </c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962731</v>
      </c>
      <c r="CF65" s="252"/>
    </row>
    <row r="66" spans="1:84" ht="12.6" customHeight="1" x14ac:dyDescent="0.25">
      <c r="A66" s="171" t="s">
        <v>239</v>
      </c>
      <c r="B66" s="175"/>
      <c r="C66" s="184">
        <f>1548+1829</f>
        <v>3377</v>
      </c>
      <c r="D66" s="184"/>
      <c r="E66" s="184">
        <f>11753+104575</f>
        <v>116328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f>98753+36358+1971</f>
        <v>137082</v>
      </c>
      <c r="P66" s="185">
        <f>84988+188586+62979+6782+27500</f>
        <v>370835</v>
      </c>
      <c r="Q66" s="185">
        <f>168+4842+64891</f>
        <v>69901</v>
      </c>
      <c r="R66" s="185"/>
      <c r="S66" s="184">
        <v>10795</v>
      </c>
      <c r="T66" s="184"/>
      <c r="U66" s="185">
        <v>637632</v>
      </c>
      <c r="V66" s="185"/>
      <c r="W66" s="185">
        <v>903424</v>
      </c>
      <c r="X66" s="185"/>
      <c r="Y66" s="185">
        <v>56711</v>
      </c>
      <c r="Z66" s="185"/>
      <c r="AA66" s="185"/>
      <c r="AB66" s="185">
        <f>65554+233640+24088</f>
        <v>323282</v>
      </c>
      <c r="AC66" s="185">
        <v>12830</v>
      </c>
      <c r="AD66" s="185"/>
      <c r="AE66" s="185">
        <f>11412+1174794+90</f>
        <v>1186296</v>
      </c>
      <c r="AF66" s="185"/>
      <c r="AG66" s="185">
        <f>82973+28457</f>
        <v>111430</v>
      </c>
      <c r="AH66" s="185"/>
      <c r="AI66" s="185"/>
      <c r="AJ66" s="185">
        <f>2560+141779+10734</f>
        <v>155073</v>
      </c>
      <c r="AK66" s="185">
        <v>192387</v>
      </c>
      <c r="AL66" s="185">
        <v>131625</v>
      </c>
      <c r="AM66" s="185"/>
      <c r="AN66" s="185"/>
      <c r="AO66" s="185"/>
      <c r="AP66" s="185"/>
      <c r="AQ66" s="185"/>
      <c r="AR66" s="185">
        <f>99131+262287</f>
        <v>361418</v>
      </c>
      <c r="AS66" s="185"/>
      <c r="AT66" s="185"/>
      <c r="AU66" s="185"/>
      <c r="AV66" s="185"/>
      <c r="AW66" s="185"/>
      <c r="AX66" s="185"/>
      <c r="AY66" s="185">
        <f>1119+15953</f>
        <v>17072</v>
      </c>
      <c r="AZ66" s="185"/>
      <c r="BA66" s="185">
        <v>649</v>
      </c>
      <c r="BB66" s="185">
        <f>119+4607</f>
        <v>4726</v>
      </c>
      <c r="BC66" s="185"/>
      <c r="BD66" s="185">
        <v>156899</v>
      </c>
      <c r="BE66" s="185">
        <f>543244+12106+19561+8619</f>
        <v>583530</v>
      </c>
      <c r="BF66" s="185">
        <v>101651</v>
      </c>
      <c r="BG66" s="185"/>
      <c r="BH66" s="185">
        <f>1957388+585</f>
        <v>1957973</v>
      </c>
      <c r="BI66" s="185"/>
      <c r="BJ66" s="185">
        <v>186413</v>
      </c>
      <c r="BK66" s="185">
        <f>36096+26307+890021+84091+238988</f>
        <v>1275503</v>
      </c>
      <c r="BL66" s="185"/>
      <c r="BM66" s="185"/>
      <c r="BN66" s="185">
        <f>64309+2535+654+9639</f>
        <v>77137</v>
      </c>
      <c r="BO66" s="185">
        <v>-337</v>
      </c>
      <c r="BP66" s="185">
        <v>38025</v>
      </c>
      <c r="BQ66" s="185"/>
      <c r="BR66" s="185">
        <v>91156</v>
      </c>
      <c r="BS66" s="185">
        <v>85</v>
      </c>
      <c r="BT66" s="185"/>
      <c r="BU66" s="185"/>
      <c r="BV66" s="185">
        <v>668670</v>
      </c>
      <c r="BW66" s="185">
        <v>13080</v>
      </c>
      <c r="BX66" s="185">
        <v>336492</v>
      </c>
      <c r="BY66" s="185">
        <f>12489+42167+90867+3</f>
        <v>145526</v>
      </c>
      <c r="BZ66" s="185"/>
      <c r="CA66" s="185"/>
      <c r="CB66" s="185"/>
      <c r="CC66" s="185"/>
      <c r="CD66" s="249" t="s">
        <v>221</v>
      </c>
      <c r="CE66" s="195">
        <f t="shared" si="0"/>
        <v>10434676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70561</v>
      </c>
      <c r="D67" s="195">
        <f>ROUND(D51+D52,0)</f>
        <v>0</v>
      </c>
      <c r="E67" s="195">
        <f t="shared" ref="E67:BP67" si="3">ROUND(E51+E52,0)</f>
        <v>261172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3731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76030</v>
      </c>
      <c r="P67" s="195">
        <f t="shared" si="3"/>
        <v>359445</v>
      </c>
      <c r="Q67" s="195">
        <f t="shared" si="3"/>
        <v>33198</v>
      </c>
      <c r="R67" s="195">
        <f t="shared" si="3"/>
        <v>0</v>
      </c>
      <c r="S67" s="195">
        <f t="shared" si="3"/>
        <v>65966</v>
      </c>
      <c r="T67" s="195">
        <f t="shared" si="3"/>
        <v>0</v>
      </c>
      <c r="U67" s="195">
        <f t="shared" si="3"/>
        <v>131716</v>
      </c>
      <c r="V67" s="195">
        <f t="shared" si="3"/>
        <v>17723</v>
      </c>
      <c r="W67" s="195">
        <f t="shared" si="3"/>
        <v>2102</v>
      </c>
      <c r="X67" s="195">
        <f t="shared" si="3"/>
        <v>33636</v>
      </c>
      <c r="Y67" s="195">
        <f t="shared" si="3"/>
        <v>213937</v>
      </c>
      <c r="Z67" s="195">
        <f t="shared" si="3"/>
        <v>0</v>
      </c>
      <c r="AA67" s="195">
        <f t="shared" si="3"/>
        <v>0</v>
      </c>
      <c r="AB67" s="195">
        <f t="shared" si="3"/>
        <v>19189</v>
      </c>
      <c r="AC67" s="195">
        <f t="shared" si="3"/>
        <v>32941</v>
      </c>
      <c r="AD67" s="195">
        <f t="shared" si="3"/>
        <v>0</v>
      </c>
      <c r="AE67" s="195">
        <f t="shared" si="3"/>
        <v>8153</v>
      </c>
      <c r="AF67" s="195">
        <f t="shared" si="3"/>
        <v>0</v>
      </c>
      <c r="AG67" s="195">
        <f t="shared" si="3"/>
        <v>114434</v>
      </c>
      <c r="AH67" s="195">
        <f t="shared" si="3"/>
        <v>0</v>
      </c>
      <c r="AI67" s="195">
        <f t="shared" si="3"/>
        <v>0</v>
      </c>
      <c r="AJ67" s="195">
        <f t="shared" si="3"/>
        <v>129492</v>
      </c>
      <c r="AK67" s="195">
        <f t="shared" si="3"/>
        <v>23650</v>
      </c>
      <c r="AL67" s="195">
        <f t="shared" si="3"/>
        <v>11350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27627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63328</v>
      </c>
      <c r="AZ67" s="195">
        <f>ROUND(AZ51+AZ52,0)</f>
        <v>0</v>
      </c>
      <c r="BA67" s="195">
        <f>ROUND(BA51+BA52,0)</f>
        <v>17086</v>
      </c>
      <c r="BB67" s="195">
        <f t="shared" si="3"/>
        <v>3198</v>
      </c>
      <c r="BC67" s="195">
        <f t="shared" si="3"/>
        <v>0</v>
      </c>
      <c r="BD67" s="195">
        <f t="shared" si="3"/>
        <v>23776</v>
      </c>
      <c r="BE67" s="195">
        <f t="shared" si="3"/>
        <v>160713</v>
      </c>
      <c r="BF67" s="195">
        <f t="shared" si="3"/>
        <v>6512</v>
      </c>
      <c r="BG67" s="195">
        <f t="shared" si="3"/>
        <v>0</v>
      </c>
      <c r="BH67" s="195">
        <f t="shared" si="3"/>
        <v>1184495</v>
      </c>
      <c r="BI67" s="195">
        <f t="shared" si="3"/>
        <v>0</v>
      </c>
      <c r="BJ67" s="195">
        <f t="shared" si="3"/>
        <v>68590</v>
      </c>
      <c r="BK67" s="195">
        <f t="shared" si="3"/>
        <v>133130</v>
      </c>
      <c r="BL67" s="195">
        <f t="shared" si="3"/>
        <v>0</v>
      </c>
      <c r="BM67" s="195">
        <f t="shared" si="3"/>
        <v>0</v>
      </c>
      <c r="BN67" s="195">
        <f t="shared" si="3"/>
        <v>247688</v>
      </c>
      <c r="BO67" s="195">
        <f t="shared" si="3"/>
        <v>1554</v>
      </c>
      <c r="BP67" s="195">
        <f t="shared" si="3"/>
        <v>4352</v>
      </c>
      <c r="BQ67" s="195">
        <f t="shared" ref="BQ67:CC67" si="4">ROUND(BQ51+BQ52,0)</f>
        <v>0</v>
      </c>
      <c r="BR67" s="195">
        <f t="shared" si="4"/>
        <v>86940</v>
      </c>
      <c r="BS67" s="195">
        <f t="shared" si="4"/>
        <v>1088</v>
      </c>
      <c r="BT67" s="195">
        <f t="shared" si="4"/>
        <v>0</v>
      </c>
      <c r="BU67" s="195">
        <f t="shared" si="4"/>
        <v>0</v>
      </c>
      <c r="BV67" s="195">
        <f t="shared" si="4"/>
        <v>49347</v>
      </c>
      <c r="BW67" s="195">
        <f t="shared" si="4"/>
        <v>1244</v>
      </c>
      <c r="BX67" s="195">
        <f t="shared" si="4"/>
        <v>1148</v>
      </c>
      <c r="BY67" s="195">
        <f t="shared" si="4"/>
        <v>11518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3701760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22075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f>4871+462</f>
        <v>5333</v>
      </c>
      <c r="Q68" s="185"/>
      <c r="R68" s="185"/>
      <c r="S68" s="185"/>
      <c r="T68" s="185"/>
      <c r="U68" s="185"/>
      <c r="V68" s="185"/>
      <c r="W68" s="185"/>
      <c r="X68" s="185">
        <v>82563.520000000004</v>
      </c>
      <c r="Y68" s="185">
        <f>149567.65+70740.05</f>
        <v>220307.7</v>
      </c>
      <c r="Z68" s="185"/>
      <c r="AA68" s="185"/>
      <c r="AB68" s="185">
        <f>225320+23204</f>
        <v>248524</v>
      </c>
      <c r="AC68" s="185">
        <v>72</v>
      </c>
      <c r="AD68" s="185"/>
      <c r="AE68" s="185">
        <f>127463+13015</f>
        <v>140478</v>
      </c>
      <c r="AF68" s="185"/>
      <c r="AG68" s="185"/>
      <c r="AH68" s="185"/>
      <c r="AI68" s="185"/>
      <c r="AJ68" s="185">
        <f>46766+146023+231440+28901+60+24000</f>
        <v>477190</v>
      </c>
      <c r="AK68" s="185"/>
      <c r="AL68" s="185"/>
      <c r="AM68" s="185"/>
      <c r="AN68" s="185"/>
      <c r="AO68" s="185"/>
      <c r="AP68" s="185"/>
      <c r="AQ68" s="185"/>
      <c r="AR68" s="185">
        <v>125110</v>
      </c>
      <c r="AS68" s="185"/>
      <c r="AT68" s="185"/>
      <c r="AU68" s="185"/>
      <c r="AV68" s="185"/>
      <c r="AW68" s="185"/>
      <c r="AX68" s="185"/>
      <c r="AY68" s="185">
        <v>2261</v>
      </c>
      <c r="AZ68" s="185"/>
      <c r="BA68" s="185"/>
      <c r="BB68" s="185"/>
      <c r="BC68" s="185"/>
      <c r="BD68" s="185">
        <v>49938</v>
      </c>
      <c r="BE68" s="185">
        <f>1380+201</f>
        <v>1581</v>
      </c>
      <c r="BF68" s="185"/>
      <c r="BG68" s="185"/>
      <c r="BH68" s="185">
        <v>1209</v>
      </c>
      <c r="BI68" s="185"/>
      <c r="BJ68" s="185"/>
      <c r="BK68" s="185">
        <f>34487+20071+20071</f>
        <v>74629</v>
      </c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1451271.22</v>
      </c>
      <c r="CF68" s="252"/>
    </row>
    <row r="69" spans="1:84" ht="12.6" customHeight="1" x14ac:dyDescent="0.25">
      <c r="A69" s="171" t="s">
        <v>241</v>
      </c>
      <c r="B69" s="175"/>
      <c r="C69" s="184">
        <v>1505</v>
      </c>
      <c r="D69" s="184"/>
      <c r="E69" s="185">
        <f>3687+23729</f>
        <v>27416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10702</v>
      </c>
      <c r="P69" s="185">
        <f>2950+180+1488</f>
        <v>4618</v>
      </c>
      <c r="Q69" s="185">
        <v>90</v>
      </c>
      <c r="R69" s="224"/>
      <c r="S69" s="185">
        <v>666</v>
      </c>
      <c r="T69" s="184"/>
      <c r="U69" s="185">
        <v>8617</v>
      </c>
      <c r="V69" s="185"/>
      <c r="W69" s="184"/>
      <c r="X69" s="185"/>
      <c r="Y69" s="185">
        <f>188+779+3200</f>
        <v>4167</v>
      </c>
      <c r="Z69" s="185"/>
      <c r="AA69" s="185"/>
      <c r="AB69" s="185">
        <f>7101+1859</f>
        <v>8960</v>
      </c>
      <c r="AC69" s="185"/>
      <c r="AD69" s="185"/>
      <c r="AE69" s="185">
        <f>2043+695</f>
        <v>2738</v>
      </c>
      <c r="AF69" s="185"/>
      <c r="AG69" s="185">
        <f>6183+10277+1545+2879+85587</f>
        <v>106471</v>
      </c>
      <c r="AH69" s="185"/>
      <c r="AI69" s="185"/>
      <c r="AJ69" s="185">
        <f>72199+33387+14233+43543+33376+37046+33186+1040+5317</f>
        <v>273327</v>
      </c>
      <c r="AK69" s="185">
        <v>7813</v>
      </c>
      <c r="AL69" s="185">
        <v>2264</v>
      </c>
      <c r="AM69" s="185"/>
      <c r="AN69" s="185"/>
      <c r="AO69" s="184"/>
      <c r="AP69" s="185"/>
      <c r="AQ69" s="184"/>
      <c r="AR69" s="184">
        <f>67850+49747</f>
        <v>117597</v>
      </c>
      <c r="AS69" s="184"/>
      <c r="AT69" s="184"/>
      <c r="AU69" s="185"/>
      <c r="AV69" s="185"/>
      <c r="AW69" s="185"/>
      <c r="AX69" s="185"/>
      <c r="AY69" s="185">
        <f>2876+2765</f>
        <v>5641</v>
      </c>
      <c r="AZ69" s="185"/>
      <c r="BA69" s="185"/>
      <c r="BB69" s="185">
        <v>50</v>
      </c>
      <c r="BC69" s="185"/>
      <c r="BD69" s="185">
        <v>88849</v>
      </c>
      <c r="BE69" s="185">
        <f>10743+915+50+114</f>
        <v>11822</v>
      </c>
      <c r="BF69" s="185">
        <v>2936</v>
      </c>
      <c r="BG69" s="185"/>
      <c r="BH69" s="224">
        <v>7966</v>
      </c>
      <c r="BI69" s="185"/>
      <c r="BJ69" s="185">
        <v>3393</v>
      </c>
      <c r="BK69" s="185">
        <f>164+2861+600</f>
        <v>3625</v>
      </c>
      <c r="BL69" s="185"/>
      <c r="BM69" s="185"/>
      <c r="BN69" s="185">
        <f>881855+19445-6029</f>
        <v>895271</v>
      </c>
      <c r="BO69" s="185">
        <v>3184</v>
      </c>
      <c r="BP69" s="185">
        <v>202793</v>
      </c>
      <c r="BQ69" s="185"/>
      <c r="BR69" s="185">
        <f>26530+21269+691</f>
        <v>48490</v>
      </c>
      <c r="BS69" s="185">
        <f>120+155+97</f>
        <v>372</v>
      </c>
      <c r="BT69" s="185"/>
      <c r="BU69" s="185"/>
      <c r="BV69" s="185">
        <f>2724+185+1</f>
        <v>2910</v>
      </c>
      <c r="BW69" s="185">
        <f>3709+83593+1605</f>
        <v>88907</v>
      </c>
      <c r="BX69" s="185">
        <v>7082</v>
      </c>
      <c r="BY69" s="185">
        <f>271+7040+2119+201-3</f>
        <v>9628</v>
      </c>
      <c r="BZ69" s="185"/>
      <c r="CA69" s="185"/>
      <c r="CB69" s="185"/>
      <c r="CC69" s="185"/>
      <c r="CD69" s="188"/>
      <c r="CE69" s="195">
        <f t="shared" si="0"/>
        <v>1959870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 t="s">
        <v>1275</v>
      </c>
      <c r="BX70" s="185"/>
      <c r="BY70" s="185"/>
      <c r="BZ70" s="185"/>
      <c r="CA70" s="185"/>
      <c r="CB70" s="185"/>
      <c r="CC70" s="185"/>
      <c r="CD70" s="188">
        <v>856672</v>
      </c>
      <c r="CE70" s="195">
        <f t="shared" si="0"/>
        <v>856672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1464835</v>
      </c>
      <c r="D71" s="195">
        <f t="shared" ref="D71:AI71" si="5">SUM(D61:D69)-D70</f>
        <v>0</v>
      </c>
      <c r="E71" s="195">
        <f t="shared" si="5"/>
        <v>2384663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541230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1441453</v>
      </c>
      <c r="P71" s="195">
        <f t="shared" si="5"/>
        <v>6444257</v>
      </c>
      <c r="Q71" s="195">
        <f t="shared" si="5"/>
        <v>347370</v>
      </c>
      <c r="R71" s="195">
        <f t="shared" si="5"/>
        <v>0</v>
      </c>
      <c r="S71" s="195">
        <f t="shared" si="5"/>
        <v>291294</v>
      </c>
      <c r="T71" s="195">
        <f t="shared" si="5"/>
        <v>0</v>
      </c>
      <c r="U71" s="195">
        <f t="shared" si="5"/>
        <v>3578702</v>
      </c>
      <c r="V71" s="195">
        <f t="shared" si="5"/>
        <v>58836</v>
      </c>
      <c r="W71" s="195">
        <f t="shared" si="5"/>
        <v>905526</v>
      </c>
      <c r="X71" s="195">
        <f t="shared" si="5"/>
        <v>116199.52</v>
      </c>
      <c r="Y71" s="195">
        <f t="shared" si="5"/>
        <v>2617833.7000000002</v>
      </c>
      <c r="Z71" s="195">
        <f t="shared" si="5"/>
        <v>0</v>
      </c>
      <c r="AA71" s="195">
        <f t="shared" si="5"/>
        <v>0</v>
      </c>
      <c r="AB71" s="195">
        <f t="shared" si="5"/>
        <v>3949175</v>
      </c>
      <c r="AC71" s="195">
        <f t="shared" si="5"/>
        <v>586347</v>
      </c>
      <c r="AD71" s="195">
        <f t="shared" si="5"/>
        <v>0</v>
      </c>
      <c r="AE71" s="195">
        <f t="shared" si="5"/>
        <v>1542124</v>
      </c>
      <c r="AF71" s="195">
        <f t="shared" si="5"/>
        <v>0</v>
      </c>
      <c r="AG71" s="195">
        <f t="shared" si="5"/>
        <v>6104237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20669072</v>
      </c>
      <c r="AK71" s="195">
        <f t="shared" si="6"/>
        <v>237953</v>
      </c>
      <c r="AL71" s="195">
        <f t="shared" si="6"/>
        <v>149076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2788139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1199812</v>
      </c>
      <c r="AZ71" s="195">
        <f t="shared" si="6"/>
        <v>0</v>
      </c>
      <c r="BA71" s="195">
        <f t="shared" si="6"/>
        <v>183481</v>
      </c>
      <c r="BB71" s="195">
        <f t="shared" si="6"/>
        <v>172940</v>
      </c>
      <c r="BC71" s="195">
        <f t="shared" si="6"/>
        <v>0</v>
      </c>
      <c r="BD71" s="195">
        <f t="shared" si="6"/>
        <v>724093</v>
      </c>
      <c r="BE71" s="195">
        <f t="shared" si="6"/>
        <v>2147058</v>
      </c>
      <c r="BF71" s="195">
        <f t="shared" si="6"/>
        <v>1106966</v>
      </c>
      <c r="BG71" s="195">
        <f t="shared" si="6"/>
        <v>0</v>
      </c>
      <c r="BH71" s="195">
        <f t="shared" si="6"/>
        <v>4893081</v>
      </c>
      <c r="BI71" s="195">
        <f t="shared" si="6"/>
        <v>0</v>
      </c>
      <c r="BJ71" s="195">
        <f t="shared" si="6"/>
        <v>880427</v>
      </c>
      <c r="BK71" s="195">
        <f t="shared" si="6"/>
        <v>3182969</v>
      </c>
      <c r="BL71" s="195">
        <f t="shared" si="6"/>
        <v>0</v>
      </c>
      <c r="BM71" s="195">
        <f t="shared" si="6"/>
        <v>0</v>
      </c>
      <c r="BN71" s="195">
        <f t="shared" si="6"/>
        <v>2575034</v>
      </c>
      <c r="BO71" s="195">
        <f t="shared" si="6"/>
        <v>87419</v>
      </c>
      <c r="BP71" s="195">
        <f t="shared" ref="BP71:CC71" si="7">SUM(BP61:BP69)-BP70</f>
        <v>494549</v>
      </c>
      <c r="BQ71" s="195">
        <f t="shared" si="7"/>
        <v>0</v>
      </c>
      <c r="BR71" s="195">
        <f t="shared" si="7"/>
        <v>762369</v>
      </c>
      <c r="BS71" s="195">
        <f t="shared" si="7"/>
        <v>176104</v>
      </c>
      <c r="BT71" s="195">
        <f t="shared" si="7"/>
        <v>0</v>
      </c>
      <c r="BU71" s="195">
        <f t="shared" si="7"/>
        <v>0</v>
      </c>
      <c r="BV71" s="195">
        <f t="shared" si="7"/>
        <v>1604967</v>
      </c>
      <c r="BW71" s="195">
        <f t="shared" si="7"/>
        <v>732472</v>
      </c>
      <c r="BX71" s="195">
        <f t="shared" si="7"/>
        <v>1116417</v>
      </c>
      <c r="BY71" s="195">
        <f t="shared" si="7"/>
        <v>1510954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-856672</v>
      </c>
      <c r="CE71" s="195">
        <f>SUM(CE61:CE69)-CE70</f>
        <v>78912762.219999999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12569</v>
      </c>
      <c r="CF72" s="252"/>
    </row>
    <row r="73" spans="1:84" ht="12.6" customHeight="1" x14ac:dyDescent="0.25">
      <c r="A73" s="171" t="s">
        <v>245</v>
      </c>
      <c r="B73" s="175"/>
      <c r="C73" s="184">
        <v>763227</v>
      </c>
      <c r="D73" s="184"/>
      <c r="E73" s="185">
        <f>2766531-45448</f>
        <v>2721083</v>
      </c>
      <c r="F73" s="185"/>
      <c r="G73" s="184"/>
      <c r="H73" s="184"/>
      <c r="I73" s="185"/>
      <c r="J73" s="185">
        <v>632208</v>
      </c>
      <c r="K73" s="185"/>
      <c r="L73" s="185">
        <v>45448</v>
      </c>
      <c r="M73" s="184"/>
      <c r="N73" s="184"/>
      <c r="O73" s="184">
        <v>2893458</v>
      </c>
      <c r="P73" s="185">
        <f>7090057+24154+37786</f>
        <v>7151997</v>
      </c>
      <c r="Q73" s="185">
        <v>272807</v>
      </c>
      <c r="R73" s="185"/>
      <c r="S73" s="185"/>
      <c r="T73" s="185"/>
      <c r="U73" s="185">
        <v>1196969</v>
      </c>
      <c r="V73" s="185">
        <v>133443</v>
      </c>
      <c r="W73" s="185">
        <v>125492</v>
      </c>
      <c r="X73" s="185">
        <v>1023854</v>
      </c>
      <c r="Y73" s="185">
        <f>236969+193414+66403</f>
        <v>496786</v>
      </c>
      <c r="Z73" s="185"/>
      <c r="AA73" s="185"/>
      <c r="AB73" s="185">
        <v>3109483</v>
      </c>
      <c r="AC73" s="185">
        <v>258323</v>
      </c>
      <c r="AD73" s="185"/>
      <c r="AE73" s="185">
        <v>66633</v>
      </c>
      <c r="AF73" s="185"/>
      <c r="AG73" s="185">
        <f>340922+79844</f>
        <v>420766</v>
      </c>
      <c r="AH73" s="185"/>
      <c r="AI73" s="185"/>
      <c r="AJ73" s="185">
        <f>301240+1520+200483+282780</f>
        <v>786023</v>
      </c>
      <c r="AK73" s="185">
        <v>88231</v>
      </c>
      <c r="AL73" s="185">
        <v>41916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22228147</v>
      </c>
      <c r="CF73" s="252"/>
    </row>
    <row r="74" spans="1:84" ht="12.6" customHeight="1" x14ac:dyDescent="0.25">
      <c r="A74" s="171" t="s">
        <v>246</v>
      </c>
      <c r="B74" s="175"/>
      <c r="C74" s="184">
        <v>460452</v>
      </c>
      <c r="D74" s="184"/>
      <c r="E74" s="185">
        <v>2516216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563065</v>
      </c>
      <c r="P74" s="185">
        <f>11560099+2713+4060112+2769525+440</f>
        <v>18392889</v>
      </c>
      <c r="Q74" s="185">
        <v>625184</v>
      </c>
      <c r="R74" s="185"/>
      <c r="S74" s="185"/>
      <c r="T74" s="185"/>
      <c r="U74" s="185">
        <f>13403829+222841</f>
        <v>13626670</v>
      </c>
      <c r="V74" s="185">
        <v>1224897</v>
      </c>
      <c r="W74" s="185">
        <v>6186327</v>
      </c>
      <c r="X74" s="185">
        <v>18081789</v>
      </c>
      <c r="Y74" s="185">
        <f>6324705+986198+2501673+794128</f>
        <v>10606704</v>
      </c>
      <c r="Z74" s="185"/>
      <c r="AA74" s="185"/>
      <c r="AB74" s="185">
        <v>8768512</v>
      </c>
      <c r="AC74" s="185">
        <v>512979</v>
      </c>
      <c r="AD74" s="185"/>
      <c r="AE74" s="185">
        <f>3214222+419716</f>
        <v>3633938</v>
      </c>
      <c r="AF74" s="185"/>
      <c r="AG74" s="185">
        <f>13640429+159+3343973+137429</f>
        <v>17121990</v>
      </c>
      <c r="AH74" s="185"/>
      <c r="AI74" s="185"/>
      <c r="AJ74" s="185">
        <f>21605354+1950759+108859+302114+368607-380883</f>
        <v>23954810</v>
      </c>
      <c r="AK74" s="185">
        <v>548173</v>
      </c>
      <c r="AL74" s="185">
        <v>374855</v>
      </c>
      <c r="AM74" s="185"/>
      <c r="AN74" s="185"/>
      <c r="AO74" s="185"/>
      <c r="AP74" s="185"/>
      <c r="AQ74" s="185"/>
      <c r="AR74" s="185">
        <f>1538687+1708778</f>
        <v>3247465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130446915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1223679</v>
      </c>
      <c r="D75" s="195">
        <f t="shared" si="9"/>
        <v>0</v>
      </c>
      <c r="E75" s="195">
        <f t="shared" si="9"/>
        <v>5237299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632208</v>
      </c>
      <c r="K75" s="195">
        <f t="shared" si="9"/>
        <v>0</v>
      </c>
      <c r="L75" s="195">
        <f t="shared" si="9"/>
        <v>45448</v>
      </c>
      <c r="M75" s="195">
        <f t="shared" si="9"/>
        <v>0</v>
      </c>
      <c r="N75" s="195">
        <f t="shared" si="9"/>
        <v>0</v>
      </c>
      <c r="O75" s="195">
        <f t="shared" si="9"/>
        <v>3456523</v>
      </c>
      <c r="P75" s="195">
        <f t="shared" si="9"/>
        <v>25544886</v>
      </c>
      <c r="Q75" s="195">
        <f t="shared" si="9"/>
        <v>897991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14823639</v>
      </c>
      <c r="V75" s="195">
        <f t="shared" si="9"/>
        <v>1358340</v>
      </c>
      <c r="W75" s="195">
        <f t="shared" si="9"/>
        <v>6311819</v>
      </c>
      <c r="X75" s="195">
        <f t="shared" si="9"/>
        <v>19105643</v>
      </c>
      <c r="Y75" s="195">
        <f t="shared" si="9"/>
        <v>11103490</v>
      </c>
      <c r="Z75" s="195">
        <f t="shared" si="9"/>
        <v>0</v>
      </c>
      <c r="AA75" s="195">
        <f t="shared" si="9"/>
        <v>0</v>
      </c>
      <c r="AB75" s="195">
        <f t="shared" si="9"/>
        <v>11877995</v>
      </c>
      <c r="AC75" s="195">
        <f t="shared" si="9"/>
        <v>771302</v>
      </c>
      <c r="AD75" s="195">
        <f t="shared" si="9"/>
        <v>0</v>
      </c>
      <c r="AE75" s="195">
        <f t="shared" si="9"/>
        <v>3700571</v>
      </c>
      <c r="AF75" s="195">
        <f t="shared" si="9"/>
        <v>0</v>
      </c>
      <c r="AG75" s="195">
        <f t="shared" si="9"/>
        <v>17542756</v>
      </c>
      <c r="AH75" s="195">
        <f t="shared" si="9"/>
        <v>0</v>
      </c>
      <c r="AI75" s="195">
        <f t="shared" si="9"/>
        <v>0</v>
      </c>
      <c r="AJ75" s="195">
        <f t="shared" si="9"/>
        <v>24740833</v>
      </c>
      <c r="AK75" s="195">
        <f t="shared" si="9"/>
        <v>636404</v>
      </c>
      <c r="AL75" s="195">
        <f t="shared" si="9"/>
        <v>416771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3247465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152675062</v>
      </c>
      <c r="CF75" s="252"/>
    </row>
    <row r="76" spans="1:84" ht="12.6" customHeight="1" x14ac:dyDescent="0.25">
      <c r="A76" s="171" t="s">
        <v>248</v>
      </c>
      <c r="B76" s="175"/>
      <c r="C76" s="184">
        <v>2897</v>
      </c>
      <c r="D76" s="184"/>
      <c r="E76" s="185">
        <v>12525</v>
      </c>
      <c r="F76" s="185"/>
      <c r="G76" s="184"/>
      <c r="H76" s="184"/>
      <c r="I76" s="185"/>
      <c r="J76" s="185">
        <v>252</v>
      </c>
      <c r="K76" s="185"/>
      <c r="L76" s="185"/>
      <c r="M76" s="185"/>
      <c r="N76" s="185"/>
      <c r="O76" s="185">
        <v>1972</v>
      </c>
      <c r="P76" s="185">
        <v>12295</v>
      </c>
      <c r="Q76" s="185">
        <v>1012</v>
      </c>
      <c r="R76" s="185"/>
      <c r="S76" s="185">
        <v>1529</v>
      </c>
      <c r="T76" s="185"/>
      <c r="U76" s="185">
        <v>1600</v>
      </c>
      <c r="V76" s="185">
        <v>240</v>
      </c>
      <c r="W76" s="185">
        <v>142</v>
      </c>
      <c r="X76" s="185">
        <v>2272</v>
      </c>
      <c r="Y76" s="185">
        <v>2356</v>
      </c>
      <c r="Z76" s="185"/>
      <c r="AA76" s="185"/>
      <c r="AB76" s="185">
        <v>945</v>
      </c>
      <c r="AC76" s="185">
        <v>792</v>
      </c>
      <c r="AD76" s="185"/>
      <c r="AE76" s="185">
        <f>270</f>
        <v>270</v>
      </c>
      <c r="AF76" s="185"/>
      <c r="AG76" s="185">
        <v>5158</v>
      </c>
      <c r="AH76" s="185"/>
      <c r="AI76" s="185"/>
      <c r="AJ76" s="185">
        <f>2938+1300</f>
        <v>4238</v>
      </c>
      <c r="AK76" s="185">
        <f>1533</f>
        <v>1533</v>
      </c>
      <c r="AL76" s="185">
        <f>766.67</f>
        <v>766.67</v>
      </c>
      <c r="AM76" s="185"/>
      <c r="AN76" s="185"/>
      <c r="AO76" s="185"/>
      <c r="AP76" s="185"/>
      <c r="AQ76" s="185"/>
      <c r="AR76" s="185">
        <f>788+788</f>
        <v>1576</v>
      </c>
      <c r="AS76" s="185"/>
      <c r="AT76" s="185"/>
      <c r="AU76" s="185"/>
      <c r="AV76" s="185"/>
      <c r="AW76" s="185"/>
      <c r="AX76" s="185"/>
      <c r="AY76" s="185">
        <f>1134+1404+90+812+560</f>
        <v>4000</v>
      </c>
      <c r="AZ76" s="185"/>
      <c r="BA76" s="185">
        <v>854</v>
      </c>
      <c r="BB76" s="185">
        <v>216</v>
      </c>
      <c r="BC76" s="185"/>
      <c r="BD76" s="185">
        <v>1606</v>
      </c>
      <c r="BE76" s="185">
        <f>6086+1532</f>
        <v>7618</v>
      </c>
      <c r="BF76" s="185">
        <f>196+147</f>
        <v>343</v>
      </c>
      <c r="BG76" s="185"/>
      <c r="BH76" s="185">
        <v>944</v>
      </c>
      <c r="BI76" s="185"/>
      <c r="BJ76" s="185">
        <v>483</v>
      </c>
      <c r="BK76" s="185">
        <f>1704+7287</f>
        <v>8991</v>
      </c>
      <c r="BL76" s="185"/>
      <c r="BM76" s="185"/>
      <c r="BN76" s="185">
        <f>3061+10488+1603+1041</f>
        <v>16193</v>
      </c>
      <c r="BO76" s="185">
        <v>105</v>
      </c>
      <c r="BP76" s="185">
        <f>294</f>
        <v>294</v>
      </c>
      <c r="BQ76" s="185"/>
      <c r="BR76" s="185">
        <f>552+130+53</f>
        <v>735</v>
      </c>
      <c r="BS76" s="185"/>
      <c r="BT76" s="185"/>
      <c r="BU76" s="185"/>
      <c r="BV76" s="185"/>
      <c r="BW76" s="185">
        <f>84</f>
        <v>84</v>
      </c>
      <c r="BX76" s="185"/>
      <c r="BY76" s="185">
        <f>378+96</f>
        <v>474</v>
      </c>
      <c r="BZ76" s="185"/>
      <c r="CA76" s="185"/>
      <c r="CB76" s="185"/>
      <c r="CC76" s="185"/>
      <c r="CD76" s="249" t="s">
        <v>221</v>
      </c>
      <c r="CE76" s="195">
        <f t="shared" si="8"/>
        <v>97310.67</v>
      </c>
      <c r="CF76" s="195">
        <f>BE59-CE76</f>
        <v>0.33000000000174623</v>
      </c>
    </row>
    <row r="77" spans="1:84" ht="12.6" customHeight="1" x14ac:dyDescent="0.25">
      <c r="A77" s="171" t="s">
        <v>249</v>
      </c>
      <c r="B77" s="175"/>
      <c r="C77" s="184">
        <v>1084</v>
      </c>
      <c r="D77" s="184"/>
      <c r="E77" s="184">
        <v>8596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58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386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10124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1180</v>
      </c>
      <c r="D78" s="184"/>
      <c r="E78" s="184">
        <v>5103</v>
      </c>
      <c r="F78" s="184"/>
      <c r="G78" s="184"/>
      <c r="H78" s="184"/>
      <c r="I78" s="184"/>
      <c r="J78" s="184">
        <v>103</v>
      </c>
      <c r="K78" s="184"/>
      <c r="L78" s="184"/>
      <c r="M78" s="184"/>
      <c r="N78" s="184"/>
      <c r="O78" s="184">
        <v>803</v>
      </c>
      <c r="P78" s="184">
        <f>5009</f>
        <v>5009</v>
      </c>
      <c r="Q78" s="184">
        <v>412</v>
      </c>
      <c r="R78" s="184"/>
      <c r="S78" s="184">
        <v>623</v>
      </c>
      <c r="T78" s="184"/>
      <c r="U78" s="184">
        <v>653</v>
      </c>
      <c r="V78" s="184"/>
      <c r="W78" s="184"/>
      <c r="X78" s="184"/>
      <c r="Y78" s="184">
        <v>1943</v>
      </c>
      <c r="Z78" s="184"/>
      <c r="AA78" s="184"/>
      <c r="AB78" s="184">
        <v>299</v>
      </c>
      <c r="AC78" s="184">
        <v>420</v>
      </c>
      <c r="AD78" s="184"/>
      <c r="AE78" s="184">
        <v>3046</v>
      </c>
      <c r="AF78" s="184"/>
      <c r="AG78" s="184">
        <v>2102</v>
      </c>
      <c r="AH78" s="184"/>
      <c r="AI78" s="184"/>
      <c r="AJ78" s="184">
        <f>1197+2945+1080+41+815+1174+530</f>
        <v>7782</v>
      </c>
      <c r="AK78" s="184">
        <v>845</v>
      </c>
      <c r="AL78" s="184">
        <v>563</v>
      </c>
      <c r="AM78" s="184"/>
      <c r="AN78" s="184"/>
      <c r="AO78" s="184"/>
      <c r="AP78" s="184"/>
      <c r="AQ78" s="184"/>
      <c r="AR78" s="184">
        <f>702+234</f>
        <v>936</v>
      </c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v>88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205</v>
      </c>
      <c r="BT78" s="184"/>
      <c r="BU78" s="184"/>
      <c r="BV78" s="184">
        <v>726</v>
      </c>
      <c r="BW78" s="184"/>
      <c r="BX78" s="184"/>
      <c r="BY78" s="184">
        <v>193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33034</v>
      </c>
      <c r="CF78" s="195"/>
    </row>
    <row r="79" spans="1:84" ht="12.6" customHeight="1" x14ac:dyDescent="0.25">
      <c r="A79" s="171" t="s">
        <v>251</v>
      </c>
      <c r="B79" s="175"/>
      <c r="C79" s="225">
        <v>13539</v>
      </c>
      <c r="D79" s="225"/>
      <c r="E79" s="184">
        <v>55753</v>
      </c>
      <c r="F79" s="184"/>
      <c r="G79" s="184"/>
      <c r="H79" s="184"/>
      <c r="I79" s="184"/>
      <c r="J79" s="184">
        <v>3443</v>
      </c>
      <c r="K79" s="184"/>
      <c r="L79" s="184"/>
      <c r="M79" s="184"/>
      <c r="N79" s="184"/>
      <c r="O79" s="184">
        <v>18033</v>
      </c>
      <c r="P79" s="184">
        <v>53700</v>
      </c>
      <c r="Q79" s="184"/>
      <c r="R79" s="184"/>
      <c r="S79" s="184"/>
      <c r="T79" s="184"/>
      <c r="U79" s="184">
        <v>5009</v>
      </c>
      <c r="V79" s="184"/>
      <c r="W79" s="184"/>
      <c r="X79" s="184"/>
      <c r="Y79" s="184">
        <v>45313</v>
      </c>
      <c r="Z79" s="184"/>
      <c r="AA79" s="184"/>
      <c r="AB79" s="184"/>
      <c r="AC79" s="184">
        <v>1717</v>
      </c>
      <c r="AD79" s="184"/>
      <c r="AE79" s="184">
        <v>6441</v>
      </c>
      <c r="AF79" s="184"/>
      <c r="AG79" s="184">
        <v>47603</v>
      </c>
      <c r="AH79" s="184"/>
      <c r="AI79" s="184"/>
      <c r="AJ79" s="184">
        <f>2576+3149+3149+3864+3006+572+286+286</f>
        <v>16888</v>
      </c>
      <c r="AK79" s="184">
        <v>3865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271304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7.66+2.08+0.01+1.46</f>
        <v>11.21</v>
      </c>
      <c r="D80" s="187"/>
      <c r="E80" s="187">
        <f>11.58+0.74+0.11+1.43</f>
        <v>13.86</v>
      </c>
      <c r="F80" s="187"/>
      <c r="G80" s="187"/>
      <c r="H80" s="187"/>
      <c r="I80" s="187"/>
      <c r="J80" s="187">
        <v>5</v>
      </c>
      <c r="K80" s="187"/>
      <c r="L80" s="187"/>
      <c r="M80" s="187"/>
      <c r="N80" s="187"/>
      <c r="O80" s="187">
        <f>9.95+0.06-5</f>
        <v>5.01</v>
      </c>
      <c r="P80" s="187">
        <f>5.84+0.9+0.75+9.59</f>
        <v>17.079999999999998</v>
      </c>
      <c r="Q80" s="187">
        <v>0.7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15.94+2.41+0.18+0.02</f>
        <v>18.55</v>
      </c>
      <c r="AH80" s="187"/>
      <c r="AI80" s="187"/>
      <c r="AJ80" s="187">
        <f>2.99+1.16+1.09+1.83+1.77+0.22</f>
        <v>9.06</v>
      </c>
      <c r="AK80" s="187"/>
      <c r="AL80" s="187"/>
      <c r="AM80" s="187"/>
      <c r="AN80" s="187"/>
      <c r="AO80" s="187"/>
      <c r="AP80" s="187"/>
      <c r="AQ80" s="187"/>
      <c r="AR80" s="187">
        <f>7.49+2.29</f>
        <v>9.7800000000000011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90.25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1269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1274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1000</v>
      </c>
      <c r="D111" s="174">
        <v>2225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</v>
      </c>
      <c r="D112" s="174">
        <v>48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309</v>
      </c>
      <c r="D114" s="174">
        <v>498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370</v>
      </c>
      <c r="C138" s="189">
        <v>368</v>
      </c>
      <c r="D138" s="174">
        <v>262</v>
      </c>
      <c r="E138" s="175">
        <f>SUM(B138:D138)</f>
        <v>1000</v>
      </c>
    </row>
    <row r="139" spans="1:6" ht="12.6" customHeight="1" x14ac:dyDescent="0.25">
      <c r="A139" s="173" t="s">
        <v>215</v>
      </c>
      <c r="B139" s="174">
        <v>1074</v>
      </c>
      <c r="C139" s="189">
        <v>790</v>
      </c>
      <c r="D139" s="174">
        <v>907</v>
      </c>
      <c r="E139" s="175">
        <f>SUM(B139:D139)</f>
        <v>2771</v>
      </c>
    </row>
    <row r="140" spans="1:6" ht="12.6" customHeight="1" x14ac:dyDescent="0.25">
      <c r="A140" s="173" t="s">
        <v>298</v>
      </c>
      <c r="B140" s="174">
        <v>63177</v>
      </c>
      <c r="C140" s="174">
        <v>28581</v>
      </c>
      <c r="D140" s="174">
        <v>70744</v>
      </c>
      <c r="E140" s="175">
        <f>SUM(B140:D140)</f>
        <v>162502</v>
      </c>
    </row>
    <row r="141" spans="1:6" ht="12.6" customHeight="1" x14ac:dyDescent="0.25">
      <c r="A141" s="173" t="s">
        <v>245</v>
      </c>
      <c r="B141" s="174">
        <f>11307317-45448</f>
        <v>11261869</v>
      </c>
      <c r="C141" s="189">
        <v>4499234</v>
      </c>
      <c r="D141" s="174">
        <v>6421596</v>
      </c>
      <c r="E141" s="175">
        <f>SUM(B141:D141)</f>
        <v>22182699</v>
      </c>
      <c r="F141" s="199"/>
    </row>
    <row r="142" spans="1:6" ht="12.6" customHeight="1" x14ac:dyDescent="0.25">
      <c r="A142" s="173" t="s">
        <v>246</v>
      </c>
      <c r="B142" s="174">
        <v>50715081</v>
      </c>
      <c r="C142" s="189">
        <v>22943060</v>
      </c>
      <c r="D142" s="174">
        <v>56788774</v>
      </c>
      <c r="E142" s="175">
        <f>SUM(B142:D142)</f>
        <v>130446915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6</v>
      </c>
      <c r="C144" s="189"/>
      <c r="D144" s="174"/>
      <c r="E144" s="175">
        <f>SUM(B144:D144)</f>
        <v>6</v>
      </c>
    </row>
    <row r="145" spans="1:5" ht="12.6" customHeight="1" x14ac:dyDescent="0.25">
      <c r="A145" s="173" t="s">
        <v>215</v>
      </c>
      <c r="B145" s="174">
        <v>48</v>
      </c>
      <c r="C145" s="189"/>
      <c r="D145" s="174"/>
      <c r="E145" s="175">
        <f>SUM(B145:D145)</f>
        <v>48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45448</v>
      </c>
      <c r="C147" s="189"/>
      <c r="D147" s="174"/>
      <c r="E147" s="175">
        <f>SUM(B147:D147)</f>
        <v>45448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971961+3561246</f>
        <v>4533207</v>
      </c>
      <c r="C157" s="174">
        <f>1259928+2355350+903819</f>
        <v>4519097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2827934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64664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199921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4554458-894894-4729+308257</f>
        <v>3963092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51399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2408255-61801</f>
        <v>2346454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119912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11896+7611-202</f>
        <v>19305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9592681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125966+43207+12696+12577+54062+51209+396036</f>
        <v>695753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755518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1451271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250385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279946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530331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134215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711151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845366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507287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507287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2324730</v>
      </c>
      <c r="C195" s="189">
        <v>120000</v>
      </c>
      <c r="D195" s="174"/>
      <c r="E195" s="175">
        <f t="shared" ref="E195:E203" si="10">SUM(B195:C195)-D195</f>
        <v>2444730</v>
      </c>
    </row>
    <row r="196" spans="1:8" ht="12.6" customHeight="1" x14ac:dyDescent="0.25">
      <c r="A196" s="173" t="s">
        <v>333</v>
      </c>
      <c r="B196" s="174">
        <v>418230</v>
      </c>
      <c r="C196" s="189"/>
      <c r="D196" s="174"/>
      <c r="E196" s="175">
        <f t="shared" si="10"/>
        <v>418230</v>
      </c>
    </row>
    <row r="197" spans="1:8" ht="12.6" customHeight="1" x14ac:dyDescent="0.25">
      <c r="A197" s="173" t="s">
        <v>334</v>
      </c>
      <c r="B197" s="174">
        <v>40762133</v>
      </c>
      <c r="C197" s="189">
        <v>739155</v>
      </c>
      <c r="D197" s="174">
        <v>141932</v>
      </c>
      <c r="E197" s="175">
        <f t="shared" si="10"/>
        <v>41359356</v>
      </c>
    </row>
    <row r="198" spans="1:8" ht="12.6" customHeight="1" x14ac:dyDescent="0.25">
      <c r="A198" s="173" t="s">
        <v>335</v>
      </c>
      <c r="B198" s="174">
        <v>4609905</v>
      </c>
      <c r="C198" s="189"/>
      <c r="D198" s="174">
        <v>143862</v>
      </c>
      <c r="E198" s="175">
        <f t="shared" si="10"/>
        <v>4466043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30766325</v>
      </c>
      <c r="C200" s="189">
        <f>689175+366447</f>
        <v>1055622</v>
      </c>
      <c r="D200" s="174">
        <v>1793073</v>
      </c>
      <c r="E200" s="175">
        <f t="shared" si="10"/>
        <v>30028874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299480</v>
      </c>
      <c r="C203" s="189">
        <v>4051429</v>
      </c>
      <c r="D203" s="174">
        <v>0</v>
      </c>
      <c r="E203" s="175">
        <f t="shared" si="10"/>
        <v>4350909</v>
      </c>
    </row>
    <row r="204" spans="1:8" ht="12.6" customHeight="1" x14ac:dyDescent="0.25">
      <c r="A204" s="173" t="s">
        <v>203</v>
      </c>
      <c r="B204" s="175">
        <f>SUM(B195:B203)</f>
        <v>79180803</v>
      </c>
      <c r="C204" s="191">
        <f>SUM(C195:C203)</f>
        <v>5966206</v>
      </c>
      <c r="D204" s="175">
        <f>SUM(D195:D203)</f>
        <v>2078867</v>
      </c>
      <c r="E204" s="175">
        <f>SUM(E195:E203)</f>
        <v>83068142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421411</v>
      </c>
      <c r="C209" s="189">
        <v>3789</v>
      </c>
      <c r="D209" s="174"/>
      <c r="E209" s="175">
        <f t="shared" ref="E209:E216" si="11">SUM(B209:C209)-D209</f>
        <v>425200</v>
      </c>
      <c r="H209" s="259"/>
    </row>
    <row r="210" spans="1:8" ht="12.6" customHeight="1" x14ac:dyDescent="0.25">
      <c r="A210" s="173" t="s">
        <v>334</v>
      </c>
      <c r="B210" s="174">
        <v>15587204</v>
      </c>
      <c r="C210" s="189">
        <v>1412984</v>
      </c>
      <c r="D210" s="174">
        <v>141932</v>
      </c>
      <c r="E210" s="175">
        <f t="shared" si="11"/>
        <v>16858256</v>
      </c>
      <c r="H210" s="259"/>
    </row>
    <row r="211" spans="1:8" ht="12.6" customHeight="1" x14ac:dyDescent="0.25">
      <c r="A211" s="173" t="s">
        <v>335</v>
      </c>
      <c r="B211" s="174">
        <v>3681972</v>
      </c>
      <c r="C211" s="189">
        <v>237702</v>
      </c>
      <c r="D211" s="174">
        <v>143862</v>
      </c>
      <c r="E211" s="175">
        <f t="shared" si="11"/>
        <v>3775812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21030476</v>
      </c>
      <c r="C213" s="189">
        <f>2263755-216470</f>
        <v>2047285</v>
      </c>
      <c r="D213" s="174">
        <f>1780294-216470</f>
        <v>1563824</v>
      </c>
      <c r="E213" s="175">
        <f t="shared" si="11"/>
        <v>21513937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40721063</v>
      </c>
      <c r="C217" s="191">
        <f>SUM(C208:C216)</f>
        <v>3701760</v>
      </c>
      <c r="D217" s="175">
        <f>SUM(D208:D216)</f>
        <v>1849618</v>
      </c>
      <c r="E217" s="175">
        <f>SUM(E208:E216)</f>
        <v>42573205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3211739</v>
      </c>
      <c r="D221" s="172">
        <f>C221</f>
        <v>3211739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33156718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14285726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20820060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68262504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896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44279.45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415484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459763.45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1444260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1444260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73378266.450000003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4488811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40613365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22382150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588166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1894491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776900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950100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26929983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23779605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23779605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2324730+120000</f>
        <v>2444730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418230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41359356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4466043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30028874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4350910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83068143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42573204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40494939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91204527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1395147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1263533+268613+1764089</f>
        <v>3296235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311475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1742630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1629839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8375326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136954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136954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12989839+5820000+2148435</f>
        <v>20958274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20958274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1629839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19328435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63363812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91204527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91204527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22228147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108873765+21573148+3</f>
        <v>130446916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152675063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3211739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67862504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459763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1444260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72978266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79696797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3831172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12569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3843741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83540538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41754316+330830</f>
        <v>42085146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9592681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935291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8646007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962731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10434676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3701760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1451271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530331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845366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507287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362355+571198</f>
        <v>933553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80626100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2914438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788668-12569</f>
        <v>776099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3690537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3690537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Kittitas Valley Healthcare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1000</v>
      </c>
      <c r="C414" s="194">
        <f>E138</f>
        <v>1000</v>
      </c>
      <c r="D414" s="179"/>
    </row>
    <row r="415" spans="1:5" ht="12.6" customHeight="1" x14ac:dyDescent="0.25">
      <c r="A415" s="179" t="s">
        <v>464</v>
      </c>
      <c r="B415" s="179">
        <f>D111</f>
        <v>2225</v>
      </c>
      <c r="C415" s="179">
        <f>E139</f>
        <v>2771</v>
      </c>
      <c r="D415" s="194">
        <f>SUM(C59:H59)+N59</f>
        <v>2225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</v>
      </c>
      <c r="C417" s="194">
        <f>E144</f>
        <v>6</v>
      </c>
      <c r="D417" s="179"/>
    </row>
    <row r="418" spans="1:7" ht="12.6" customHeight="1" x14ac:dyDescent="0.25">
      <c r="A418" s="179" t="s">
        <v>466</v>
      </c>
      <c r="B418" s="179">
        <f>D112</f>
        <v>48</v>
      </c>
      <c r="C418" s="179">
        <f>E145</f>
        <v>48</v>
      </c>
      <c r="D418" s="179">
        <f>K59+L59</f>
        <v>48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309</v>
      </c>
    </row>
    <row r="424" spans="1:7" ht="12.6" customHeight="1" x14ac:dyDescent="0.25">
      <c r="A424" s="179" t="s">
        <v>1244</v>
      </c>
      <c r="B424" s="179">
        <f>D114</f>
        <v>498</v>
      </c>
      <c r="D424" s="179">
        <f>J59</f>
        <v>498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42085146</v>
      </c>
      <c r="C427" s="179">
        <f t="shared" ref="C427:C434" si="13">CE61</f>
        <v>42085146</v>
      </c>
      <c r="D427" s="179"/>
    </row>
    <row r="428" spans="1:7" ht="12.6" customHeight="1" x14ac:dyDescent="0.25">
      <c r="A428" s="179" t="s">
        <v>3</v>
      </c>
      <c r="B428" s="179">
        <f t="shared" si="12"/>
        <v>9592681</v>
      </c>
      <c r="C428" s="179">
        <f t="shared" si="13"/>
        <v>9592682</v>
      </c>
      <c r="D428" s="179">
        <f>D173</f>
        <v>9592681</v>
      </c>
    </row>
    <row r="429" spans="1:7" ht="12.6" customHeight="1" x14ac:dyDescent="0.25">
      <c r="A429" s="179" t="s">
        <v>236</v>
      </c>
      <c r="B429" s="179">
        <f t="shared" si="12"/>
        <v>935291</v>
      </c>
      <c r="C429" s="179">
        <f t="shared" si="13"/>
        <v>935291</v>
      </c>
      <c r="D429" s="179"/>
    </row>
    <row r="430" spans="1:7" ht="12.6" customHeight="1" x14ac:dyDescent="0.25">
      <c r="A430" s="179" t="s">
        <v>237</v>
      </c>
      <c r="B430" s="179">
        <f t="shared" si="12"/>
        <v>8646007</v>
      </c>
      <c r="C430" s="179">
        <f t="shared" si="13"/>
        <v>8646007</v>
      </c>
      <c r="D430" s="179"/>
    </row>
    <row r="431" spans="1:7" ht="12.6" customHeight="1" x14ac:dyDescent="0.25">
      <c r="A431" s="179" t="s">
        <v>444</v>
      </c>
      <c r="B431" s="179">
        <f t="shared" si="12"/>
        <v>962731</v>
      </c>
      <c r="C431" s="179">
        <f t="shared" si="13"/>
        <v>962731</v>
      </c>
      <c r="D431" s="179"/>
    </row>
    <row r="432" spans="1:7" ht="12.6" customHeight="1" x14ac:dyDescent="0.25">
      <c r="A432" s="179" t="s">
        <v>445</v>
      </c>
      <c r="B432" s="179">
        <f t="shared" si="12"/>
        <v>10434676</v>
      </c>
      <c r="C432" s="179">
        <f t="shared" si="13"/>
        <v>10434676</v>
      </c>
      <c r="D432" s="179"/>
    </row>
    <row r="433" spans="1:7" ht="12.6" customHeight="1" x14ac:dyDescent="0.25">
      <c r="A433" s="179" t="s">
        <v>6</v>
      </c>
      <c r="B433" s="179">
        <f t="shared" si="12"/>
        <v>3701760</v>
      </c>
      <c r="C433" s="179">
        <f t="shared" si="13"/>
        <v>3701760</v>
      </c>
      <c r="D433" s="179">
        <f>C217</f>
        <v>3701760</v>
      </c>
    </row>
    <row r="434" spans="1:7" ht="12.6" customHeight="1" x14ac:dyDescent="0.25">
      <c r="A434" s="179" t="s">
        <v>474</v>
      </c>
      <c r="B434" s="179">
        <f t="shared" si="12"/>
        <v>1451271</v>
      </c>
      <c r="C434" s="179">
        <f t="shared" si="13"/>
        <v>1451271.22</v>
      </c>
      <c r="D434" s="179">
        <f>D177</f>
        <v>1451271</v>
      </c>
    </row>
    <row r="435" spans="1:7" ht="12.6" customHeight="1" x14ac:dyDescent="0.25">
      <c r="A435" s="179" t="s">
        <v>447</v>
      </c>
      <c r="B435" s="179">
        <f t="shared" si="12"/>
        <v>530331</v>
      </c>
      <c r="C435" s="179"/>
      <c r="D435" s="179">
        <f>D181</f>
        <v>530331</v>
      </c>
    </row>
    <row r="436" spans="1:7" ht="12.6" customHeight="1" x14ac:dyDescent="0.25">
      <c r="A436" s="179" t="s">
        <v>475</v>
      </c>
      <c r="B436" s="179">
        <f t="shared" si="12"/>
        <v>845366</v>
      </c>
      <c r="C436" s="179"/>
      <c r="D436" s="179">
        <f>D186</f>
        <v>845366</v>
      </c>
    </row>
    <row r="437" spans="1:7" ht="12.6" customHeight="1" x14ac:dyDescent="0.25">
      <c r="A437" s="194" t="s">
        <v>449</v>
      </c>
      <c r="B437" s="194">
        <f t="shared" si="12"/>
        <v>507287</v>
      </c>
      <c r="C437" s="194"/>
      <c r="D437" s="194">
        <f>D190</f>
        <v>507287</v>
      </c>
    </row>
    <row r="438" spans="1:7" ht="12.6" customHeight="1" x14ac:dyDescent="0.25">
      <c r="A438" s="194" t="s">
        <v>476</v>
      </c>
      <c r="B438" s="194">
        <f>C386+C387+C388</f>
        <v>1882984</v>
      </c>
      <c r="C438" s="194">
        <f>CD69</f>
        <v>0</v>
      </c>
      <c r="D438" s="194">
        <f>D181+D186+D190</f>
        <v>1882984</v>
      </c>
    </row>
    <row r="439" spans="1:7" ht="12.6" customHeight="1" x14ac:dyDescent="0.25">
      <c r="A439" s="179" t="s">
        <v>451</v>
      </c>
      <c r="B439" s="194">
        <f>C389</f>
        <v>933553</v>
      </c>
      <c r="C439" s="194">
        <f>SUM(C69:CC69)</f>
        <v>1959870</v>
      </c>
      <c r="D439" s="179"/>
    </row>
    <row r="440" spans="1:7" ht="12.6" customHeight="1" x14ac:dyDescent="0.25">
      <c r="A440" s="179" t="s">
        <v>477</v>
      </c>
      <c r="B440" s="194">
        <f>B438+B439</f>
        <v>2816537</v>
      </c>
      <c r="C440" s="194">
        <f>CE69</f>
        <v>1959870</v>
      </c>
      <c r="D440" s="179"/>
    </row>
    <row r="441" spans="1:7" ht="12.6" customHeight="1" x14ac:dyDescent="0.25">
      <c r="A441" s="179" t="s">
        <v>478</v>
      </c>
      <c r="B441" s="179">
        <f>D390</f>
        <v>80626100</v>
      </c>
      <c r="C441" s="179">
        <f>SUM(C427:C437)+C440</f>
        <v>79769434.219999999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3211739</v>
      </c>
      <c r="C444" s="179">
        <f>C363</f>
        <v>3211739</v>
      </c>
      <c r="D444" s="179"/>
    </row>
    <row r="445" spans="1:7" ht="12.6" customHeight="1" x14ac:dyDescent="0.25">
      <c r="A445" s="179" t="s">
        <v>343</v>
      </c>
      <c r="B445" s="179">
        <f>D229</f>
        <v>68262504</v>
      </c>
      <c r="C445" s="179">
        <f>C364</f>
        <v>67862504</v>
      </c>
      <c r="D445" s="179"/>
    </row>
    <row r="446" spans="1:7" ht="12.6" customHeight="1" x14ac:dyDescent="0.25">
      <c r="A446" s="179" t="s">
        <v>351</v>
      </c>
      <c r="B446" s="179">
        <f>D236</f>
        <v>459763.45</v>
      </c>
      <c r="C446" s="179">
        <f>C365</f>
        <v>459763</v>
      </c>
      <c r="D446" s="179"/>
    </row>
    <row r="447" spans="1:7" ht="12.6" customHeight="1" x14ac:dyDescent="0.25">
      <c r="A447" s="179" t="s">
        <v>356</v>
      </c>
      <c r="B447" s="179">
        <f>D240</f>
        <v>1444260</v>
      </c>
      <c r="C447" s="179">
        <f>C366</f>
        <v>1444260</v>
      </c>
      <c r="D447" s="179"/>
    </row>
    <row r="448" spans="1:7" ht="12.6" customHeight="1" x14ac:dyDescent="0.25">
      <c r="A448" s="179" t="s">
        <v>358</v>
      </c>
      <c r="B448" s="179">
        <f>D242</f>
        <v>73378266.450000003</v>
      </c>
      <c r="C448" s="179">
        <f>D367</f>
        <v>72978266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896</v>
      </c>
    </row>
    <row r="454" spans="1:7" ht="12.6" customHeight="1" x14ac:dyDescent="0.25">
      <c r="A454" s="179" t="s">
        <v>168</v>
      </c>
      <c r="B454" s="179">
        <f>C233</f>
        <v>44279.45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415484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3831172</v>
      </c>
      <c r="C458" s="194">
        <f>CE70</f>
        <v>856672</v>
      </c>
      <c r="D458" s="194"/>
    </row>
    <row r="459" spans="1:7" ht="12.6" customHeight="1" x14ac:dyDescent="0.25">
      <c r="A459" s="179" t="s">
        <v>244</v>
      </c>
      <c r="B459" s="194">
        <f>C371</f>
        <v>12569</v>
      </c>
      <c r="C459" s="194">
        <f>CE72</f>
        <v>12569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22228147</v>
      </c>
      <c r="C463" s="194">
        <f>CE73</f>
        <v>22228147</v>
      </c>
      <c r="D463" s="194">
        <f>E141+E147+E153</f>
        <v>22228147</v>
      </c>
    </row>
    <row r="464" spans="1:7" ht="12.6" customHeight="1" x14ac:dyDescent="0.25">
      <c r="A464" s="179" t="s">
        <v>246</v>
      </c>
      <c r="B464" s="194">
        <f>C360</f>
        <v>130446916</v>
      </c>
      <c r="C464" s="194">
        <f>CE74</f>
        <v>130446915</v>
      </c>
      <c r="D464" s="194">
        <f>E142+E148+E154</f>
        <v>130446915</v>
      </c>
    </row>
    <row r="465" spans="1:7" ht="12.6" customHeight="1" x14ac:dyDescent="0.25">
      <c r="A465" s="179" t="s">
        <v>247</v>
      </c>
      <c r="B465" s="194">
        <f>D361</f>
        <v>152675063</v>
      </c>
      <c r="C465" s="194">
        <f>CE75</f>
        <v>152675062</v>
      </c>
      <c r="D465" s="194">
        <f>D463+D464</f>
        <v>152675062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2444730</v>
      </c>
      <c r="C468" s="179">
        <f>E195</f>
        <v>2444730</v>
      </c>
      <c r="D468" s="179"/>
    </row>
    <row r="469" spans="1:7" ht="12.6" customHeight="1" x14ac:dyDescent="0.25">
      <c r="A469" s="179" t="s">
        <v>333</v>
      </c>
      <c r="B469" s="179">
        <f t="shared" si="14"/>
        <v>418230</v>
      </c>
      <c r="C469" s="179">
        <f>E196</f>
        <v>418230</v>
      </c>
      <c r="D469" s="179"/>
    </row>
    <row r="470" spans="1:7" ht="12.6" customHeight="1" x14ac:dyDescent="0.25">
      <c r="A470" s="179" t="s">
        <v>334</v>
      </c>
      <c r="B470" s="179">
        <f t="shared" si="14"/>
        <v>41359356</v>
      </c>
      <c r="C470" s="179">
        <f>E197</f>
        <v>41359356</v>
      </c>
      <c r="D470" s="179"/>
    </row>
    <row r="471" spans="1:7" ht="12.6" customHeight="1" x14ac:dyDescent="0.25">
      <c r="A471" s="179" t="s">
        <v>494</v>
      </c>
      <c r="B471" s="179">
        <f t="shared" si="14"/>
        <v>4466043</v>
      </c>
      <c r="C471" s="179">
        <f>E198</f>
        <v>4466043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30028874</v>
      </c>
      <c r="C473" s="179">
        <f>SUM(E200:E201)</f>
        <v>30028874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4350910</v>
      </c>
      <c r="C475" s="179">
        <f>E203</f>
        <v>4350909</v>
      </c>
      <c r="D475" s="179"/>
    </row>
    <row r="476" spans="1:7" ht="12.6" customHeight="1" x14ac:dyDescent="0.25">
      <c r="A476" s="179" t="s">
        <v>203</v>
      </c>
      <c r="B476" s="179">
        <f>D275</f>
        <v>83068143</v>
      </c>
      <c r="C476" s="179">
        <f>E204</f>
        <v>83068142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42573204</v>
      </c>
      <c r="C478" s="179">
        <f>E217</f>
        <v>42573205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91204527</v>
      </c>
    </row>
    <row r="482" spans="1:12" ht="12.6" customHeight="1" x14ac:dyDescent="0.25">
      <c r="A482" s="180" t="s">
        <v>499</v>
      </c>
      <c r="C482" s="180">
        <f>D339</f>
        <v>91204527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140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1471655</v>
      </c>
      <c r="C496" s="240">
        <f>C71</f>
        <v>1464835</v>
      </c>
      <c r="D496" s="240">
        <f>'Prior Year'!C59</f>
        <v>244</v>
      </c>
      <c r="E496" s="180">
        <f>C59</f>
        <v>243</v>
      </c>
      <c r="F496" s="263">
        <f t="shared" ref="F496:G511" si="15">IF(B496=0,"",IF(D496=0,"",B496/D496))</f>
        <v>6031.372950819672</v>
      </c>
      <c r="G496" s="264">
        <f t="shared" si="15"/>
        <v>6028.1275720164613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3361444</v>
      </c>
      <c r="C498" s="240">
        <f>E71</f>
        <v>2384663</v>
      </c>
      <c r="D498" s="240">
        <f>'Prior Year'!E59</f>
        <v>2049</v>
      </c>
      <c r="E498" s="180">
        <f>E59</f>
        <v>1982</v>
      </c>
      <c r="F498" s="263">
        <f t="shared" si="15"/>
        <v>1640.5290385553928</v>
      </c>
      <c r="G498" s="263">
        <f t="shared" si="15"/>
        <v>1203.1599394550958</v>
      </c>
      <c r="H498" s="265">
        <f t="shared" si="16"/>
        <v>-0.26660247323962816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284746</v>
      </c>
      <c r="C503" s="240">
        <f>J71</f>
        <v>541230</v>
      </c>
      <c r="D503" s="240">
        <f>'Prior Year'!J59</f>
        <v>529</v>
      </c>
      <c r="E503" s="180">
        <f>J59</f>
        <v>498</v>
      </c>
      <c r="F503" s="263">
        <f t="shared" si="15"/>
        <v>538.27221172022689</v>
      </c>
      <c r="G503" s="263">
        <f t="shared" si="15"/>
        <v>1086.8072289156626</v>
      </c>
      <c r="H503" s="265">
        <f t="shared" si="16"/>
        <v>1.0190661996880919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48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845670</v>
      </c>
      <c r="C508" s="240">
        <f>O71</f>
        <v>1441453</v>
      </c>
      <c r="D508" s="240">
        <f>'Prior Year'!O59</f>
        <v>320</v>
      </c>
      <c r="E508" s="180">
        <f>O59</f>
        <v>309</v>
      </c>
      <c r="F508" s="263">
        <f t="shared" si="15"/>
        <v>2642.71875</v>
      </c>
      <c r="G508" s="263">
        <f t="shared" si="15"/>
        <v>4664.8964401294497</v>
      </c>
      <c r="H508" s="265">
        <f t="shared" si="16"/>
        <v>0.76518838417044943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6179120</v>
      </c>
      <c r="C509" s="240">
        <f>P71</f>
        <v>6444257</v>
      </c>
      <c r="D509" s="240">
        <f>'Prior Year'!P59</f>
        <v>116248</v>
      </c>
      <c r="E509" s="180">
        <f>P59</f>
        <v>106751</v>
      </c>
      <c r="F509" s="263">
        <f t="shared" si="15"/>
        <v>53.154634918450213</v>
      </c>
      <c r="G509" s="263">
        <f t="shared" si="15"/>
        <v>60.367181572069583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378832</v>
      </c>
      <c r="C510" s="240">
        <f>Q71</f>
        <v>347370</v>
      </c>
      <c r="D510" s="240">
        <f>'Prior Year'!Q59</f>
        <v>0</v>
      </c>
      <c r="E510" s="180">
        <f>Q59</f>
        <v>57939</v>
      </c>
      <c r="F510" s="263" t="str">
        <f t="shared" si="15"/>
        <v/>
      </c>
      <c r="G510" s="263">
        <f t="shared" si="15"/>
        <v>5.9954434836638537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643934</v>
      </c>
      <c r="C512" s="240">
        <f>S71</f>
        <v>291294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3171928</v>
      </c>
      <c r="C514" s="240">
        <f>U71</f>
        <v>3578702</v>
      </c>
      <c r="D514" s="240">
        <f>'Prior Year'!U59</f>
        <v>207040</v>
      </c>
      <c r="E514" s="180">
        <f>U59</f>
        <v>209144</v>
      </c>
      <c r="F514" s="263">
        <f t="shared" si="17"/>
        <v>15.320363214837712</v>
      </c>
      <c r="G514" s="263">
        <f t="shared" si="17"/>
        <v>17.111186550893166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146831</v>
      </c>
      <c r="C515" s="240">
        <f>V71</f>
        <v>58836</v>
      </c>
      <c r="D515" s="240">
        <f>'Prior Year'!V59</f>
        <v>0</v>
      </c>
      <c r="E515" s="180">
        <f>V59</f>
        <v>687</v>
      </c>
      <c r="F515" s="263" t="str">
        <f t="shared" si="17"/>
        <v/>
      </c>
      <c r="G515" s="263">
        <f t="shared" si="17"/>
        <v>85.641921397379917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907840</v>
      </c>
      <c r="C516" s="240">
        <f>W71</f>
        <v>905526</v>
      </c>
      <c r="D516" s="240">
        <f>'Prior Year'!W59</f>
        <v>1618</v>
      </c>
      <c r="E516" s="180">
        <f>W59</f>
        <v>1831</v>
      </c>
      <c r="F516" s="263">
        <f t="shared" si="17"/>
        <v>561.0877626699629</v>
      </c>
      <c r="G516" s="263">
        <f t="shared" si="17"/>
        <v>494.55270344074279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807623.52</v>
      </c>
      <c r="C517" s="240">
        <f>X71</f>
        <v>116199.52</v>
      </c>
      <c r="D517" s="240">
        <f>'Prior Year'!X59</f>
        <v>5019</v>
      </c>
      <c r="E517" s="180">
        <f>X59</f>
        <v>5081</v>
      </c>
      <c r="F517" s="263">
        <f t="shared" si="17"/>
        <v>160.9132337118948</v>
      </c>
      <c r="G517" s="263">
        <f t="shared" si="17"/>
        <v>22.869419405628815</v>
      </c>
      <c r="H517" s="265">
        <f t="shared" si="16"/>
        <v>-0.85787732383419069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1423072.7</v>
      </c>
      <c r="C518" s="240">
        <f>Y71</f>
        <v>2617833.7000000002</v>
      </c>
      <c r="D518" s="240">
        <f>'Prior Year'!Y59</f>
        <v>22837</v>
      </c>
      <c r="E518" s="180">
        <f>Y59</f>
        <v>22798</v>
      </c>
      <c r="F518" s="263">
        <f t="shared" si="17"/>
        <v>62.314345141656084</v>
      </c>
      <c r="G518" s="263">
        <f t="shared" si="17"/>
        <v>114.82734011755419</v>
      </c>
      <c r="H518" s="265">
        <f t="shared" si="16"/>
        <v>0.84271117439367993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4187217</v>
      </c>
      <c r="C521" s="240">
        <f>AB71</f>
        <v>3949175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407090</v>
      </c>
      <c r="C522" s="240">
        <f>AC71</f>
        <v>586347</v>
      </c>
      <c r="D522" s="240">
        <f>'Prior Year'!AC59</f>
        <v>73720</v>
      </c>
      <c r="E522" s="180" t="str">
        <f>AC59</f>
        <v>???</v>
      </c>
      <c r="F522" s="263">
        <f t="shared" si="17"/>
        <v>5.5221106890938687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1755232</v>
      </c>
      <c r="C524" s="240">
        <f>AE71</f>
        <v>1542124</v>
      </c>
      <c r="D524" s="240">
        <f>'Prior Year'!AE59</f>
        <v>5989</v>
      </c>
      <c r="E524" s="180">
        <f>AE59</f>
        <v>5989</v>
      </c>
      <c r="F524" s="263">
        <f t="shared" si="17"/>
        <v>293.0759726164635</v>
      </c>
      <c r="G524" s="263">
        <f t="shared" si="17"/>
        <v>257.4927366839205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5787128</v>
      </c>
      <c r="C526" s="240">
        <f>AG71</f>
        <v>6104237</v>
      </c>
      <c r="D526" s="240">
        <f>'Prior Year'!AG59</f>
        <v>13751</v>
      </c>
      <c r="E526" s="180">
        <f>AG59</f>
        <v>13861</v>
      </c>
      <c r="F526" s="263">
        <f t="shared" si="17"/>
        <v>420.85142898698274</v>
      </c>
      <c r="G526" s="263">
        <f t="shared" si="17"/>
        <v>440.38936584662002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20020514</v>
      </c>
      <c r="C529" s="240">
        <f>AJ71</f>
        <v>20669072</v>
      </c>
      <c r="D529" s="240">
        <f>'Prior Year'!AJ59</f>
        <v>58500</v>
      </c>
      <c r="E529" s="180">
        <f>AJ59</f>
        <v>96976</v>
      </c>
      <c r="F529" s="263">
        <f t="shared" si="18"/>
        <v>342.23100854700857</v>
      </c>
      <c r="G529" s="263">
        <f t="shared" si="18"/>
        <v>213.13595116317438</v>
      </c>
      <c r="H529" s="265">
        <f t="shared" si="16"/>
        <v>-0.37721613226085504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251799</v>
      </c>
      <c r="C530" s="240">
        <f>AK71</f>
        <v>237953</v>
      </c>
      <c r="D530" s="240">
        <f>'Prior Year'!AK59</f>
        <v>1954</v>
      </c>
      <c r="E530" s="180">
        <f>AK59</f>
        <v>0</v>
      </c>
      <c r="F530" s="263">
        <f t="shared" si="18"/>
        <v>128.86335721596726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157334</v>
      </c>
      <c r="C531" s="240">
        <f>AL71</f>
        <v>149076</v>
      </c>
      <c r="D531" s="240">
        <f>'Prior Year'!AL59</f>
        <v>1267</v>
      </c>
      <c r="E531" s="180">
        <f>AL59</f>
        <v>0</v>
      </c>
      <c r="F531" s="263">
        <f t="shared" si="18"/>
        <v>124.17837411207577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3085164</v>
      </c>
      <c r="C537" s="240">
        <f>AR71</f>
        <v>2788139</v>
      </c>
      <c r="D537" s="240">
        <f>'Prior Year'!AR59</f>
        <v>18957</v>
      </c>
      <c r="E537" s="180">
        <f>AR59</f>
        <v>16245</v>
      </c>
      <c r="F537" s="263">
        <f t="shared" si="18"/>
        <v>162.74537110302262</v>
      </c>
      <c r="G537" s="263">
        <f t="shared" si="18"/>
        <v>171.63059402893197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1219699</v>
      </c>
      <c r="C544" s="240">
        <f>AY71</f>
        <v>1199812</v>
      </c>
      <c r="D544" s="240">
        <f>'Prior Year'!AY59</f>
        <v>10307</v>
      </c>
      <c r="E544" s="180">
        <f>AY59</f>
        <v>10124</v>
      </c>
      <c r="F544" s="263">
        <f t="shared" ref="F544:G550" si="19">IF(B544=0,"",IF(D544=0,"",B544/D544))</f>
        <v>118.33695546715825</v>
      </c>
      <c r="G544" s="263">
        <f t="shared" si="19"/>
        <v>118.51165547214539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179972</v>
      </c>
      <c r="C546" s="240">
        <f>BA71</f>
        <v>183481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177298</v>
      </c>
      <c r="C547" s="240">
        <f>BB71</f>
        <v>172940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503420</v>
      </c>
      <c r="C549" s="240">
        <f>BD71</f>
        <v>724093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2071022</v>
      </c>
      <c r="C550" s="240">
        <f>BE71</f>
        <v>2147058</v>
      </c>
      <c r="D550" s="240">
        <f>'Prior Year'!BE59</f>
        <v>106691</v>
      </c>
      <c r="E550" s="180">
        <f>BE59</f>
        <v>97311</v>
      </c>
      <c r="F550" s="263">
        <f t="shared" si="19"/>
        <v>19.411403023685221</v>
      </c>
      <c r="G550" s="263">
        <f t="shared" si="19"/>
        <v>22.063877670561396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1010414</v>
      </c>
      <c r="C551" s="240">
        <f>BF71</f>
        <v>1106966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3670395</v>
      </c>
      <c r="C553" s="240">
        <f>BH71</f>
        <v>4893081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874373</v>
      </c>
      <c r="C555" s="240">
        <f>BJ71</f>
        <v>880427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3074183</v>
      </c>
      <c r="C556" s="240">
        <f>BK71</f>
        <v>3182969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2021215</v>
      </c>
      <c r="C559" s="240">
        <f>BN71</f>
        <v>2575034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83526</v>
      </c>
      <c r="C560" s="240">
        <f>BO71</f>
        <v>87419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479760</v>
      </c>
      <c r="C561" s="240">
        <f>BP71</f>
        <v>494549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763301</v>
      </c>
      <c r="C563" s="240">
        <f>BR71</f>
        <v>762369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104025</v>
      </c>
      <c r="C564" s="240">
        <f>BS71</f>
        <v>176104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2073121</v>
      </c>
      <c r="C567" s="240">
        <f>BV71</f>
        <v>1604967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630205</v>
      </c>
      <c r="C568" s="240">
        <f>BW71</f>
        <v>732472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880507</v>
      </c>
      <c r="C569" s="240">
        <f>BX71</f>
        <v>1116417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1590591</v>
      </c>
      <c r="C570" s="240">
        <f>BY71</f>
        <v>1510954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-2897122</v>
      </c>
      <c r="C575" s="240">
        <f>CD71</f>
        <v>-856672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89692.67</v>
      </c>
      <c r="E612" s="180">
        <f>SUM(C624:D647)+SUM(C668:D713)</f>
        <v>74718609.076307207</v>
      </c>
      <c r="F612" s="180">
        <f>CE64-(AX64+BD64+BE64+BG64+BJ64+BN64+BP64+BQ64+CB64+CC64+CD64)</f>
        <v>8531103</v>
      </c>
      <c r="G612" s="180">
        <f>CE77-(AX77+AY77+BD77+BE77+BG77+BJ77+BN77+BP77+BQ77+CB77+CC77+CD77)</f>
        <v>10124</v>
      </c>
      <c r="H612" s="197">
        <f>CE60-(AX60+AY60+AZ60+BD60+BE60+BG60+BJ60+BN60+BO60+BP60+BQ60+BR60+CB60+CC60+CD60)</f>
        <v>428.69999999999993</v>
      </c>
      <c r="I612" s="180">
        <f>CE78-(AX78+AY78+AZ78+BD78+BE78+BF78+BG78+BJ78+BN78+BO78+BP78+BQ78+BR78+CB78+CC78+CD78)</f>
        <v>33034</v>
      </c>
      <c r="J612" s="180">
        <f>CE79-(AX79+AY79+AZ79+BA79+BD79+BE79+BF79+BG79+BJ79+BN79+BO79+BP79+BQ79+BR79+CB79+CC79+CD79)</f>
        <v>271304</v>
      </c>
      <c r="K612" s="180">
        <f>CE75-(AW75+AX75+AY75+AZ75+BA75+BB75+BC75+BD75+BE75+BF75+BG75+BH75+BI75+BJ75+BK75+BL75+BM75+BN75+BO75+BP75+BQ75+BR75+BS75+BT75+BU75+BV75+BW75+BX75+CB75+CC75+CD75)</f>
        <v>152675062</v>
      </c>
      <c r="L612" s="197">
        <f>CE80-(AW80+AX80+AY80+AZ80+BA80+BB80+BC80+BD80+BE80+BF80+BG80+BH80+BI80+BJ80+BK80+BL80+BM80+BN80+BO80+BP80+BQ80+BR80+BS80+BT80+BU80+BV80+BW80+BX80+BY80+BZ80+CA80+CB80+CC80+CD80)</f>
        <v>90.25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2147058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-856672</v>
      </c>
      <c r="D615" s="266">
        <f>SUM(C614:C615)</f>
        <v>1290386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880427</v>
      </c>
      <c r="D617" s="180">
        <f>(D615/D612)*BJ76</f>
        <v>6948.8001416392226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2575034</v>
      </c>
      <c r="D619" s="180">
        <f>(D615/D612)*BN76</f>
        <v>232964.63911710959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494549</v>
      </c>
      <c r="D621" s="180">
        <f>(D615/D612)*BP76</f>
        <v>4229.7044340412658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4194153.1436927901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724093</v>
      </c>
      <c r="D624" s="180">
        <f>(D615/D612)*BD76</f>
        <v>23105.120139694805</v>
      </c>
      <c r="E624" s="180">
        <f>(E623/E612)*SUM(C624:D624)</f>
        <v>41942.206677653106</v>
      </c>
      <c r="F624" s="180">
        <f>SUM(C624:E624)</f>
        <v>789140.3268173479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1199812</v>
      </c>
      <c r="D625" s="180">
        <f>(D615/D612)*AY76</f>
        <v>57546.999102602254</v>
      </c>
      <c r="E625" s="180">
        <f>(E623/E612)*SUM(C625:D625)</f>
        <v>70578.886090490807</v>
      </c>
      <c r="F625" s="180">
        <f>(F624/F612)*AY64</f>
        <v>30721.062739556266</v>
      </c>
      <c r="G625" s="180">
        <f>SUM(C625:F625)</f>
        <v>1358658.9479326492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762369</v>
      </c>
      <c r="D626" s="180">
        <f>(D615/D612)*BR76</f>
        <v>10574.261085103164</v>
      </c>
      <c r="E626" s="180">
        <f>(E623/E612)*SUM(C626:D626)</f>
        <v>43387.34952982697</v>
      </c>
      <c r="F626" s="180">
        <f>(F624/F612)*BR64</f>
        <v>501.63595402968144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87419</v>
      </c>
      <c r="D627" s="180">
        <f>(D615/D612)*BO76</f>
        <v>1510.6087264433093</v>
      </c>
      <c r="E627" s="180">
        <f>(E623/E612)*SUM(C627:D627)</f>
        <v>4991.8541393947462</v>
      </c>
      <c r="F627" s="180">
        <f>(F624/F612)*BO64</f>
        <v>1226.9406775308307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911980.65011232859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1106966</v>
      </c>
      <c r="D629" s="180">
        <f>(D615/D612)*BF76</f>
        <v>4934.6551730481433</v>
      </c>
      <c r="E629" s="180">
        <f>(E623/E612)*SUM(C629:D629)</f>
        <v>62413.924536596773</v>
      </c>
      <c r="F629" s="180">
        <f>(F624/F612)*BF64</f>
        <v>20725.806790325725</v>
      </c>
      <c r="G629" s="180">
        <f>(G625/G612)*BF77</f>
        <v>0</v>
      </c>
      <c r="H629" s="180">
        <f>(H628/H612)*BF60</f>
        <v>35526.188142934196</v>
      </c>
      <c r="I629" s="180">
        <f>SUM(C629:H629)</f>
        <v>1230566.5746429048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183481</v>
      </c>
      <c r="D630" s="180">
        <f>(D615/D612)*BA76</f>
        <v>12286.284308405582</v>
      </c>
      <c r="E630" s="180">
        <f>(E623/E612)*SUM(C630:D630)</f>
        <v>10988.935434755813</v>
      </c>
      <c r="F630" s="180">
        <f>(F624/F612)*BA64</f>
        <v>836.49159732443468</v>
      </c>
      <c r="G630" s="180">
        <f>(G625/G612)*BA77</f>
        <v>0</v>
      </c>
      <c r="H630" s="180">
        <f>(H628/H612)*BA60</f>
        <v>6594.6816313231147</v>
      </c>
      <c r="I630" s="180">
        <f>(I629/I612)*BA78</f>
        <v>0</v>
      </c>
      <c r="J630" s="180">
        <f>SUM(C630:I630)</f>
        <v>214187.39297180896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172940</v>
      </c>
      <c r="D632" s="180">
        <f>(D615/D612)*BB76</f>
        <v>3107.537951540522</v>
      </c>
      <c r="E632" s="180">
        <f>(E623/E612)*SUM(C632:D632)</f>
        <v>9882.0139168377791</v>
      </c>
      <c r="F632" s="180">
        <f>(F624/F612)*BB64</f>
        <v>8.8801496564354458</v>
      </c>
      <c r="G632" s="180">
        <f>(G625/G612)*BB77</f>
        <v>0</v>
      </c>
      <c r="H632" s="180">
        <f>(H628/H612)*BB60</f>
        <v>3616.4383139513852</v>
      </c>
      <c r="I632" s="180">
        <f>(I629/I612)*BB78</f>
        <v>3278.1333949438649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3182969</v>
      </c>
      <c r="D635" s="180">
        <f>(D615/D612)*BK76</f>
        <v>129351.26723287422</v>
      </c>
      <c r="E635" s="180">
        <f>(E623/E612)*SUM(C635:D635)</f>
        <v>185929.29704492167</v>
      </c>
      <c r="F635" s="180">
        <f>(F624/F612)*BK64</f>
        <v>4894.7199903154333</v>
      </c>
      <c r="G635" s="180">
        <f>(G625/G612)*BK77</f>
        <v>0</v>
      </c>
      <c r="H635" s="180">
        <f>(H628/H612)*BK60</f>
        <v>55948.428033483193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4893081</v>
      </c>
      <c r="D636" s="180">
        <f>(D615/D612)*BH76</f>
        <v>13581.091788214133</v>
      </c>
      <c r="E636" s="180">
        <f>(E623/E612)*SUM(C636:D636)</f>
        <v>275423.92038233671</v>
      </c>
      <c r="F636" s="180">
        <f>(F624/F612)*BH64</f>
        <v>15355.351282478545</v>
      </c>
      <c r="G636" s="180">
        <f>(G625/G612)*BH77</f>
        <v>0</v>
      </c>
      <c r="H636" s="180">
        <f>(H628/H612)*BH60</f>
        <v>30633.359835823499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176104</v>
      </c>
      <c r="D639" s="180">
        <f>(D615/D612)*BS76</f>
        <v>0</v>
      </c>
      <c r="E639" s="180">
        <f>(E623/E612)*SUM(C639:D639)</f>
        <v>9885.1832809489861</v>
      </c>
      <c r="F639" s="180">
        <f>(F624/F612)*BS64</f>
        <v>6565.8531537858789</v>
      </c>
      <c r="G639" s="180">
        <f>(G625/G612)*BS77</f>
        <v>0</v>
      </c>
      <c r="H639" s="180">
        <f>(H628/H612)*BS60</f>
        <v>2127.3166552655207</v>
      </c>
      <c r="I639" s="180">
        <f>(I629/I612)*BS78</f>
        <v>7636.56074958514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1604967</v>
      </c>
      <c r="D642" s="180">
        <f>(D615/D612)*BV76</f>
        <v>0</v>
      </c>
      <c r="E642" s="180">
        <f>(E623/E612)*SUM(C642:D642)</f>
        <v>90091.042536653622</v>
      </c>
      <c r="F642" s="180">
        <f>(F624/F612)*BV64</f>
        <v>1376.0531905118091</v>
      </c>
      <c r="G642" s="180">
        <f>(G625/G612)*BV77</f>
        <v>0</v>
      </c>
      <c r="H642" s="180">
        <f>(H628/H612)*BV60</f>
        <v>25102.336532133144</v>
      </c>
      <c r="I642" s="180">
        <f>(I629/I612)*BV78</f>
        <v>27044.600508286883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732472</v>
      </c>
      <c r="D643" s="180">
        <f>(D615/D612)*BW76</f>
        <v>1208.4869811546473</v>
      </c>
      <c r="E643" s="180">
        <f>(E623/E612)*SUM(C643:D643)</f>
        <v>41183.42617694442</v>
      </c>
      <c r="F643" s="180">
        <f>(F624/F612)*BW64</f>
        <v>294.15495736942415</v>
      </c>
      <c r="G643" s="180">
        <f>(G625/G612)*BW77</f>
        <v>0</v>
      </c>
      <c r="H643" s="180">
        <f>(H628/H612)*BW60</f>
        <v>8083.8032900089784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1116417</v>
      </c>
      <c r="D644" s="180">
        <f>(D615/D612)*BX76</f>
        <v>0</v>
      </c>
      <c r="E644" s="180">
        <f>(E623/E612)*SUM(C644:D644)</f>
        <v>62667.438916590327</v>
      </c>
      <c r="F644" s="180">
        <f>(F624/F612)*BX64</f>
        <v>246.70165764284721</v>
      </c>
      <c r="G644" s="180">
        <f>(G625/G612)*BX77</f>
        <v>0</v>
      </c>
      <c r="H644" s="180">
        <f>(H628/H612)*BX60</f>
        <v>14678.484921332094</v>
      </c>
      <c r="I644" s="180">
        <f>(I629/I612)*BX78</f>
        <v>0</v>
      </c>
      <c r="J644" s="180">
        <f>(J630/J612)*BX79</f>
        <v>0</v>
      </c>
      <c r="K644" s="180">
        <f>SUM(C631:J644)</f>
        <v>12908151.882825594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1510954</v>
      </c>
      <c r="D645" s="180">
        <f>(D615/D612)*BY76</f>
        <v>6819.3193936583675</v>
      </c>
      <c r="E645" s="180">
        <f>(E623/E612)*SUM(C645:D645)</f>
        <v>85196.630633833614</v>
      </c>
      <c r="F645" s="180">
        <f>(F624/F612)*BY64</f>
        <v>1049.6151890788854</v>
      </c>
      <c r="G645" s="180">
        <f>(G625/G612)*BY77</f>
        <v>0</v>
      </c>
      <c r="H645" s="180">
        <f>(H628/H612)*BY60</f>
        <v>18933.118231863136</v>
      </c>
      <c r="I645" s="180">
        <f>(I629/I612)*BY78</f>
        <v>7189.5425593655218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1630142.2260077996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22694440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1464835</v>
      </c>
      <c r="D668" s="180">
        <f>(D615/D612)*C76</f>
        <v>41678.414100059686</v>
      </c>
      <c r="E668" s="180">
        <f>(E623/E612)*SUM(C668:D668)</f>
        <v>84564.582369436728</v>
      </c>
      <c r="F668" s="180">
        <f>(F624/F612)*C64</f>
        <v>4411.0293387164647</v>
      </c>
      <c r="G668" s="180">
        <f>(G625/G612)*C77</f>
        <v>145474.74314095138</v>
      </c>
      <c r="H668" s="180">
        <f>(H628/H612)*C60</f>
        <v>27442.384852925217</v>
      </c>
      <c r="I668" s="180">
        <f>(I629/I612)*C78</f>
        <v>43956.788704929095</v>
      </c>
      <c r="J668" s="180">
        <f>(J630/J612)*C79</f>
        <v>10688.685435693251</v>
      </c>
      <c r="K668" s="180">
        <f>(K644/K612)*C75</f>
        <v>103457.85474659994</v>
      </c>
      <c r="L668" s="180">
        <f>(L647/L612)*C80</f>
        <v>202480.82386202144</v>
      </c>
      <c r="M668" s="180">
        <f t="shared" ref="M668:M713" si="20">ROUND(SUM(D668:L668),0)</f>
        <v>664155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2384663</v>
      </c>
      <c r="D670" s="180">
        <f>(D615/D612)*E76</f>
        <v>180194.04094002332</v>
      </c>
      <c r="E670" s="180">
        <f>(E623/E612)*SUM(C670:D670)</f>
        <v>143972.20925773753</v>
      </c>
      <c r="F670" s="180">
        <f>(F624/F612)*E64</f>
        <v>8582.9421476216212</v>
      </c>
      <c r="G670" s="180">
        <f>(G625/G612)*E77</f>
        <v>1153598.6088926366</v>
      </c>
      <c r="H670" s="180">
        <f>(H628/H612)*E60</f>
        <v>48928.283071106976</v>
      </c>
      <c r="I670" s="180">
        <f>(I629/I612)*E78</f>
        <v>190094.48539089251</v>
      </c>
      <c r="J670" s="180">
        <f>(J630/J612)*E79</f>
        <v>44015.531360972433</v>
      </c>
      <c r="K670" s="180">
        <f>(K644/K612)*E75</f>
        <v>442795.63448135753</v>
      </c>
      <c r="L670" s="180">
        <f>(L647/L612)*E80</f>
        <v>250346.49587222273</v>
      </c>
      <c r="M670" s="180">
        <f t="shared" si="20"/>
        <v>2462528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541230</v>
      </c>
      <c r="D675" s="180">
        <f>(D615/D612)*J76</f>
        <v>3625.4609434639424</v>
      </c>
      <c r="E675" s="180">
        <f>(E623/E612)*SUM(C675:D675)</f>
        <v>30584.178059851467</v>
      </c>
      <c r="F675" s="180">
        <f>(F624/F612)*J64</f>
        <v>0</v>
      </c>
      <c r="G675" s="180">
        <f>(G625/G612)*J77</f>
        <v>0</v>
      </c>
      <c r="H675" s="180">
        <f>(H628/H612)*J60</f>
        <v>10636.583276327603</v>
      </c>
      <c r="I675" s="180">
        <f>(I629/I612)*J78</f>
        <v>3836.9061327183872</v>
      </c>
      <c r="J675" s="180">
        <f>(J630/J612)*J79</f>
        <v>2718.1582062997163</v>
      </c>
      <c r="K675" s="180">
        <f>(K644/K612)*J75</f>
        <v>53451.014059764413</v>
      </c>
      <c r="L675" s="180">
        <f>(L647/L612)*J80</f>
        <v>90312.588698493055</v>
      </c>
      <c r="M675" s="180">
        <f t="shared" si="20"/>
        <v>195165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3842.4722353848306</v>
      </c>
      <c r="L677" s="180">
        <f>(L647/L612)*L80</f>
        <v>0</v>
      </c>
      <c r="M677" s="180">
        <f t="shared" si="20"/>
        <v>3842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1441453</v>
      </c>
      <c r="D680" s="180">
        <f>(D615/D612)*O76</f>
        <v>28370.670557582911</v>
      </c>
      <c r="E680" s="180">
        <f>(E623/E612)*SUM(C680:D680)</f>
        <v>82505.090027136743</v>
      </c>
      <c r="F680" s="180">
        <f>(F624/F612)*O64</f>
        <v>9194.4699536496919</v>
      </c>
      <c r="G680" s="180">
        <f>(G625/G612)*O77</f>
        <v>0</v>
      </c>
      <c r="H680" s="180">
        <f>(H628/H612)*O60</f>
        <v>22124.093214761415</v>
      </c>
      <c r="I680" s="180">
        <f>(I629/I612)*O78</f>
        <v>29912.967228862766</v>
      </c>
      <c r="J680" s="180">
        <f>(J630/J612)*O79</f>
        <v>14236.580579204992</v>
      </c>
      <c r="K680" s="180">
        <f>(K644/K612)*O75</f>
        <v>292237.14263485919</v>
      </c>
      <c r="L680" s="180">
        <f>(L647/L612)*O80</f>
        <v>90493.21387589004</v>
      </c>
      <c r="M680" s="180">
        <f t="shared" si="20"/>
        <v>569074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6444257</v>
      </c>
      <c r="D681" s="180">
        <f>(D615/D612)*P76</f>
        <v>176885.0884916237</v>
      </c>
      <c r="E681" s="180">
        <f>(E623/E612)*SUM(C681:D681)</f>
        <v>371662.2170646041</v>
      </c>
      <c r="F681" s="180">
        <f>(F624/F612)*P64</f>
        <v>267743.26475532993</v>
      </c>
      <c r="G681" s="180">
        <f>(G625/G612)*P77</f>
        <v>7783.7039687962915</v>
      </c>
      <c r="H681" s="180">
        <f>(H628/H612)*P60</f>
        <v>54884.769705850435</v>
      </c>
      <c r="I681" s="180">
        <f>(I629/I612)*P78</f>
        <v>186592.84290083885</v>
      </c>
      <c r="J681" s="180">
        <f>(J630/J612)*P79</f>
        <v>42394.741701508792</v>
      </c>
      <c r="K681" s="180">
        <f>(K644/K612)*P75</f>
        <v>2159732.3360999529</v>
      </c>
      <c r="L681" s="180">
        <f>(L647/L612)*P80</f>
        <v>308507.80299405224</v>
      </c>
      <c r="M681" s="180">
        <f t="shared" si="20"/>
        <v>3576187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347370</v>
      </c>
      <c r="D682" s="180">
        <f>(D615/D612)*Q76</f>
        <v>14559.390772958372</v>
      </c>
      <c r="E682" s="180">
        <f>(E623/E612)*SUM(C682:D682)</f>
        <v>20316.053937178596</v>
      </c>
      <c r="F682" s="180">
        <f>(F624/F612)*Q64</f>
        <v>6613.6764597481406</v>
      </c>
      <c r="G682" s="180">
        <f>(G625/G612)*Q77</f>
        <v>0</v>
      </c>
      <c r="H682" s="180">
        <f>(H628/H612)*Q60</f>
        <v>1489.1216586858643</v>
      </c>
      <c r="I682" s="180">
        <f>(I629/I612)*Q78</f>
        <v>15347.624530873549</v>
      </c>
      <c r="J682" s="180">
        <f>(J630/J612)*Q79</f>
        <v>0</v>
      </c>
      <c r="K682" s="180">
        <f>(K644/K612)*Q75</f>
        <v>75922.053448456689</v>
      </c>
      <c r="L682" s="180">
        <f>(L647/L612)*Q80</f>
        <v>12643.762417789027</v>
      </c>
      <c r="M682" s="180">
        <f t="shared" si="20"/>
        <v>146892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291294</v>
      </c>
      <c r="D684" s="180">
        <f>(D615/D612)*S76</f>
        <v>21997.340406969714</v>
      </c>
      <c r="E684" s="180">
        <f>(E623/E612)*SUM(C684:D684)</f>
        <v>17585.87153191906</v>
      </c>
      <c r="F684" s="180">
        <f>(F624/F612)*S64</f>
        <v>0</v>
      </c>
      <c r="G684" s="180">
        <f>(G625/G612)*S77</f>
        <v>0</v>
      </c>
      <c r="H684" s="180">
        <f>(H628/H612)*S60</f>
        <v>7445.6082934293227</v>
      </c>
      <c r="I684" s="180">
        <f>(I629/I612)*S78</f>
        <v>23207.694375568499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70237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3578702</v>
      </c>
      <c r="D686" s="180">
        <f>(D615/D612)*U76</f>
        <v>23018.799641040903</v>
      </c>
      <c r="E686" s="180">
        <f>(E623/E612)*SUM(C686:D686)</f>
        <v>202174.11433731107</v>
      </c>
      <c r="F686" s="180">
        <f>(F624/F612)*U64</f>
        <v>90853.181141226727</v>
      </c>
      <c r="G686" s="180">
        <f>(G625/G612)*U77</f>
        <v>0</v>
      </c>
      <c r="H686" s="180">
        <f>(H628/H612)*U60</f>
        <v>49566.478067686636</v>
      </c>
      <c r="I686" s="180">
        <f>(I629/I612)*U78</f>
        <v>24325.239851117542</v>
      </c>
      <c r="J686" s="180">
        <f>(J630/J612)*U79</f>
        <v>3954.4741374833807</v>
      </c>
      <c r="K686" s="180">
        <f>(K644/K612)*U75</f>
        <v>1253287.7417018956</v>
      </c>
      <c r="L686" s="180">
        <f>(L647/L612)*U80</f>
        <v>0</v>
      </c>
      <c r="M686" s="180">
        <f t="shared" si="20"/>
        <v>1647180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58836</v>
      </c>
      <c r="D687" s="180">
        <f>(D615/D612)*V76</f>
        <v>3452.8199461561353</v>
      </c>
      <c r="E687" s="180">
        <f>(E623/E612)*SUM(C687:D687)</f>
        <v>3496.4362054342</v>
      </c>
      <c r="F687" s="180">
        <f>(F624/F612)*V64</f>
        <v>0.92501558921202554</v>
      </c>
      <c r="G687" s="180">
        <f>(G625/G612)*V77</f>
        <v>0</v>
      </c>
      <c r="H687" s="180">
        <f>(H628/H612)*V60</f>
        <v>1063.6583276327603</v>
      </c>
      <c r="I687" s="180">
        <f>(I629/I612)*V78</f>
        <v>0</v>
      </c>
      <c r="J687" s="180">
        <f>(J630/J612)*V79</f>
        <v>0</v>
      </c>
      <c r="K687" s="180">
        <f>(K644/K612)*V75</f>
        <v>114842.97958573823</v>
      </c>
      <c r="L687" s="180">
        <f>(L647/L612)*V80</f>
        <v>0</v>
      </c>
      <c r="M687" s="180">
        <f t="shared" si="20"/>
        <v>122857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905526</v>
      </c>
      <c r="D688" s="180">
        <f>(D615/D612)*W76</f>
        <v>2042.9184681423801</v>
      </c>
      <c r="E688" s="180">
        <f>(E623/E612)*SUM(C688:D688)</f>
        <v>50944.24373750871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533642.60830563377</v>
      </c>
      <c r="L688" s="180">
        <f>(L647/L612)*W80</f>
        <v>0</v>
      </c>
      <c r="M688" s="180">
        <f t="shared" si="20"/>
        <v>586630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116199.52</v>
      </c>
      <c r="D689" s="180">
        <f>(D615/D612)*X76</f>
        <v>32686.695490278082</v>
      </c>
      <c r="E689" s="180">
        <f>(E623/E612)*SUM(C689:D689)</f>
        <v>8357.3770506533911</v>
      </c>
      <c r="F689" s="180">
        <f>(F624/F612)*X64</f>
        <v>0</v>
      </c>
      <c r="G689" s="180">
        <f>(G625/G612)*X77</f>
        <v>0</v>
      </c>
      <c r="H689" s="180">
        <f>(H628/H612)*X60</f>
        <v>14465.753255805541</v>
      </c>
      <c r="I689" s="180">
        <f>(I629/I612)*X78</f>
        <v>0</v>
      </c>
      <c r="J689" s="180">
        <f>(J630/J612)*X79</f>
        <v>0</v>
      </c>
      <c r="K689" s="180">
        <f>(K644/K612)*X75</f>
        <v>1615316.4664380071</v>
      </c>
      <c r="L689" s="180">
        <f>(L647/L612)*X80</f>
        <v>0</v>
      </c>
      <c r="M689" s="180">
        <f t="shared" si="20"/>
        <v>1670826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2617833.7000000002</v>
      </c>
      <c r="D690" s="180">
        <f>(D615/D612)*Y76</f>
        <v>33895.18247143273</v>
      </c>
      <c r="E690" s="180">
        <f>(E623/E612)*SUM(C690:D690)</f>
        <v>148848.5554820796</v>
      </c>
      <c r="F690" s="180">
        <f>(F624/F612)*Y64</f>
        <v>16435.491986001427</v>
      </c>
      <c r="G690" s="180">
        <f>(G625/G612)*Y77</f>
        <v>0</v>
      </c>
      <c r="H690" s="180">
        <f>(H628/H612)*Y60</f>
        <v>27655.11651845177</v>
      </c>
      <c r="I690" s="180">
        <f>(I629/I612)*Y78</f>
        <v>72379.695299726474</v>
      </c>
      <c r="J690" s="180">
        <f>(J630/J612)*Y79</f>
        <v>35773.425153081342</v>
      </c>
      <c r="K690" s="180">
        <f>(K644/K612)*Y75</f>
        <v>938761.92661664123</v>
      </c>
      <c r="L690" s="180">
        <f>(L647/L612)*Y80</f>
        <v>0</v>
      </c>
      <c r="M690" s="180">
        <f t="shared" si="20"/>
        <v>1273749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3949175</v>
      </c>
      <c r="D693" s="180">
        <f>(D615/D612)*AB76</f>
        <v>13595.478537989784</v>
      </c>
      <c r="E693" s="180">
        <f>(E623/E612)*SUM(C693:D693)</f>
        <v>222440.78772022185</v>
      </c>
      <c r="F693" s="180">
        <f>(F624/F612)*AB64</f>
        <v>167744.26948044606</v>
      </c>
      <c r="G693" s="180">
        <f>(G625/G612)*AB77</f>
        <v>0</v>
      </c>
      <c r="H693" s="180">
        <f>(H628/H612)*AB60</f>
        <v>26378.726525292459</v>
      </c>
      <c r="I693" s="180">
        <f>(I629/I612)*AB78</f>
        <v>11138.203239638813</v>
      </c>
      <c r="J693" s="180">
        <f>(J630/J612)*AB79</f>
        <v>0</v>
      </c>
      <c r="K693" s="180">
        <f>(K644/K612)*AB75</f>
        <v>1004243.6630773597</v>
      </c>
      <c r="L693" s="180">
        <f>(L647/L612)*AB80</f>
        <v>0</v>
      </c>
      <c r="M693" s="180">
        <f t="shared" si="20"/>
        <v>1445541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586347</v>
      </c>
      <c r="D694" s="180">
        <f>(D615/D612)*AC76</f>
        <v>11394.305822315247</v>
      </c>
      <c r="E694" s="180">
        <f>(E623/E612)*SUM(C694:D694)</f>
        <v>33552.800405711205</v>
      </c>
      <c r="F694" s="180">
        <f>(F624/F612)*AC64</f>
        <v>4148.3249113802494</v>
      </c>
      <c r="G694" s="180">
        <f>(G625/G612)*AC77</f>
        <v>0</v>
      </c>
      <c r="H694" s="180">
        <f>(H628/H612)*AC60</f>
        <v>8934.7299521151872</v>
      </c>
      <c r="I694" s="180">
        <f>(I629/I612)*AC78</f>
        <v>15645.636657686628</v>
      </c>
      <c r="J694" s="180">
        <f>(J630/J612)*AC79</f>
        <v>1355.5264711636983</v>
      </c>
      <c r="K694" s="180">
        <f>(K644/K612)*AC75</f>
        <v>65210.933816598983</v>
      </c>
      <c r="L694" s="180">
        <f>(L647/L612)*AC80</f>
        <v>0</v>
      </c>
      <c r="M694" s="180">
        <f t="shared" si="20"/>
        <v>140242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1542124</v>
      </c>
      <c r="D696" s="180">
        <f>(D615/D612)*AE76</f>
        <v>3884.4224394256526</v>
      </c>
      <c r="E696" s="180">
        <f>(E623/E612)*SUM(C696:D696)</f>
        <v>86781.54164416781</v>
      </c>
      <c r="F696" s="180">
        <f>(F624/F612)*AE64</f>
        <v>2480.0592962363617</v>
      </c>
      <c r="G696" s="180">
        <f>(G625/G612)*AE77</f>
        <v>0</v>
      </c>
      <c r="H696" s="180">
        <f>(H628/H612)*AE60</f>
        <v>4254.6333105310414</v>
      </c>
      <c r="I696" s="180">
        <f>(I629/I612)*AE78</f>
        <v>113468.11728407968</v>
      </c>
      <c r="J696" s="180">
        <f>(J630/J612)*AE79</f>
        <v>5085.0005828569483</v>
      </c>
      <c r="K696" s="180">
        <f>(K644/K612)*AE75</f>
        <v>312870.56245754001</v>
      </c>
      <c r="L696" s="180">
        <f>(L647/L612)*AE80</f>
        <v>0</v>
      </c>
      <c r="M696" s="180">
        <f t="shared" si="20"/>
        <v>528824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6104237</v>
      </c>
      <c r="D698" s="180">
        <f>(D615/D612)*AG76</f>
        <v>74206.855342805604</v>
      </c>
      <c r="E698" s="180">
        <f>(E623/E612)*SUM(C698:D698)</f>
        <v>346812.39438693435</v>
      </c>
      <c r="F698" s="180">
        <f>(F624/F612)*AG64</f>
        <v>21342.607185212302</v>
      </c>
      <c r="G698" s="180">
        <f>(G625/G612)*AG77</f>
        <v>51801.891930264974</v>
      </c>
      <c r="H698" s="180">
        <f>(H628/H612)*AG60</f>
        <v>67223.20630639045</v>
      </c>
      <c r="I698" s="180">
        <f>(I629/I612)*AG78</f>
        <v>78302.686320136403</v>
      </c>
      <c r="J698" s="180">
        <f>(J630/J612)*AG79</f>
        <v>37581.320097149408</v>
      </c>
      <c r="K698" s="180">
        <f>(K644/K612)*AG75</f>
        <v>1483179.7408495566</v>
      </c>
      <c r="L698" s="180">
        <f>(L647/L612)*AG80</f>
        <v>335059.70407140924</v>
      </c>
      <c r="M698" s="180">
        <f t="shared" si="20"/>
        <v>2495510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20669072</v>
      </c>
      <c r="D701" s="180">
        <f>(D615/D612)*AJ76</f>
        <v>60971.045549207091</v>
      </c>
      <c r="E701" s="180">
        <f>(E623/E612)*SUM(C701:D701)</f>
        <v>1163632.1430928076</v>
      </c>
      <c r="F701" s="180">
        <f>(F624/F612)*AJ64</f>
        <v>92529.679395114596</v>
      </c>
      <c r="G701" s="180">
        <f>(G625/G612)*AJ77</f>
        <v>0</v>
      </c>
      <c r="H701" s="180">
        <f>(H628/H612)*AJ60</f>
        <v>290591.45510927006</v>
      </c>
      <c r="I701" s="180">
        <f>(I629/I612)*AJ78</f>
        <v>289891.29635742225</v>
      </c>
      <c r="J701" s="180">
        <f>(J630/J612)*AJ79</f>
        <v>13332.633107170959</v>
      </c>
      <c r="K701" s="180">
        <f>(K644/K612)*AJ75</f>
        <v>2091752.4177696002</v>
      </c>
      <c r="L701" s="180">
        <f>(L647/L612)*AJ80</f>
        <v>163646.41072166941</v>
      </c>
      <c r="M701" s="180">
        <f t="shared" si="20"/>
        <v>4166347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237953</v>
      </c>
      <c r="D702" s="180">
        <f>(D615/D612)*AK76</f>
        <v>22054.887406072314</v>
      </c>
      <c r="E702" s="180">
        <f>(E623/E612)*SUM(C702:D702)</f>
        <v>14594.930390572459</v>
      </c>
      <c r="F702" s="180">
        <f>(F624/F612)*AK64</f>
        <v>1284.2916440619763</v>
      </c>
      <c r="G702" s="180">
        <f>(G625/G612)*AK77</f>
        <v>0</v>
      </c>
      <c r="H702" s="180">
        <f>(H628/H612)*AK60</f>
        <v>0</v>
      </c>
      <c r="I702" s="180">
        <f>(I629/I612)*AK78</f>
        <v>31477.530894631429</v>
      </c>
      <c r="J702" s="180">
        <f>(J630/J612)*AK79</f>
        <v>3051.3161392240499</v>
      </c>
      <c r="K702" s="180">
        <f>(K644/K612)*AK75</f>
        <v>53805.771441820274</v>
      </c>
      <c r="L702" s="180">
        <f>(L647/L612)*AK80</f>
        <v>0</v>
      </c>
      <c r="M702" s="180">
        <f t="shared" si="20"/>
        <v>126269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149076</v>
      </c>
      <c r="D703" s="180">
        <f>(D615/D612)*AL76</f>
        <v>11029.889450498018</v>
      </c>
      <c r="E703" s="180">
        <f>(E623/E612)*SUM(C703:D703)</f>
        <v>8987.1670239036557</v>
      </c>
      <c r="F703" s="180">
        <f>(F624/F612)*AL64</f>
        <v>354.92848158065419</v>
      </c>
      <c r="G703" s="180">
        <f>(G625/G612)*AL77</f>
        <v>0</v>
      </c>
      <c r="H703" s="180">
        <f>(H628/H612)*AL60</f>
        <v>0</v>
      </c>
      <c r="I703" s="180">
        <f>(I629/I612)*AL78</f>
        <v>20972.60342447041</v>
      </c>
      <c r="J703" s="180">
        <f>(J630/J612)*AL79</f>
        <v>0</v>
      </c>
      <c r="K703" s="180">
        <f>(K644/K612)*AL75</f>
        <v>35236.555976359166</v>
      </c>
      <c r="L703" s="180">
        <f>(L647/L612)*AL80</f>
        <v>0</v>
      </c>
      <c r="M703" s="180">
        <f t="shared" si="20"/>
        <v>76581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2788139</v>
      </c>
      <c r="D709" s="180">
        <f>(D615/D612)*AR76</f>
        <v>22673.517646425291</v>
      </c>
      <c r="E709" s="180">
        <f>(E623/E612)*SUM(C709:D709)</f>
        <v>157778.3406698347</v>
      </c>
      <c r="F709" s="180">
        <f>(F624/F612)*AR64</f>
        <v>11617.918295826277</v>
      </c>
      <c r="G709" s="180">
        <f>(G625/G612)*AR77</f>
        <v>0</v>
      </c>
      <c r="H709" s="180">
        <f>(H628/H612)*AR60</f>
        <v>47651.893077947658</v>
      </c>
      <c r="I709" s="180">
        <f>(I629/I612)*AR78</f>
        <v>34867.418837130201</v>
      </c>
      <c r="J709" s="180">
        <f>(J630/J612)*AR79</f>
        <v>0</v>
      </c>
      <c r="K709" s="180">
        <f>(K644/K612)*AR75</f>
        <v>274562.00708246784</v>
      </c>
      <c r="L709" s="180">
        <f>(L647/L612)*AR80</f>
        <v>176651.42349425243</v>
      </c>
      <c r="M709" s="180">
        <f t="shared" si="20"/>
        <v>725803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78912762.219999999</v>
      </c>
      <c r="D715" s="180">
        <f>SUM(D616:D647)+SUM(D668:D713)</f>
        <v>1290386.0000000002</v>
      </c>
      <c r="E715" s="180">
        <f>SUM(E624:E647)+SUM(E668:E713)</f>
        <v>4194153.1436927896</v>
      </c>
      <c r="F715" s="180">
        <f>SUM(F625:F648)+SUM(F668:F713)</f>
        <v>789140.32681734802</v>
      </c>
      <c r="G715" s="180">
        <f>SUM(G626:G647)+SUM(G668:G713)</f>
        <v>1358658.9479326492</v>
      </c>
      <c r="H715" s="180">
        <f>SUM(H629:H647)+SUM(H668:H713)</f>
        <v>911980.65011232859</v>
      </c>
      <c r="I715" s="180">
        <f>SUM(I630:I647)+SUM(I668:I713)</f>
        <v>1230566.574642905</v>
      </c>
      <c r="J715" s="180">
        <f>SUM(J631:J647)+SUM(J668:J713)</f>
        <v>214187.39297180896</v>
      </c>
      <c r="K715" s="180">
        <f>SUM(K668:K713)</f>
        <v>12908151.882825593</v>
      </c>
      <c r="L715" s="180">
        <f>SUM(L668:L713)</f>
        <v>1630142.2260077996</v>
      </c>
      <c r="M715" s="180">
        <f>SUM(M668:M713)</f>
        <v>22694439</v>
      </c>
      <c r="N715" s="198" t="s">
        <v>742</v>
      </c>
    </row>
    <row r="716" spans="1:15" ht="12.6" customHeight="1" x14ac:dyDescent="0.25">
      <c r="C716" s="180">
        <f>CE71</f>
        <v>78912762.219999999</v>
      </c>
      <c r="D716" s="180">
        <f>D615</f>
        <v>1290386</v>
      </c>
      <c r="E716" s="180">
        <f>E623</f>
        <v>4194153.1436927901</v>
      </c>
      <c r="F716" s="180">
        <f>F624</f>
        <v>789140.3268173479</v>
      </c>
      <c r="G716" s="180">
        <f>G625</f>
        <v>1358658.9479326492</v>
      </c>
      <c r="H716" s="180">
        <f>H628</f>
        <v>911980.65011232859</v>
      </c>
      <c r="I716" s="180">
        <f>I629</f>
        <v>1230566.5746429048</v>
      </c>
      <c r="J716" s="180">
        <f>J630</f>
        <v>214187.39297180896</v>
      </c>
      <c r="K716" s="180">
        <f>K644</f>
        <v>12908151.882825594</v>
      </c>
      <c r="L716" s="180">
        <f>L647</f>
        <v>1630142.2260077996</v>
      </c>
      <c r="M716" s="180">
        <f>C648</f>
        <v>22694440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9363173</v>
      </c>
      <c r="C48" s="245">
        <f>ROUND(((B48/CE61)*C61),0)</f>
        <v>236828</v>
      </c>
      <c r="D48" s="245">
        <f>ROUND(((B48/CE61)*D61),0)</f>
        <v>0</v>
      </c>
      <c r="E48" s="195">
        <f>ROUND(((B48/CE61)*E61),0)</f>
        <v>513071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52277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94840</v>
      </c>
      <c r="P48" s="195">
        <f>ROUND(((B48/CE61)*P61),0)</f>
        <v>516330</v>
      </c>
      <c r="Q48" s="195">
        <f>ROUND(((B48/CE61)*Q61),0)</f>
        <v>42162</v>
      </c>
      <c r="R48" s="195">
        <f>ROUND(((B48/CE61)*R61),0)</f>
        <v>0</v>
      </c>
      <c r="S48" s="195">
        <f>ROUND(((B48/CE61)*S61),0)</f>
        <v>40533</v>
      </c>
      <c r="T48" s="195">
        <f>ROUND(((B48/CE61)*T61),0)</f>
        <v>0</v>
      </c>
      <c r="U48" s="195">
        <f>ROUND(((B48/CE61)*U61),0)</f>
        <v>303973</v>
      </c>
      <c r="V48" s="195">
        <f>ROUND(((B48/CE61)*V61),0)</f>
        <v>26311</v>
      </c>
      <c r="W48" s="195">
        <f>ROUND(((B48/CE61)*W61),0)</f>
        <v>0</v>
      </c>
      <c r="X48" s="195">
        <f>ROUND(((B48/CE61)*X61),0)</f>
        <v>123544</v>
      </c>
      <c r="Y48" s="195">
        <f>ROUND(((B48/CE61)*Y61),0)</f>
        <v>186594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275859</v>
      </c>
      <c r="AC48" s="195">
        <f>ROUND(((B48/CE61)*AC61),0)</f>
        <v>57635</v>
      </c>
      <c r="AD48" s="195">
        <f>ROUND(((B48/CE61)*AD61),0)</f>
        <v>0</v>
      </c>
      <c r="AE48" s="195">
        <f>ROUND(((B48/CE61)*AE61),0)</f>
        <v>31111</v>
      </c>
      <c r="AF48" s="195">
        <f>ROUND(((B48/CE61)*AF61),0)</f>
        <v>0</v>
      </c>
      <c r="AG48" s="195">
        <f>ROUND(((B48/CE61)*AG61),0)</f>
        <v>993989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3179655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401763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142510</v>
      </c>
      <c r="AZ48" s="195">
        <f>ROUND(((B48/CE61)*AZ61),0)</f>
        <v>0</v>
      </c>
      <c r="BA48" s="195">
        <f>ROUND(((B48/CE61)*BA61),0)</f>
        <v>23879</v>
      </c>
      <c r="BB48" s="195">
        <f>ROUND(((B48/CE61)*BB61),0)</f>
        <v>31239</v>
      </c>
      <c r="BC48" s="195">
        <f>ROUND(((B48/CE61)*BC61),0)</f>
        <v>0</v>
      </c>
      <c r="BD48" s="195">
        <f>ROUND(((B48/CE61)*BD61),0)</f>
        <v>61536</v>
      </c>
      <c r="BE48" s="195">
        <f>ROUND(((B48/CE61)*BE61),0)</f>
        <v>104181</v>
      </c>
      <c r="BF48" s="195">
        <f>ROUND(((B48/CE61)*BF61),0)</f>
        <v>135426</v>
      </c>
      <c r="BG48" s="195">
        <f>ROUND(((B48/CE61)*BG61),0)</f>
        <v>0</v>
      </c>
      <c r="BH48" s="195">
        <f>ROUND(((B48/CE61)*BH61),0)</f>
        <v>250438</v>
      </c>
      <c r="BI48" s="195">
        <f>ROUND(((B48/CE61)*BI61),0)</f>
        <v>0</v>
      </c>
      <c r="BJ48" s="195">
        <f>ROUND(((B48/CE61)*BJ61),0)</f>
        <v>107255</v>
      </c>
      <c r="BK48" s="195">
        <f>ROUND(((B48/CE61)*BK61),0)</f>
        <v>297812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286270</v>
      </c>
      <c r="BO48" s="195">
        <f>ROUND(((B48/CE61)*BO61),0)</f>
        <v>13878</v>
      </c>
      <c r="BP48" s="195">
        <f>ROUND(((B48/CE61)*BP61),0)</f>
        <v>47901</v>
      </c>
      <c r="BQ48" s="195">
        <f>ROUND(((B48/CE61)*BQ61),0)</f>
        <v>0</v>
      </c>
      <c r="BR48" s="195">
        <f>ROUND(((B48/CE61)*BR61),0)</f>
        <v>91726</v>
      </c>
      <c r="BS48" s="195">
        <f>ROUND(((B48/CE61)*BS61),0)</f>
        <v>15904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156613</v>
      </c>
      <c r="BW48" s="195">
        <f>ROUND(((B48/CE61)*BW61),0)</f>
        <v>109495</v>
      </c>
      <c r="BX48" s="195">
        <f>ROUND(((B48/CE61)*BX61),0)</f>
        <v>141764</v>
      </c>
      <c r="BY48" s="195">
        <f>ROUND(((B48/CE61)*BY61),0)</f>
        <v>268871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9363173</v>
      </c>
    </row>
    <row r="49" spans="1:84" ht="12.6" customHeight="1" x14ac:dyDescent="0.25">
      <c r="A49" s="175" t="s">
        <v>206</v>
      </c>
      <c r="B49" s="195">
        <f>B47+B48</f>
        <v>9363173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3317747</v>
      </c>
      <c r="C52" s="195">
        <f>ROUND((B52/(CE76+CF76)*C76),0)</f>
        <v>90087</v>
      </c>
      <c r="D52" s="195">
        <f>ROUND((B52/(CE76+CF76)*D76),0)</f>
        <v>0</v>
      </c>
      <c r="E52" s="195">
        <f>ROUND((B52/(CE76+CF76)*E76),0)</f>
        <v>389487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7836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61323</v>
      </c>
      <c r="P52" s="195">
        <f>ROUND((B52/(CE76+CF76)*P76),0)</f>
        <v>382335</v>
      </c>
      <c r="Q52" s="195">
        <f>ROUND((B52/(CE76+CF76)*Q76),0)</f>
        <v>31470</v>
      </c>
      <c r="R52" s="195">
        <f>ROUND((B52/(CE76+CF76)*R76),0)</f>
        <v>0</v>
      </c>
      <c r="S52" s="195">
        <f>ROUND((B52/(CE76+CF76)*S76),0)</f>
        <v>47547</v>
      </c>
      <c r="T52" s="195">
        <f>ROUND((B52/(CE76+CF76)*T76),0)</f>
        <v>0</v>
      </c>
      <c r="U52" s="195">
        <f>ROUND((B52/(CE76+CF76)*U76),0)</f>
        <v>49755</v>
      </c>
      <c r="V52" s="195">
        <f>ROUND((B52/(CE76+CF76)*V76),0)</f>
        <v>7463</v>
      </c>
      <c r="W52" s="195">
        <f>ROUND((B52/(CE76+CF76)*W76),0)</f>
        <v>4416</v>
      </c>
      <c r="X52" s="195">
        <f>ROUND((B52/(CE76+CF76)*X76),0)</f>
        <v>70652</v>
      </c>
      <c r="Y52" s="195">
        <f>ROUND((B52/(CE76+CF76)*Y76),0)</f>
        <v>73264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29386</v>
      </c>
      <c r="AC52" s="195">
        <f>ROUND((B52/(CE76+CF76)*AC76),0)</f>
        <v>24629</v>
      </c>
      <c r="AD52" s="195">
        <f>ROUND((B52/(CE76+CF76)*AD76),0)</f>
        <v>0</v>
      </c>
      <c r="AE52" s="195">
        <f>ROUND((B52/(CE76+CF76)*AE76),0)</f>
        <v>234283</v>
      </c>
      <c r="AF52" s="195">
        <f>ROUND((B52/(CE76+CF76)*AF76),0)</f>
        <v>0</v>
      </c>
      <c r="AG52" s="195">
        <f>ROUND((B52/(CE76+CF76)*AG76),0)</f>
        <v>160397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880319</v>
      </c>
      <c r="AK52" s="195">
        <f>ROUND((B52/(CE76+CF76)*AK76),0)</f>
        <v>47671</v>
      </c>
      <c r="AL52" s="195">
        <f>ROUND((B52/(CE76+CF76)*AL76),0)</f>
        <v>23851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71460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125165</v>
      </c>
      <c r="AZ52" s="195">
        <f>ROUND((B52/(CE76+CF76)*AZ76),0)</f>
        <v>0</v>
      </c>
      <c r="BA52" s="195">
        <f>ROUND((B52/(CE76+CF76)*BA76),0)</f>
        <v>26557</v>
      </c>
      <c r="BB52" s="195">
        <f>ROUND((B52/(CE76+CF76)*BB76),0)</f>
        <v>6717</v>
      </c>
      <c r="BC52" s="195">
        <f>ROUND((B52/(CE76+CF76)*BC76),0)</f>
        <v>0</v>
      </c>
      <c r="BD52" s="195">
        <f>ROUND((B52/(CE76+CF76)*BD76),0)</f>
        <v>49941</v>
      </c>
      <c r="BE52" s="195">
        <f>ROUND((B52/(CE76+CF76)*BE76),0)</f>
        <v>189255</v>
      </c>
      <c r="BF52" s="195">
        <f>ROUND((B52/(CE76+CF76)*BF76),0)</f>
        <v>6095</v>
      </c>
      <c r="BG52" s="195">
        <f>ROUND((B52/(CE76+CF76)*BG76),0)</f>
        <v>0</v>
      </c>
      <c r="BH52" s="195">
        <f>ROUND((B52/(CE76+CF76)*BH76),0)</f>
        <v>29355</v>
      </c>
      <c r="BI52" s="195">
        <f>ROUND((B52/(CE76+CF76)*BI76),0)</f>
        <v>0</v>
      </c>
      <c r="BJ52" s="195">
        <f>ROUND((B52/(CE76+CF76)*BJ76),0)</f>
        <v>15020</v>
      </c>
      <c r="BK52" s="195">
        <f>ROUND((B52/(CE76+CF76)*BK76),0)</f>
        <v>52989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95187</v>
      </c>
      <c r="BO52" s="195">
        <f>ROUND((B52/(CE76+CF76)*BO76),0)</f>
        <v>3265</v>
      </c>
      <c r="BP52" s="195">
        <f>ROUND((B52/(CE76+CF76)*BP76),0)</f>
        <v>3172</v>
      </c>
      <c r="BQ52" s="195">
        <f>ROUND((B52/(CE76+CF76)*BQ76),0)</f>
        <v>0</v>
      </c>
      <c r="BR52" s="195">
        <f>ROUND((B52/(CE76+CF76)*BR76),0)</f>
        <v>17352</v>
      </c>
      <c r="BS52" s="195">
        <f>ROUND((B52/(CE76+CF76)*BS76),0)</f>
        <v>10044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3317745</v>
      </c>
    </row>
    <row r="53" spans="1:84" ht="12.6" customHeight="1" x14ac:dyDescent="0.25">
      <c r="A53" s="175" t="s">
        <v>206</v>
      </c>
      <c r="B53" s="195">
        <f>B51+B52</f>
        <v>3317747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244</v>
      </c>
      <c r="D59" s="184"/>
      <c r="E59" s="184">
        <v>2049</v>
      </c>
      <c r="F59" s="184"/>
      <c r="G59" s="184"/>
      <c r="H59" s="184"/>
      <c r="I59" s="184"/>
      <c r="J59" s="184">
        <v>529</v>
      </c>
      <c r="K59" s="184"/>
      <c r="L59" s="184"/>
      <c r="M59" s="184"/>
      <c r="N59" s="184"/>
      <c r="O59" s="184">
        <v>320</v>
      </c>
      <c r="P59" s="185">
        <f>37007+79241</f>
        <v>116248</v>
      </c>
      <c r="Q59" s="185"/>
      <c r="R59" s="185"/>
      <c r="S59" s="248"/>
      <c r="T59" s="248"/>
      <c r="U59" s="224">
        <f>12791+194249</f>
        <v>207040</v>
      </c>
      <c r="V59" s="185"/>
      <c r="W59" s="185">
        <f>34+1584</f>
        <v>1618</v>
      </c>
      <c r="X59" s="185">
        <f>346+4673</f>
        <v>5019</v>
      </c>
      <c r="Y59" s="185">
        <f>2333+168+4070+73+620+854+14719</f>
        <v>22837</v>
      </c>
      <c r="Z59" s="185"/>
      <c r="AA59" s="185"/>
      <c r="AB59" s="248"/>
      <c r="AC59" s="185">
        <f>51300+22420</f>
        <v>73720</v>
      </c>
      <c r="AD59" s="185"/>
      <c r="AE59" s="185">
        <f>261+4423+1305</f>
        <v>5989</v>
      </c>
      <c r="AF59" s="185"/>
      <c r="AG59" s="185">
        <v>13751</v>
      </c>
      <c r="AH59" s="185"/>
      <c r="AI59" s="185"/>
      <c r="AJ59" s="185">
        <v>58500</v>
      </c>
      <c r="AK59" s="185">
        <f>374+1580</f>
        <v>1954</v>
      </c>
      <c r="AL59" s="185">
        <f>129+1138</f>
        <v>1267</v>
      </c>
      <c r="AM59" s="185"/>
      <c r="AN59" s="185"/>
      <c r="AO59" s="185"/>
      <c r="AP59" s="185"/>
      <c r="AQ59" s="185"/>
      <c r="AR59" s="185">
        <f>8156+10801</f>
        <v>18957</v>
      </c>
      <c r="AS59" s="185"/>
      <c r="AT59" s="185"/>
      <c r="AU59" s="185"/>
      <c r="AV59" s="248"/>
      <c r="AW59" s="248"/>
      <c r="AX59" s="248"/>
      <c r="AY59" s="185">
        <v>10307</v>
      </c>
      <c r="AZ59" s="185"/>
      <c r="BA59" s="248"/>
      <c r="BB59" s="248"/>
      <c r="BC59" s="248"/>
      <c r="BD59" s="248"/>
      <c r="BE59" s="185">
        <v>106691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12.3</v>
      </c>
      <c r="D60" s="187"/>
      <c r="E60" s="187">
        <v>22.4</v>
      </c>
      <c r="F60" s="223"/>
      <c r="G60" s="187"/>
      <c r="H60" s="187"/>
      <c r="I60" s="187"/>
      <c r="J60" s="223">
        <v>5</v>
      </c>
      <c r="K60" s="187"/>
      <c r="L60" s="187"/>
      <c r="M60" s="187"/>
      <c r="N60" s="187"/>
      <c r="O60" s="187">
        <f>15.6+0.1-5</f>
        <v>10.7</v>
      </c>
      <c r="P60" s="187">
        <f>9.6+2.4+1.7+0.6+11</f>
        <v>25.299999999999997</v>
      </c>
      <c r="Q60" s="221">
        <v>1</v>
      </c>
      <c r="R60" s="221"/>
      <c r="S60" s="221">
        <v>3.9</v>
      </c>
      <c r="T60" s="221"/>
      <c r="U60" s="221">
        <v>20.399999999999999</v>
      </c>
      <c r="V60" s="221">
        <v>1.5</v>
      </c>
      <c r="W60" s="221"/>
      <c r="X60" s="221">
        <v>7.3</v>
      </c>
      <c r="Y60" s="221">
        <f>4+1.2+2.4+2.9</f>
        <v>10.5</v>
      </c>
      <c r="Z60" s="221"/>
      <c r="AA60" s="221"/>
      <c r="AB60" s="221">
        <f>10+2</f>
        <v>12</v>
      </c>
      <c r="AC60" s="221">
        <v>3.2</v>
      </c>
      <c r="AD60" s="221"/>
      <c r="AE60" s="221">
        <v>1.8</v>
      </c>
      <c r="AF60" s="221"/>
      <c r="AG60" s="221">
        <f>23+0.3+0.2+6.9</f>
        <v>30.4</v>
      </c>
      <c r="AH60" s="221"/>
      <c r="AI60" s="221"/>
      <c r="AJ60" s="221">
        <f>3.7+4.3+8.9+11.4+27.7+2.8+4.5+26.2+37.7+2.8+7.1</f>
        <v>137.1</v>
      </c>
      <c r="AK60" s="221"/>
      <c r="AL60" s="221"/>
      <c r="AM60" s="221"/>
      <c r="AN60" s="221"/>
      <c r="AO60" s="221"/>
      <c r="AP60" s="221"/>
      <c r="AQ60" s="221"/>
      <c r="AR60" s="185">
        <f>15.7+6.9</f>
        <v>22.6</v>
      </c>
      <c r="AS60" s="221"/>
      <c r="AT60" s="221"/>
      <c r="AU60" s="221"/>
      <c r="AV60" s="221"/>
      <c r="AW60" s="221"/>
      <c r="AX60" s="221"/>
      <c r="AY60" s="221">
        <f>13.6+1</f>
        <v>14.6</v>
      </c>
      <c r="AZ60" s="221"/>
      <c r="BA60" s="221">
        <v>2.9</v>
      </c>
      <c r="BB60" s="221">
        <v>1.7</v>
      </c>
      <c r="BC60" s="221"/>
      <c r="BD60" s="221">
        <v>5.6</v>
      </c>
      <c r="BE60" s="221">
        <v>7.1</v>
      </c>
      <c r="BF60" s="221">
        <v>17.899999999999999</v>
      </c>
      <c r="BG60" s="221"/>
      <c r="BH60" s="221">
        <f>11.9+4</f>
        <v>15.9</v>
      </c>
      <c r="BI60" s="221"/>
      <c r="BJ60" s="221">
        <v>5.9</v>
      </c>
      <c r="BK60" s="221">
        <f>17.4+5.3+4.1</f>
        <v>26.799999999999997</v>
      </c>
      <c r="BL60" s="221"/>
      <c r="BM60" s="221"/>
      <c r="BN60" s="221">
        <f>5.6+0.1+0.2</f>
        <v>5.8999999999999995</v>
      </c>
      <c r="BO60" s="221">
        <v>0.6</v>
      </c>
      <c r="BP60" s="221">
        <v>3</v>
      </c>
      <c r="BQ60" s="221"/>
      <c r="BR60" s="221">
        <v>5</v>
      </c>
      <c r="BS60" s="221">
        <v>1</v>
      </c>
      <c r="BT60" s="221"/>
      <c r="BU60" s="221"/>
      <c r="BV60" s="221">
        <v>11</v>
      </c>
      <c r="BW60" s="221">
        <v>3.6</v>
      </c>
      <c r="BX60" s="221">
        <v>7.1</v>
      </c>
      <c r="BY60" s="221">
        <f>1.5+2+4.9+2-0.1</f>
        <v>10.3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473.30000000000007</v>
      </c>
    </row>
    <row r="61" spans="1:84" ht="12.6" customHeight="1" x14ac:dyDescent="0.25">
      <c r="A61" s="171" t="s">
        <v>235</v>
      </c>
      <c r="B61" s="175"/>
      <c r="C61" s="184">
        <v>1017643</v>
      </c>
      <c r="D61" s="184"/>
      <c r="E61" s="184">
        <f>1464710+739941</f>
        <v>2204651</v>
      </c>
      <c r="F61" s="185"/>
      <c r="G61" s="184"/>
      <c r="H61" s="184"/>
      <c r="I61" s="185"/>
      <c r="J61" s="185">
        <v>224633</v>
      </c>
      <c r="K61" s="185"/>
      <c r="L61" s="185"/>
      <c r="M61" s="184"/>
      <c r="N61" s="184"/>
      <c r="O61" s="184">
        <f>1364909+7191-224633-739941</f>
        <v>407526</v>
      </c>
      <c r="P61" s="185">
        <f>821032+184563+115027+1060230+37805</f>
        <v>2218657</v>
      </c>
      <c r="Q61" s="185">
        <v>181168</v>
      </c>
      <c r="R61" s="185"/>
      <c r="S61" s="185">
        <f>174717-549</f>
        <v>174168</v>
      </c>
      <c r="T61" s="185"/>
      <c r="U61" s="185">
        <v>1306165</v>
      </c>
      <c r="V61" s="185">
        <v>113057</v>
      </c>
      <c r="W61" s="185"/>
      <c r="X61" s="185">
        <v>530864</v>
      </c>
      <c r="Y61" s="185">
        <f>1332654-530864</f>
        <v>801790</v>
      </c>
      <c r="Z61" s="185"/>
      <c r="AA61" s="185"/>
      <c r="AB61" s="185">
        <f>1033210+152149</f>
        <v>1185359</v>
      </c>
      <c r="AC61" s="185">
        <v>247655</v>
      </c>
      <c r="AD61" s="185"/>
      <c r="AE61" s="185">
        <v>133683</v>
      </c>
      <c r="AF61" s="185"/>
      <c r="AG61" s="185">
        <f>1975995+27519+9315+2258314</f>
        <v>4271143</v>
      </c>
      <c r="AH61" s="185"/>
      <c r="AI61" s="185"/>
      <c r="AJ61" s="185">
        <f>3009951+2032296+366716+2477670+1897875+929145+728709+378155+778789+1063581</f>
        <v>13662887</v>
      </c>
      <c r="AK61" s="185"/>
      <c r="AL61" s="185"/>
      <c r="AM61" s="185"/>
      <c r="AN61" s="185"/>
      <c r="AO61" s="185"/>
      <c r="AP61" s="185"/>
      <c r="AQ61" s="185"/>
      <c r="AR61" s="185">
        <f>1302843+423522</f>
        <v>1726365</v>
      </c>
      <c r="AS61" s="185"/>
      <c r="AT61" s="185"/>
      <c r="AU61" s="185"/>
      <c r="AV61" s="185"/>
      <c r="AW61" s="185"/>
      <c r="AX61" s="185"/>
      <c r="AY61" s="185">
        <f>547040+65322</f>
        <v>612362</v>
      </c>
      <c r="AZ61" s="185"/>
      <c r="BA61" s="185">
        <v>102606</v>
      </c>
      <c r="BB61" s="185">
        <v>134233</v>
      </c>
      <c r="BC61" s="185"/>
      <c r="BD61" s="185">
        <v>264418</v>
      </c>
      <c r="BE61" s="185">
        <v>447661</v>
      </c>
      <c r="BF61" s="185">
        <v>581922</v>
      </c>
      <c r="BG61" s="185"/>
      <c r="BH61" s="185">
        <f>1016235+59891</f>
        <v>1076126</v>
      </c>
      <c r="BI61" s="185"/>
      <c r="BJ61" s="185">
        <v>460870</v>
      </c>
      <c r="BK61" s="185">
        <f>805265+292785+181638</f>
        <v>1279688</v>
      </c>
      <c r="BL61" s="185"/>
      <c r="BM61" s="185"/>
      <c r="BN61" s="185">
        <f>939773+251168+27158+11996</f>
        <v>1230095</v>
      </c>
      <c r="BO61" s="185">
        <v>59633</v>
      </c>
      <c r="BP61" s="185">
        <v>205829</v>
      </c>
      <c r="BQ61" s="185"/>
      <c r="BR61" s="185">
        <v>394146</v>
      </c>
      <c r="BS61" s="185">
        <v>68337</v>
      </c>
      <c r="BT61" s="185"/>
      <c r="BU61" s="185"/>
      <c r="BV61" s="185">
        <v>672963</v>
      </c>
      <c r="BW61" s="185">
        <v>470498</v>
      </c>
      <c r="BX61" s="185">
        <v>609158</v>
      </c>
      <c r="BY61" s="185">
        <f>164806+225605+595629+154713+14583-6</f>
        <v>1155330</v>
      </c>
      <c r="BZ61" s="185"/>
      <c r="CA61" s="185"/>
      <c r="CB61" s="185"/>
      <c r="CC61" s="185"/>
      <c r="CD61" s="249" t="s">
        <v>221</v>
      </c>
      <c r="CE61" s="195">
        <f t="shared" si="0"/>
        <v>40233289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236828</v>
      </c>
      <c r="D62" s="195">
        <f t="shared" si="1"/>
        <v>0</v>
      </c>
      <c r="E62" s="195">
        <f t="shared" si="1"/>
        <v>513071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52277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94840</v>
      </c>
      <c r="P62" s="195">
        <f t="shared" si="1"/>
        <v>516330</v>
      </c>
      <c r="Q62" s="195">
        <f t="shared" si="1"/>
        <v>42162</v>
      </c>
      <c r="R62" s="195">
        <f t="shared" si="1"/>
        <v>0</v>
      </c>
      <c r="S62" s="195">
        <f t="shared" si="1"/>
        <v>40533</v>
      </c>
      <c r="T62" s="195">
        <f t="shared" si="1"/>
        <v>0</v>
      </c>
      <c r="U62" s="195">
        <f t="shared" si="1"/>
        <v>303973</v>
      </c>
      <c r="V62" s="195">
        <f t="shared" si="1"/>
        <v>26311</v>
      </c>
      <c r="W62" s="195">
        <f t="shared" si="1"/>
        <v>0</v>
      </c>
      <c r="X62" s="195">
        <f t="shared" si="1"/>
        <v>123544</v>
      </c>
      <c r="Y62" s="195">
        <f t="shared" si="1"/>
        <v>186594</v>
      </c>
      <c r="Z62" s="195">
        <f t="shared" si="1"/>
        <v>0</v>
      </c>
      <c r="AA62" s="195">
        <f t="shared" si="1"/>
        <v>0</v>
      </c>
      <c r="AB62" s="195">
        <f t="shared" si="1"/>
        <v>275859</v>
      </c>
      <c r="AC62" s="195">
        <f t="shared" si="1"/>
        <v>57635</v>
      </c>
      <c r="AD62" s="195">
        <f t="shared" si="1"/>
        <v>0</v>
      </c>
      <c r="AE62" s="195">
        <f t="shared" si="1"/>
        <v>31111</v>
      </c>
      <c r="AF62" s="195">
        <f t="shared" si="1"/>
        <v>0</v>
      </c>
      <c r="AG62" s="195">
        <f t="shared" si="1"/>
        <v>993989</v>
      </c>
      <c r="AH62" s="195">
        <f t="shared" si="1"/>
        <v>0</v>
      </c>
      <c r="AI62" s="195">
        <f t="shared" si="1"/>
        <v>0</v>
      </c>
      <c r="AJ62" s="195">
        <f t="shared" si="1"/>
        <v>3179655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401763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142510</v>
      </c>
      <c r="AZ62" s="195">
        <f>ROUND(AZ47+AZ48,0)</f>
        <v>0</v>
      </c>
      <c r="BA62" s="195">
        <f>ROUND(BA47+BA48,0)</f>
        <v>23879</v>
      </c>
      <c r="BB62" s="195">
        <f t="shared" si="1"/>
        <v>31239</v>
      </c>
      <c r="BC62" s="195">
        <f t="shared" si="1"/>
        <v>0</v>
      </c>
      <c r="BD62" s="195">
        <f t="shared" si="1"/>
        <v>61536</v>
      </c>
      <c r="BE62" s="195">
        <f t="shared" si="1"/>
        <v>104181</v>
      </c>
      <c r="BF62" s="195">
        <f t="shared" si="1"/>
        <v>135426</v>
      </c>
      <c r="BG62" s="195">
        <f t="shared" si="1"/>
        <v>0</v>
      </c>
      <c r="BH62" s="195">
        <f t="shared" si="1"/>
        <v>250438</v>
      </c>
      <c r="BI62" s="195">
        <f t="shared" si="1"/>
        <v>0</v>
      </c>
      <c r="BJ62" s="195">
        <f t="shared" si="1"/>
        <v>107255</v>
      </c>
      <c r="BK62" s="195">
        <f t="shared" si="1"/>
        <v>297812</v>
      </c>
      <c r="BL62" s="195">
        <f t="shared" si="1"/>
        <v>0</v>
      </c>
      <c r="BM62" s="195">
        <f t="shared" si="1"/>
        <v>0</v>
      </c>
      <c r="BN62" s="195">
        <f t="shared" si="1"/>
        <v>286270</v>
      </c>
      <c r="BO62" s="195">
        <f t="shared" ref="BO62:CC62" si="2">ROUND(BO47+BO48,0)</f>
        <v>13878</v>
      </c>
      <c r="BP62" s="195">
        <f t="shared" si="2"/>
        <v>47901</v>
      </c>
      <c r="BQ62" s="195">
        <f t="shared" si="2"/>
        <v>0</v>
      </c>
      <c r="BR62" s="195">
        <f t="shared" si="2"/>
        <v>91726</v>
      </c>
      <c r="BS62" s="195">
        <f t="shared" si="2"/>
        <v>15904</v>
      </c>
      <c r="BT62" s="195">
        <f t="shared" si="2"/>
        <v>0</v>
      </c>
      <c r="BU62" s="195">
        <f t="shared" si="2"/>
        <v>0</v>
      </c>
      <c r="BV62" s="195">
        <f t="shared" si="2"/>
        <v>156613</v>
      </c>
      <c r="BW62" s="195">
        <f t="shared" si="2"/>
        <v>109495</v>
      </c>
      <c r="BX62" s="195">
        <f t="shared" si="2"/>
        <v>141764</v>
      </c>
      <c r="BY62" s="195">
        <f t="shared" si="2"/>
        <v>268871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9363173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287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4266</v>
      </c>
      <c r="P63" s="185">
        <f>376+20000</f>
        <v>20376</v>
      </c>
      <c r="Q63" s="185"/>
      <c r="R63" s="185"/>
      <c r="S63" s="185"/>
      <c r="T63" s="185"/>
      <c r="U63" s="185">
        <v>3825</v>
      </c>
      <c r="V63" s="185"/>
      <c r="W63" s="185"/>
      <c r="X63" s="185"/>
      <c r="Y63" s="185"/>
      <c r="Z63" s="185"/>
      <c r="AA63" s="185"/>
      <c r="AB63" s="185"/>
      <c r="AC63" s="185">
        <v>2650</v>
      </c>
      <c r="AD63" s="185"/>
      <c r="AE63" s="185">
        <v>7933</v>
      </c>
      <c r="AF63" s="185"/>
      <c r="AG63" s="185">
        <v>409</v>
      </c>
      <c r="AH63" s="185"/>
      <c r="AI63" s="185"/>
      <c r="AJ63" s="185">
        <f>354577+17614</f>
        <v>372191</v>
      </c>
      <c r="AK63" s="185"/>
      <c r="AL63" s="185"/>
      <c r="AM63" s="185"/>
      <c r="AN63" s="185"/>
      <c r="AO63" s="185"/>
      <c r="AP63" s="185"/>
      <c r="AQ63" s="185"/>
      <c r="AR63" s="185">
        <v>288</v>
      </c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>
        <f>2625+15821</f>
        <v>18446</v>
      </c>
      <c r="BF63" s="185"/>
      <c r="BG63" s="185"/>
      <c r="BH63" s="185">
        <v>12170</v>
      </c>
      <c r="BI63" s="185"/>
      <c r="BJ63" s="185">
        <v>94685</v>
      </c>
      <c r="BK63" s="185">
        <f>254+12575</f>
        <v>12829</v>
      </c>
      <c r="BL63" s="185"/>
      <c r="BM63" s="185"/>
      <c r="BN63" s="185">
        <v>77329</v>
      </c>
      <c r="BO63" s="185"/>
      <c r="BP63" s="185">
        <v>3409</v>
      </c>
      <c r="BQ63" s="185"/>
      <c r="BR63" s="185">
        <f>50726-2</f>
        <v>50724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681817</v>
      </c>
      <c r="CF63" s="252"/>
    </row>
    <row r="64" spans="1:84" ht="12.6" customHeight="1" x14ac:dyDescent="0.25">
      <c r="A64" s="171" t="s">
        <v>237</v>
      </c>
      <c r="B64" s="175"/>
      <c r="C64" s="184">
        <v>39222</v>
      </c>
      <c r="D64" s="184"/>
      <c r="E64" s="185">
        <v>112480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f>133679+328</f>
        <v>134007</v>
      </c>
      <c r="P64" s="185">
        <f>2339909+7340+4021+260538+49618</f>
        <v>2661426</v>
      </c>
      <c r="Q64" s="185">
        <f>18297+35534</f>
        <v>53831</v>
      </c>
      <c r="R64" s="185"/>
      <c r="S64" s="185">
        <v>368747</v>
      </c>
      <c r="T64" s="185"/>
      <c r="U64" s="185">
        <v>870353</v>
      </c>
      <c r="V64" s="185"/>
      <c r="W64" s="185"/>
      <c r="X64" s="185"/>
      <c r="Y64" s="185">
        <v>75980</v>
      </c>
      <c r="Z64" s="185"/>
      <c r="AA64" s="185"/>
      <c r="AB64" s="185">
        <f>1653947+361995+105235</f>
        <v>2121177</v>
      </c>
      <c r="AC64" s="185">
        <v>61509</v>
      </c>
      <c r="AD64" s="185"/>
      <c r="AE64" s="185">
        <f>15490+3330</f>
        <v>18820</v>
      </c>
      <c r="AF64" s="185"/>
      <c r="AG64" s="185">
        <f>207672+1054+701</f>
        <v>209427</v>
      </c>
      <c r="AH64" s="185"/>
      <c r="AI64" s="185"/>
      <c r="AJ64" s="185">
        <f>68+46105+925156</f>
        <v>971329</v>
      </c>
      <c r="AK64" s="185">
        <v>8325</v>
      </c>
      <c r="AL64" s="185">
        <v>1765</v>
      </c>
      <c r="AM64" s="185"/>
      <c r="AN64" s="185"/>
      <c r="AO64" s="185"/>
      <c r="AP64" s="185"/>
      <c r="AQ64" s="185"/>
      <c r="AR64" s="185">
        <f>274559</f>
        <v>274559</v>
      </c>
      <c r="AS64" s="185"/>
      <c r="AT64" s="185"/>
      <c r="AU64" s="185"/>
      <c r="AV64" s="185"/>
      <c r="AW64" s="185"/>
      <c r="AX64" s="185"/>
      <c r="AY64" s="185">
        <f>1446+314176</f>
        <v>315622</v>
      </c>
      <c r="AZ64" s="185"/>
      <c r="BA64" s="185">
        <v>26281</v>
      </c>
      <c r="BB64" s="185">
        <v>134</v>
      </c>
      <c r="BC64" s="185"/>
      <c r="BD64" s="185">
        <v>-79533</v>
      </c>
      <c r="BE64" s="185">
        <f>36842+2412+107+4142</f>
        <v>43503</v>
      </c>
      <c r="BF64" s="185">
        <v>180656</v>
      </c>
      <c r="BG64" s="185"/>
      <c r="BH64" s="185">
        <f>219349+43840</f>
        <v>263189</v>
      </c>
      <c r="BI64" s="185"/>
      <c r="BJ64" s="185">
        <v>5466</v>
      </c>
      <c r="BK64" s="185">
        <f>49583+2683+167</f>
        <v>52433</v>
      </c>
      <c r="BL64" s="185"/>
      <c r="BM64" s="185"/>
      <c r="BN64" s="185">
        <f>24977+1773+259+49762</f>
        <v>76771</v>
      </c>
      <c r="BO64" s="185">
        <v>1856</v>
      </c>
      <c r="BP64" s="185">
        <v>14331</v>
      </c>
      <c r="BQ64" s="185"/>
      <c r="BR64" s="185">
        <f>12092+6352</f>
        <v>18444</v>
      </c>
      <c r="BS64" s="185">
        <v>5380</v>
      </c>
      <c r="BT64" s="185"/>
      <c r="BU64" s="185"/>
      <c r="BV64" s="185">
        <v>6143</v>
      </c>
      <c r="BW64" s="185">
        <v>3968</v>
      </c>
      <c r="BX64" s="185">
        <v>6883</v>
      </c>
      <c r="BY64" s="185">
        <f>108+989+54+9255+292-2</f>
        <v>10696</v>
      </c>
      <c r="BZ64" s="185"/>
      <c r="CA64" s="185"/>
      <c r="CB64" s="185"/>
      <c r="CC64" s="185"/>
      <c r="CD64" s="249" t="s">
        <v>221</v>
      </c>
      <c r="CE64" s="195">
        <f t="shared" si="0"/>
        <v>8935180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306</v>
      </c>
      <c r="Z65" s="185"/>
      <c r="AA65" s="185"/>
      <c r="AB65" s="185"/>
      <c r="AC65" s="185"/>
      <c r="AD65" s="185"/>
      <c r="AE65" s="185">
        <v>650</v>
      </c>
      <c r="AF65" s="185"/>
      <c r="AG65" s="185"/>
      <c r="AH65" s="185"/>
      <c r="AI65" s="185"/>
      <c r="AJ65" s="185">
        <f>171059+14347</f>
        <v>185406</v>
      </c>
      <c r="AK65" s="185">
        <v>3071</v>
      </c>
      <c r="AL65" s="185"/>
      <c r="AM65" s="185"/>
      <c r="AN65" s="185"/>
      <c r="AO65" s="185"/>
      <c r="AP65" s="185"/>
      <c r="AQ65" s="185"/>
      <c r="AR65" s="185">
        <v>6590</v>
      </c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631608+42861+3083</f>
        <v>677552</v>
      </c>
      <c r="BF65" s="185"/>
      <c r="BG65" s="185"/>
      <c r="BH65" s="185">
        <v>36274</v>
      </c>
      <c r="BI65" s="185"/>
      <c r="BJ65" s="185"/>
      <c r="BK65" s="185">
        <f>24533+2108</f>
        <v>26641</v>
      </c>
      <c r="BL65" s="185"/>
      <c r="BM65" s="185"/>
      <c r="BN65" s="185">
        <v>1215</v>
      </c>
      <c r="BO65" s="185">
        <v>360</v>
      </c>
      <c r="BP65" s="185"/>
      <c r="BQ65" s="185"/>
      <c r="BR65" s="185">
        <v>405</v>
      </c>
      <c r="BS65" s="185"/>
      <c r="BT65" s="185"/>
      <c r="BU65" s="185"/>
      <c r="BV65" s="185"/>
      <c r="BW65" s="185">
        <v>180</v>
      </c>
      <c r="BX65" s="185">
        <v>720</v>
      </c>
      <c r="BY65" s="185">
        <v>540</v>
      </c>
      <c r="BZ65" s="185"/>
      <c r="CA65" s="185"/>
      <c r="CB65" s="185"/>
      <c r="CC65" s="185"/>
      <c r="CD65" s="249" t="s">
        <v>221</v>
      </c>
      <c r="CE65" s="195">
        <f t="shared" si="0"/>
        <v>939910</v>
      </c>
      <c r="CF65" s="252"/>
    </row>
    <row r="66" spans="1:84" ht="12.6" customHeight="1" x14ac:dyDescent="0.25">
      <c r="A66" s="171" t="s">
        <v>239</v>
      </c>
      <c r="B66" s="175"/>
      <c r="C66" s="184">
        <f>23052+63131</f>
        <v>86183</v>
      </c>
      <c r="D66" s="184"/>
      <c r="E66" s="184">
        <f>11753+104575</f>
        <v>116328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f>98753+36358+1971</f>
        <v>137082</v>
      </c>
      <c r="P66" s="185">
        <f>84988+188586+62979+6782+27500</f>
        <v>370835</v>
      </c>
      <c r="Q66" s="185">
        <f>168+4842+64891</f>
        <v>69901</v>
      </c>
      <c r="R66" s="185"/>
      <c r="S66" s="184">
        <v>10795</v>
      </c>
      <c r="T66" s="184"/>
      <c r="U66" s="185">
        <v>637632</v>
      </c>
      <c r="V66" s="185"/>
      <c r="W66" s="185">
        <v>903424</v>
      </c>
      <c r="X66" s="185"/>
      <c r="Y66" s="185">
        <v>56711</v>
      </c>
      <c r="Z66" s="185"/>
      <c r="AA66" s="185"/>
      <c r="AB66" s="185">
        <f>65554+233640+24088</f>
        <v>323282</v>
      </c>
      <c r="AC66" s="185">
        <v>12830</v>
      </c>
      <c r="AD66" s="185"/>
      <c r="AE66" s="185">
        <f>11412+1174794+90</f>
        <v>1186296</v>
      </c>
      <c r="AF66" s="185"/>
      <c r="AG66" s="185">
        <f>82973+28457</f>
        <v>111430</v>
      </c>
      <c r="AH66" s="185"/>
      <c r="AI66" s="185"/>
      <c r="AJ66" s="185">
        <f>2560+141779+10734</f>
        <v>155073</v>
      </c>
      <c r="AK66" s="185">
        <v>192387</v>
      </c>
      <c r="AL66" s="185">
        <v>131625</v>
      </c>
      <c r="AM66" s="185"/>
      <c r="AN66" s="185"/>
      <c r="AO66" s="185"/>
      <c r="AP66" s="185"/>
      <c r="AQ66" s="185"/>
      <c r="AR66" s="185">
        <f>99131+262287</f>
        <v>361418</v>
      </c>
      <c r="AS66" s="185"/>
      <c r="AT66" s="185"/>
      <c r="AU66" s="185"/>
      <c r="AV66" s="185"/>
      <c r="AW66" s="185"/>
      <c r="AX66" s="185"/>
      <c r="AY66" s="185">
        <f>1119+15953</f>
        <v>17072</v>
      </c>
      <c r="AZ66" s="185"/>
      <c r="BA66" s="185">
        <v>649</v>
      </c>
      <c r="BB66" s="185">
        <f>119+4607</f>
        <v>4726</v>
      </c>
      <c r="BC66" s="185"/>
      <c r="BD66" s="185">
        <v>156899</v>
      </c>
      <c r="BE66" s="185">
        <f>543244+12106+19561+8619</f>
        <v>583530</v>
      </c>
      <c r="BF66" s="185">
        <v>101651</v>
      </c>
      <c r="BG66" s="185"/>
      <c r="BH66" s="185">
        <f>1957388+585</f>
        <v>1957973</v>
      </c>
      <c r="BI66" s="185"/>
      <c r="BJ66" s="185">
        <v>186413</v>
      </c>
      <c r="BK66" s="185">
        <f>36096+26307+890021+84091+238988</f>
        <v>1275503</v>
      </c>
      <c r="BL66" s="185"/>
      <c r="BM66" s="185"/>
      <c r="BN66" s="185">
        <f>64309+2535+654</f>
        <v>67498</v>
      </c>
      <c r="BO66" s="185">
        <v>793</v>
      </c>
      <c r="BP66" s="185">
        <v>14779</v>
      </c>
      <c r="BQ66" s="185"/>
      <c r="BR66" s="185">
        <f>152604</f>
        <v>152604</v>
      </c>
      <c r="BS66" s="185">
        <f>709+2801</f>
        <v>3510</v>
      </c>
      <c r="BT66" s="185"/>
      <c r="BU66" s="185"/>
      <c r="BV66" s="185">
        <v>1234337</v>
      </c>
      <c r="BW66" s="185">
        <v>5953</v>
      </c>
      <c r="BX66" s="185">
        <v>114114</v>
      </c>
      <c r="BY66" s="185">
        <f>12489+42167+90867+3</f>
        <v>145526</v>
      </c>
      <c r="BZ66" s="185"/>
      <c r="CA66" s="185"/>
      <c r="CB66" s="185"/>
      <c r="CC66" s="185"/>
      <c r="CD66" s="249" t="s">
        <v>221</v>
      </c>
      <c r="CE66" s="195">
        <f t="shared" si="0"/>
        <v>10886762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90087</v>
      </c>
      <c r="D67" s="195">
        <f>ROUND(D51+D52,0)</f>
        <v>0</v>
      </c>
      <c r="E67" s="195">
        <f t="shared" ref="E67:BP67" si="3">ROUND(E51+E52,0)</f>
        <v>389487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7836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61323</v>
      </c>
      <c r="P67" s="195">
        <f t="shared" si="3"/>
        <v>382335</v>
      </c>
      <c r="Q67" s="195">
        <f t="shared" si="3"/>
        <v>31470</v>
      </c>
      <c r="R67" s="195">
        <f t="shared" si="3"/>
        <v>0</v>
      </c>
      <c r="S67" s="195">
        <f t="shared" si="3"/>
        <v>47547</v>
      </c>
      <c r="T67" s="195">
        <f t="shared" si="3"/>
        <v>0</v>
      </c>
      <c r="U67" s="195">
        <f t="shared" si="3"/>
        <v>49755</v>
      </c>
      <c r="V67" s="195">
        <f t="shared" si="3"/>
        <v>7463</v>
      </c>
      <c r="W67" s="195">
        <f t="shared" si="3"/>
        <v>4416</v>
      </c>
      <c r="X67" s="195">
        <f t="shared" si="3"/>
        <v>70652</v>
      </c>
      <c r="Y67" s="195">
        <f t="shared" si="3"/>
        <v>73264</v>
      </c>
      <c r="Z67" s="195">
        <f t="shared" si="3"/>
        <v>0</v>
      </c>
      <c r="AA67" s="195">
        <f t="shared" si="3"/>
        <v>0</v>
      </c>
      <c r="AB67" s="195">
        <f t="shared" si="3"/>
        <v>29386</v>
      </c>
      <c r="AC67" s="195">
        <f t="shared" si="3"/>
        <v>24629</v>
      </c>
      <c r="AD67" s="195">
        <f t="shared" si="3"/>
        <v>0</v>
      </c>
      <c r="AE67" s="195">
        <f t="shared" si="3"/>
        <v>234283</v>
      </c>
      <c r="AF67" s="195">
        <f t="shared" si="3"/>
        <v>0</v>
      </c>
      <c r="AG67" s="195">
        <f t="shared" si="3"/>
        <v>160397</v>
      </c>
      <c r="AH67" s="195">
        <f t="shared" si="3"/>
        <v>0</v>
      </c>
      <c r="AI67" s="195">
        <f t="shared" si="3"/>
        <v>0</v>
      </c>
      <c r="AJ67" s="195">
        <f t="shared" si="3"/>
        <v>880319</v>
      </c>
      <c r="AK67" s="195">
        <f t="shared" si="3"/>
        <v>47671</v>
      </c>
      <c r="AL67" s="195">
        <f t="shared" si="3"/>
        <v>23851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71460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125165</v>
      </c>
      <c r="AZ67" s="195">
        <f>ROUND(AZ51+AZ52,0)</f>
        <v>0</v>
      </c>
      <c r="BA67" s="195">
        <f>ROUND(BA51+BA52,0)</f>
        <v>26557</v>
      </c>
      <c r="BB67" s="195">
        <f t="shared" si="3"/>
        <v>6717</v>
      </c>
      <c r="BC67" s="195">
        <f t="shared" si="3"/>
        <v>0</v>
      </c>
      <c r="BD67" s="195">
        <f t="shared" si="3"/>
        <v>49941</v>
      </c>
      <c r="BE67" s="195">
        <f t="shared" si="3"/>
        <v>189255</v>
      </c>
      <c r="BF67" s="195">
        <f t="shared" si="3"/>
        <v>6095</v>
      </c>
      <c r="BG67" s="195">
        <f t="shared" si="3"/>
        <v>0</v>
      </c>
      <c r="BH67" s="195">
        <f t="shared" si="3"/>
        <v>29355</v>
      </c>
      <c r="BI67" s="195">
        <f t="shared" si="3"/>
        <v>0</v>
      </c>
      <c r="BJ67" s="195">
        <f t="shared" si="3"/>
        <v>15020</v>
      </c>
      <c r="BK67" s="195">
        <f t="shared" si="3"/>
        <v>52989</v>
      </c>
      <c r="BL67" s="195">
        <f t="shared" si="3"/>
        <v>0</v>
      </c>
      <c r="BM67" s="195">
        <f t="shared" si="3"/>
        <v>0</v>
      </c>
      <c r="BN67" s="195">
        <f t="shared" si="3"/>
        <v>95187</v>
      </c>
      <c r="BO67" s="195">
        <f t="shared" si="3"/>
        <v>3265</v>
      </c>
      <c r="BP67" s="195">
        <f t="shared" si="3"/>
        <v>3172</v>
      </c>
      <c r="BQ67" s="195">
        <f t="shared" ref="BQ67:CC67" si="4">ROUND(BQ51+BQ52,0)</f>
        <v>0</v>
      </c>
      <c r="BR67" s="195">
        <f t="shared" si="4"/>
        <v>17352</v>
      </c>
      <c r="BS67" s="195">
        <f t="shared" si="4"/>
        <v>10044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3317745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22075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f>4871+462</f>
        <v>5333</v>
      </c>
      <c r="Q68" s="185"/>
      <c r="R68" s="185"/>
      <c r="S68" s="185"/>
      <c r="T68" s="185"/>
      <c r="U68" s="185"/>
      <c r="V68" s="185"/>
      <c r="W68" s="185"/>
      <c r="X68" s="185">
        <v>82563.520000000004</v>
      </c>
      <c r="Y68" s="185">
        <f>149567.65+70740.05</f>
        <v>220307.7</v>
      </c>
      <c r="Z68" s="185"/>
      <c r="AA68" s="185"/>
      <c r="AB68" s="185">
        <f>225320+23204</f>
        <v>248524</v>
      </c>
      <c r="AC68" s="185">
        <v>72</v>
      </c>
      <c r="AD68" s="185"/>
      <c r="AE68" s="185">
        <f>127463+13015</f>
        <v>140478</v>
      </c>
      <c r="AF68" s="185"/>
      <c r="AG68" s="185"/>
      <c r="AH68" s="185"/>
      <c r="AI68" s="185"/>
      <c r="AJ68" s="185">
        <f>46766+146023+231440+28901</f>
        <v>453130</v>
      </c>
      <c r="AK68" s="185"/>
      <c r="AL68" s="185"/>
      <c r="AM68" s="185"/>
      <c r="AN68" s="185"/>
      <c r="AO68" s="185"/>
      <c r="AP68" s="185"/>
      <c r="AQ68" s="185"/>
      <c r="AR68" s="185">
        <v>125110</v>
      </c>
      <c r="AS68" s="185"/>
      <c r="AT68" s="185"/>
      <c r="AU68" s="185"/>
      <c r="AV68" s="185"/>
      <c r="AW68" s="185"/>
      <c r="AX68" s="185"/>
      <c r="AY68" s="185">
        <v>2261</v>
      </c>
      <c r="AZ68" s="185"/>
      <c r="BA68" s="185"/>
      <c r="BB68" s="185"/>
      <c r="BC68" s="185"/>
      <c r="BD68" s="185">
        <v>49938</v>
      </c>
      <c r="BE68" s="185">
        <f>1380+201</f>
        <v>1581</v>
      </c>
      <c r="BF68" s="185"/>
      <c r="BG68" s="185"/>
      <c r="BH68" s="185">
        <v>1209</v>
      </c>
      <c r="BI68" s="185"/>
      <c r="BJ68" s="185"/>
      <c r="BK68" s="185">
        <f>34487+20071+20071</f>
        <v>74629</v>
      </c>
      <c r="BL68" s="185"/>
      <c r="BM68" s="185"/>
      <c r="BN68" s="185"/>
      <c r="BO68" s="185"/>
      <c r="BP68" s="185">
        <f>536-2</f>
        <v>534</v>
      </c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1427745.22</v>
      </c>
      <c r="CF68" s="252"/>
    </row>
    <row r="69" spans="1:84" ht="12.6" customHeight="1" x14ac:dyDescent="0.25">
      <c r="A69" s="171" t="s">
        <v>241</v>
      </c>
      <c r="B69" s="175"/>
      <c r="C69" s="184">
        <v>1692</v>
      </c>
      <c r="D69" s="184"/>
      <c r="E69" s="185">
        <v>3065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f>5112+1514</f>
        <v>6626</v>
      </c>
      <c r="P69" s="185">
        <v>3828</v>
      </c>
      <c r="Q69" s="185">
        <v>300</v>
      </c>
      <c r="R69" s="224"/>
      <c r="S69" s="185">
        <v>2144</v>
      </c>
      <c r="T69" s="184"/>
      <c r="U69" s="185">
        <v>225</v>
      </c>
      <c r="V69" s="185"/>
      <c r="W69" s="184"/>
      <c r="X69" s="185"/>
      <c r="Y69" s="185">
        <v>8120</v>
      </c>
      <c r="Z69" s="185"/>
      <c r="AA69" s="185"/>
      <c r="AB69" s="185">
        <f>3512+40+78</f>
        <v>3630</v>
      </c>
      <c r="AC69" s="185">
        <v>110</v>
      </c>
      <c r="AD69" s="185"/>
      <c r="AE69" s="185">
        <f>1418+560</f>
        <v>1978</v>
      </c>
      <c r="AF69" s="185"/>
      <c r="AG69" s="185">
        <f>9817+2880+6122+21514</f>
        <v>40333</v>
      </c>
      <c r="AH69" s="185"/>
      <c r="AI69" s="185"/>
      <c r="AJ69" s="185">
        <f>3456+5409+28050+23153+3605+70161+11877+3831+7028+3954</f>
        <v>160524</v>
      </c>
      <c r="AK69" s="185">
        <v>345</v>
      </c>
      <c r="AL69" s="185">
        <v>93</v>
      </c>
      <c r="AM69" s="185"/>
      <c r="AN69" s="185"/>
      <c r="AO69" s="184"/>
      <c r="AP69" s="185"/>
      <c r="AQ69" s="184"/>
      <c r="AR69" s="184">
        <f>48512+69099</f>
        <v>117611</v>
      </c>
      <c r="AS69" s="184"/>
      <c r="AT69" s="184"/>
      <c r="AU69" s="185"/>
      <c r="AV69" s="185"/>
      <c r="AW69" s="185"/>
      <c r="AX69" s="185"/>
      <c r="AY69" s="185">
        <f>2079+2628</f>
        <v>4707</v>
      </c>
      <c r="AZ69" s="185"/>
      <c r="BA69" s="185"/>
      <c r="BB69" s="185">
        <v>249</v>
      </c>
      <c r="BC69" s="185"/>
      <c r="BD69" s="185">
        <v>221</v>
      </c>
      <c r="BE69" s="185">
        <f>5313+0</f>
        <v>5313</v>
      </c>
      <c r="BF69" s="185">
        <v>4664</v>
      </c>
      <c r="BG69" s="185"/>
      <c r="BH69" s="224">
        <f>8016+35645</f>
        <v>43661</v>
      </c>
      <c r="BI69" s="185"/>
      <c r="BJ69" s="185">
        <v>4664</v>
      </c>
      <c r="BK69" s="185">
        <f>893+766</f>
        <v>1659</v>
      </c>
      <c r="BL69" s="185"/>
      <c r="BM69" s="185"/>
      <c r="BN69" s="185">
        <f>162408+13904+10538</f>
        <v>186850</v>
      </c>
      <c r="BO69" s="185">
        <v>3741</v>
      </c>
      <c r="BP69" s="185">
        <v>189805</v>
      </c>
      <c r="BQ69" s="185"/>
      <c r="BR69" s="185">
        <f>24027+13873</f>
        <v>37900</v>
      </c>
      <c r="BS69" s="185">
        <f>163+687</f>
        <v>850</v>
      </c>
      <c r="BT69" s="185"/>
      <c r="BU69" s="185"/>
      <c r="BV69" s="185">
        <v>3065</v>
      </c>
      <c r="BW69" s="185">
        <v>40111</v>
      </c>
      <c r="BX69" s="185">
        <v>7868</v>
      </c>
      <c r="BY69" s="185">
        <f>271+7040+2119+201-3</f>
        <v>9628</v>
      </c>
      <c r="BZ69" s="185"/>
      <c r="CA69" s="185"/>
      <c r="CB69" s="185"/>
      <c r="CC69" s="185"/>
      <c r="CD69" s="188"/>
      <c r="CE69" s="195">
        <f t="shared" si="0"/>
        <v>895580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2897122</v>
      </c>
      <c r="CE70" s="195">
        <f t="shared" si="0"/>
        <v>2897122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1471655</v>
      </c>
      <c r="D71" s="195">
        <f t="shared" ref="D71:AI71" si="5">SUM(D61:D69)-D70</f>
        <v>0</v>
      </c>
      <c r="E71" s="195">
        <f t="shared" si="5"/>
        <v>3361444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284746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845670</v>
      </c>
      <c r="P71" s="195">
        <f t="shared" si="5"/>
        <v>6179120</v>
      </c>
      <c r="Q71" s="195">
        <f t="shared" si="5"/>
        <v>378832</v>
      </c>
      <c r="R71" s="195">
        <f t="shared" si="5"/>
        <v>0</v>
      </c>
      <c r="S71" s="195">
        <f t="shared" si="5"/>
        <v>643934</v>
      </c>
      <c r="T71" s="195">
        <f t="shared" si="5"/>
        <v>0</v>
      </c>
      <c r="U71" s="195">
        <f t="shared" si="5"/>
        <v>3171928</v>
      </c>
      <c r="V71" s="195">
        <f t="shared" si="5"/>
        <v>146831</v>
      </c>
      <c r="W71" s="195">
        <f t="shared" si="5"/>
        <v>907840</v>
      </c>
      <c r="X71" s="195">
        <f t="shared" si="5"/>
        <v>807623.52</v>
      </c>
      <c r="Y71" s="195">
        <f t="shared" si="5"/>
        <v>1423072.7</v>
      </c>
      <c r="Z71" s="195">
        <f t="shared" si="5"/>
        <v>0</v>
      </c>
      <c r="AA71" s="195">
        <f t="shared" si="5"/>
        <v>0</v>
      </c>
      <c r="AB71" s="195">
        <f t="shared" si="5"/>
        <v>4187217</v>
      </c>
      <c r="AC71" s="195">
        <f t="shared" si="5"/>
        <v>407090</v>
      </c>
      <c r="AD71" s="195">
        <f t="shared" si="5"/>
        <v>0</v>
      </c>
      <c r="AE71" s="195">
        <f t="shared" si="5"/>
        <v>1755232</v>
      </c>
      <c r="AF71" s="195">
        <f t="shared" si="5"/>
        <v>0</v>
      </c>
      <c r="AG71" s="195">
        <f t="shared" si="5"/>
        <v>5787128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20020514</v>
      </c>
      <c r="AK71" s="195">
        <f t="shared" si="6"/>
        <v>251799</v>
      </c>
      <c r="AL71" s="195">
        <f t="shared" si="6"/>
        <v>157334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3085164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1219699</v>
      </c>
      <c r="AZ71" s="195">
        <f t="shared" si="6"/>
        <v>0</v>
      </c>
      <c r="BA71" s="195">
        <f t="shared" si="6"/>
        <v>179972</v>
      </c>
      <c r="BB71" s="195">
        <f t="shared" si="6"/>
        <v>177298</v>
      </c>
      <c r="BC71" s="195">
        <f t="shared" si="6"/>
        <v>0</v>
      </c>
      <c r="BD71" s="195">
        <f t="shared" si="6"/>
        <v>503420</v>
      </c>
      <c r="BE71" s="195">
        <f t="shared" si="6"/>
        <v>2071022</v>
      </c>
      <c r="BF71" s="195">
        <f t="shared" si="6"/>
        <v>1010414</v>
      </c>
      <c r="BG71" s="195">
        <f t="shared" si="6"/>
        <v>0</v>
      </c>
      <c r="BH71" s="195">
        <f t="shared" si="6"/>
        <v>3670395</v>
      </c>
      <c r="BI71" s="195">
        <f t="shared" si="6"/>
        <v>0</v>
      </c>
      <c r="BJ71" s="195">
        <f t="shared" si="6"/>
        <v>874373</v>
      </c>
      <c r="BK71" s="195">
        <f t="shared" si="6"/>
        <v>3074183</v>
      </c>
      <c r="BL71" s="195">
        <f t="shared" si="6"/>
        <v>0</v>
      </c>
      <c r="BM71" s="195">
        <f t="shared" si="6"/>
        <v>0</v>
      </c>
      <c r="BN71" s="195">
        <f t="shared" si="6"/>
        <v>2021215</v>
      </c>
      <c r="BO71" s="195">
        <f t="shared" si="6"/>
        <v>83526</v>
      </c>
      <c r="BP71" s="195">
        <f t="shared" ref="BP71:CC71" si="7">SUM(BP61:BP69)-BP70</f>
        <v>479760</v>
      </c>
      <c r="BQ71" s="195">
        <f t="shared" si="7"/>
        <v>0</v>
      </c>
      <c r="BR71" s="195">
        <f t="shared" si="7"/>
        <v>763301</v>
      </c>
      <c r="BS71" s="195">
        <f t="shared" si="7"/>
        <v>104025</v>
      </c>
      <c r="BT71" s="195">
        <f t="shared" si="7"/>
        <v>0</v>
      </c>
      <c r="BU71" s="195">
        <f t="shared" si="7"/>
        <v>0</v>
      </c>
      <c r="BV71" s="195">
        <f t="shared" si="7"/>
        <v>2073121</v>
      </c>
      <c r="BW71" s="195">
        <f t="shared" si="7"/>
        <v>630205</v>
      </c>
      <c r="BX71" s="195">
        <f t="shared" si="7"/>
        <v>880507</v>
      </c>
      <c r="BY71" s="195">
        <f t="shared" si="7"/>
        <v>1590591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-2897122</v>
      </c>
      <c r="CE71" s="195">
        <f>SUM(CE61:CE69)-CE70</f>
        <v>73784079.219999999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1481572</v>
      </c>
      <c r="CF72" s="252"/>
    </row>
    <row r="73" spans="1:84" ht="12.6" customHeight="1" x14ac:dyDescent="0.25">
      <c r="A73" s="171" t="s">
        <v>245</v>
      </c>
      <c r="B73" s="175"/>
      <c r="C73" s="184">
        <v>765463</v>
      </c>
      <c r="D73" s="184"/>
      <c r="E73" s="185">
        <v>2664792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>
        <v>3428046</v>
      </c>
      <c r="P73" s="185">
        <v>7351259</v>
      </c>
      <c r="Q73" s="185">
        <v>284271</v>
      </c>
      <c r="R73" s="185"/>
      <c r="S73" s="185"/>
      <c r="T73" s="185"/>
      <c r="U73" s="185">
        <v>977820</v>
      </c>
      <c r="V73" s="185">
        <v>133051</v>
      </c>
      <c r="W73" s="185">
        <v>97307</v>
      </c>
      <c r="X73" s="185">
        <v>747306</v>
      </c>
      <c r="Y73" s="185">
        <f>63571+118147+222242</f>
        <v>403960</v>
      </c>
      <c r="Z73" s="185"/>
      <c r="AA73" s="185"/>
      <c r="AB73" s="185">
        <v>3049455</v>
      </c>
      <c r="AC73" s="185">
        <v>258323</v>
      </c>
      <c r="AD73" s="185"/>
      <c r="AE73" s="185">
        <v>66633</v>
      </c>
      <c r="AF73" s="185"/>
      <c r="AG73" s="185">
        <f>375572+71501</f>
        <v>447073</v>
      </c>
      <c r="AH73" s="185"/>
      <c r="AI73" s="185"/>
      <c r="AJ73" s="185">
        <f>361209+188882</f>
        <v>550091</v>
      </c>
      <c r="AK73" s="185">
        <v>88231</v>
      </c>
      <c r="AL73" s="185">
        <v>41916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21354997</v>
      </c>
      <c r="CF73" s="252"/>
    </row>
    <row r="74" spans="1:84" ht="12.6" customHeight="1" x14ac:dyDescent="0.25">
      <c r="A74" s="171" t="s">
        <v>246</v>
      </c>
      <c r="B74" s="175"/>
      <c r="C74" s="184">
        <v>504472</v>
      </c>
      <c r="D74" s="184"/>
      <c r="E74" s="185">
        <v>2598850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537675</v>
      </c>
      <c r="P74" s="185">
        <f>17425078+462</f>
        <v>17425540</v>
      </c>
      <c r="Q74" s="185">
        <v>903321</v>
      </c>
      <c r="R74" s="185"/>
      <c r="S74" s="185"/>
      <c r="T74" s="185"/>
      <c r="U74" s="185">
        <f>12877217+160603</f>
        <v>13037820</v>
      </c>
      <c r="V74" s="185">
        <f>1105957+57</f>
        <v>1106014</v>
      </c>
      <c r="W74" s="185">
        <v>5249800</v>
      </c>
      <c r="X74" s="185">
        <v>16324677</v>
      </c>
      <c r="Y74" s="185">
        <f>592451+2333562+977171+5602697</f>
        <v>9505881</v>
      </c>
      <c r="Z74" s="185"/>
      <c r="AA74" s="185"/>
      <c r="AB74" s="185">
        <v>9485297</v>
      </c>
      <c r="AC74" s="185">
        <v>437166</v>
      </c>
      <c r="AD74" s="185"/>
      <c r="AE74" s="185">
        <f>1293486+328694</f>
        <v>1622180</v>
      </c>
      <c r="AF74" s="185"/>
      <c r="AG74" s="185">
        <f>12021864+2953234+102983</f>
        <v>15078081</v>
      </c>
      <c r="AH74" s="185"/>
      <c r="AI74" s="185"/>
      <c r="AJ74" s="185">
        <f>339844+127591+77622+237797+17268807+1534511+107306+876823</f>
        <v>20570301</v>
      </c>
      <c r="AK74" s="185">
        <v>386540</v>
      </c>
      <c r="AL74" s="185">
        <v>260422</v>
      </c>
      <c r="AM74" s="185"/>
      <c r="AN74" s="185"/>
      <c r="AO74" s="185"/>
      <c r="AP74" s="185"/>
      <c r="AQ74" s="185"/>
      <c r="AR74" s="185">
        <v>3714969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118749006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1269935</v>
      </c>
      <c r="D75" s="195">
        <f t="shared" si="9"/>
        <v>0</v>
      </c>
      <c r="E75" s="195">
        <f t="shared" si="9"/>
        <v>5263642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3965721</v>
      </c>
      <c r="P75" s="195">
        <f t="shared" si="9"/>
        <v>24776799</v>
      </c>
      <c r="Q75" s="195">
        <f t="shared" si="9"/>
        <v>1187592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14015640</v>
      </c>
      <c r="V75" s="195">
        <f t="shared" si="9"/>
        <v>1239065</v>
      </c>
      <c r="W75" s="195">
        <f t="shared" si="9"/>
        <v>5347107</v>
      </c>
      <c r="X75" s="195">
        <f t="shared" si="9"/>
        <v>17071983</v>
      </c>
      <c r="Y75" s="195">
        <f t="shared" si="9"/>
        <v>9909841</v>
      </c>
      <c r="Z75" s="195">
        <f t="shared" si="9"/>
        <v>0</v>
      </c>
      <c r="AA75" s="195">
        <f t="shared" si="9"/>
        <v>0</v>
      </c>
      <c r="AB75" s="195">
        <f t="shared" si="9"/>
        <v>12534752</v>
      </c>
      <c r="AC75" s="195">
        <f t="shared" si="9"/>
        <v>695489</v>
      </c>
      <c r="AD75" s="195">
        <f t="shared" si="9"/>
        <v>0</v>
      </c>
      <c r="AE75" s="195">
        <f t="shared" si="9"/>
        <v>1688813</v>
      </c>
      <c r="AF75" s="195">
        <f t="shared" si="9"/>
        <v>0</v>
      </c>
      <c r="AG75" s="195">
        <f t="shared" si="9"/>
        <v>15525154</v>
      </c>
      <c r="AH75" s="195">
        <f t="shared" si="9"/>
        <v>0</v>
      </c>
      <c r="AI75" s="195">
        <f t="shared" si="9"/>
        <v>0</v>
      </c>
      <c r="AJ75" s="195">
        <f t="shared" si="9"/>
        <v>21120392</v>
      </c>
      <c r="AK75" s="195">
        <f t="shared" si="9"/>
        <v>474771</v>
      </c>
      <c r="AL75" s="195">
        <f t="shared" si="9"/>
        <v>302338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3714969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140104003</v>
      </c>
      <c r="CF75" s="252"/>
    </row>
    <row r="76" spans="1:84" ht="12.6" customHeight="1" x14ac:dyDescent="0.25">
      <c r="A76" s="171" t="s">
        <v>248</v>
      </c>
      <c r="B76" s="175"/>
      <c r="C76" s="184">
        <v>2897</v>
      </c>
      <c r="D76" s="184"/>
      <c r="E76" s="185">
        <v>12525</v>
      </c>
      <c r="F76" s="185"/>
      <c r="G76" s="184"/>
      <c r="H76" s="184"/>
      <c r="I76" s="185"/>
      <c r="J76" s="185">
        <v>252</v>
      </c>
      <c r="K76" s="185"/>
      <c r="L76" s="185"/>
      <c r="M76" s="185"/>
      <c r="N76" s="185"/>
      <c r="O76" s="185">
        <v>1972</v>
      </c>
      <c r="P76" s="185">
        <v>12295</v>
      </c>
      <c r="Q76" s="185">
        <v>1012</v>
      </c>
      <c r="R76" s="185"/>
      <c r="S76" s="185">
        <v>1529</v>
      </c>
      <c r="T76" s="185"/>
      <c r="U76" s="185">
        <v>1600</v>
      </c>
      <c r="V76" s="185">
        <v>240</v>
      </c>
      <c r="W76" s="185">
        <v>142</v>
      </c>
      <c r="X76" s="185">
        <v>2272</v>
      </c>
      <c r="Y76" s="185">
        <v>2356</v>
      </c>
      <c r="Z76" s="185"/>
      <c r="AA76" s="185"/>
      <c r="AB76" s="185">
        <v>945</v>
      </c>
      <c r="AC76" s="185">
        <v>792</v>
      </c>
      <c r="AD76" s="185"/>
      <c r="AE76" s="185">
        <v>7534</v>
      </c>
      <c r="AF76" s="185"/>
      <c r="AG76" s="185">
        <v>5158</v>
      </c>
      <c r="AH76" s="185"/>
      <c r="AI76" s="185"/>
      <c r="AJ76" s="185">
        <v>28309</v>
      </c>
      <c r="AK76" s="185">
        <v>1533</v>
      </c>
      <c r="AL76" s="185">
        <v>767</v>
      </c>
      <c r="AM76" s="185"/>
      <c r="AN76" s="185"/>
      <c r="AO76" s="185"/>
      <c r="AP76" s="185"/>
      <c r="AQ76" s="185"/>
      <c r="AR76" s="185">
        <v>2298</v>
      </c>
      <c r="AS76" s="185"/>
      <c r="AT76" s="185"/>
      <c r="AU76" s="185"/>
      <c r="AV76" s="185"/>
      <c r="AW76" s="185"/>
      <c r="AX76" s="185"/>
      <c r="AY76" s="185">
        <v>4025</v>
      </c>
      <c r="AZ76" s="185"/>
      <c r="BA76" s="185">
        <v>854</v>
      </c>
      <c r="BB76" s="185">
        <v>216</v>
      </c>
      <c r="BC76" s="185"/>
      <c r="BD76" s="185">
        <v>1606</v>
      </c>
      <c r="BE76" s="185">
        <v>6086</v>
      </c>
      <c r="BF76" s="185">
        <v>196</v>
      </c>
      <c r="BG76" s="185"/>
      <c r="BH76" s="185">
        <v>944</v>
      </c>
      <c r="BI76" s="185"/>
      <c r="BJ76" s="185">
        <v>483</v>
      </c>
      <c r="BK76" s="185">
        <v>1704</v>
      </c>
      <c r="BL76" s="185"/>
      <c r="BM76" s="185"/>
      <c r="BN76" s="185">
        <v>3061</v>
      </c>
      <c r="BO76" s="185">
        <v>105</v>
      </c>
      <c r="BP76" s="185">
        <v>102</v>
      </c>
      <c r="BQ76" s="185"/>
      <c r="BR76" s="185">
        <v>558</v>
      </c>
      <c r="BS76" s="185">
        <v>323</v>
      </c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106691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1350</v>
      </c>
      <c r="D77" s="184"/>
      <c r="E77" s="184">
        <v>8537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73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347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10307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1057</v>
      </c>
      <c r="D78" s="184"/>
      <c r="E78" s="184">
        <v>4570</v>
      </c>
      <c r="F78" s="184"/>
      <c r="G78" s="184"/>
      <c r="H78" s="184"/>
      <c r="I78" s="184"/>
      <c r="J78" s="184">
        <v>92</v>
      </c>
      <c r="K78" s="184"/>
      <c r="L78" s="184"/>
      <c r="M78" s="184"/>
      <c r="N78" s="184"/>
      <c r="O78" s="184">
        <f>719+558</f>
        <v>1277</v>
      </c>
      <c r="P78" s="184">
        <v>4486</v>
      </c>
      <c r="Q78" s="184">
        <v>369</v>
      </c>
      <c r="R78" s="184"/>
      <c r="S78" s="184"/>
      <c r="T78" s="184"/>
      <c r="U78" s="184">
        <v>584</v>
      </c>
      <c r="V78" s="184"/>
      <c r="W78" s="184"/>
      <c r="X78" s="184"/>
      <c r="Y78" s="184">
        <v>1740</v>
      </c>
      <c r="Z78" s="184"/>
      <c r="AA78" s="184"/>
      <c r="AB78" s="184">
        <v>268</v>
      </c>
      <c r="AC78" s="184">
        <v>377</v>
      </c>
      <c r="AD78" s="184"/>
      <c r="AE78" s="184">
        <v>2522</v>
      </c>
      <c r="AF78" s="184"/>
      <c r="AG78" s="184">
        <v>1883</v>
      </c>
      <c r="AH78" s="184"/>
      <c r="AI78" s="184"/>
      <c r="AJ78" s="184">
        <f>2638+1072+967+916</f>
        <v>5593</v>
      </c>
      <c r="AK78" s="184">
        <v>559</v>
      </c>
      <c r="AL78" s="184"/>
      <c r="AM78" s="184"/>
      <c r="AN78" s="184"/>
      <c r="AO78" s="184"/>
      <c r="AP78" s="184"/>
      <c r="AQ78" s="184"/>
      <c r="AR78" s="184">
        <v>838</v>
      </c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312</v>
      </c>
      <c r="BB78" s="184">
        <v>79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2659</v>
      </c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651</v>
      </c>
      <c r="BW78" s="184"/>
      <c r="BX78" s="184"/>
      <c r="BY78" s="184">
        <v>173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30089</v>
      </c>
      <c r="CF78" s="195"/>
    </row>
    <row r="79" spans="1:84" ht="12.6" customHeight="1" x14ac:dyDescent="0.25">
      <c r="A79" s="171" t="s">
        <v>251</v>
      </c>
      <c r="B79" s="175"/>
      <c r="C79" s="225">
        <v>13031</v>
      </c>
      <c r="D79" s="225"/>
      <c r="E79" s="184">
        <v>49745</v>
      </c>
      <c r="F79" s="184"/>
      <c r="G79" s="184"/>
      <c r="H79" s="184"/>
      <c r="I79" s="184"/>
      <c r="J79" s="184">
        <v>6598</v>
      </c>
      <c r="K79" s="184"/>
      <c r="L79" s="184"/>
      <c r="M79" s="184"/>
      <c r="N79" s="184"/>
      <c r="O79" s="184">
        <v>18357</v>
      </c>
      <c r="P79" s="184">
        <v>48593</v>
      </c>
      <c r="Q79" s="184"/>
      <c r="R79" s="184"/>
      <c r="S79" s="184"/>
      <c r="T79" s="184"/>
      <c r="U79" s="184">
        <v>7665</v>
      </c>
      <c r="V79" s="184"/>
      <c r="W79" s="184"/>
      <c r="X79" s="184"/>
      <c r="Y79" s="184">
        <v>44109</v>
      </c>
      <c r="Z79" s="184"/>
      <c r="AA79" s="184"/>
      <c r="AB79" s="184"/>
      <c r="AC79" s="184">
        <v>1161</v>
      </c>
      <c r="AD79" s="184"/>
      <c r="AE79" s="184">
        <v>12775</v>
      </c>
      <c r="AF79" s="184"/>
      <c r="AG79" s="184">
        <v>60903</v>
      </c>
      <c r="AH79" s="184"/>
      <c r="AI79" s="184"/>
      <c r="AJ79" s="184">
        <f>2323+2555+2555+2555+2555+465+116+116</f>
        <v>13240</v>
      </c>
      <c r="AK79" s="184">
        <v>465</v>
      </c>
      <c r="AL79" s="184"/>
      <c r="AM79" s="184"/>
      <c r="AN79" s="184"/>
      <c r="AO79" s="184"/>
      <c r="AP79" s="184"/>
      <c r="AQ79" s="184"/>
      <c r="AR79" s="184">
        <v>232</v>
      </c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276874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8.06+1</f>
        <v>9.06</v>
      </c>
      <c r="D80" s="187"/>
      <c r="E80" s="187">
        <f>12.16+1.51+1</f>
        <v>14.67</v>
      </c>
      <c r="F80" s="187"/>
      <c r="G80" s="187"/>
      <c r="H80" s="187"/>
      <c r="I80" s="187"/>
      <c r="J80" s="187">
        <v>4.58</v>
      </c>
      <c r="K80" s="187"/>
      <c r="L80" s="187"/>
      <c r="M80" s="187"/>
      <c r="N80" s="187"/>
      <c r="O80" s="187">
        <f>11.01+0.07</f>
        <v>11.08</v>
      </c>
      <c r="P80" s="187">
        <f>6.02+1.35+0.94+0.13+9.59-8</f>
        <v>10.030000000000001</v>
      </c>
      <c r="Q80" s="187">
        <f>8+0.99</f>
        <v>8.99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16.47+1.09</f>
        <v>17.559999999999999</v>
      </c>
      <c r="AH80" s="187"/>
      <c r="AI80" s="187"/>
      <c r="AJ80" s="187">
        <f>0.46+0.46+2.4+1.13+3.24+2.18+1.92</f>
        <v>11.79</v>
      </c>
      <c r="AK80" s="187"/>
      <c r="AL80" s="187"/>
      <c r="AM80" s="187"/>
      <c r="AN80" s="187"/>
      <c r="AO80" s="187"/>
      <c r="AP80" s="187"/>
      <c r="AQ80" s="187"/>
      <c r="AR80" s="187">
        <f>2.37+8.22</f>
        <v>10.59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98.35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1280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1269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1274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956</v>
      </c>
      <c r="D111" s="174">
        <v>2293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320</v>
      </c>
      <c r="D114" s="174">
        <v>529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388+39</f>
        <v>427</v>
      </c>
      <c r="C138" s="189">
        <v>227</v>
      </c>
      <c r="D138" s="174">
        <f>341-39</f>
        <v>302</v>
      </c>
      <c r="E138" s="175">
        <f>SUM(B138:D138)</f>
        <v>956</v>
      </c>
    </row>
    <row r="139" spans="1:6" ht="12.6" customHeight="1" x14ac:dyDescent="0.25">
      <c r="A139" s="173" t="s">
        <v>215</v>
      </c>
      <c r="B139" s="174">
        <v>1061</v>
      </c>
      <c r="C139" s="189">
        <v>657</v>
      </c>
      <c r="D139" s="174">
        <v>575</v>
      </c>
      <c r="E139" s="175">
        <f>SUM(B139:D139)</f>
        <v>2293</v>
      </c>
    </row>
    <row r="140" spans="1:6" ht="12.6" customHeight="1" x14ac:dyDescent="0.25">
      <c r="A140" s="173" t="s">
        <v>298</v>
      </c>
      <c r="B140" s="174">
        <f>3255+24304</f>
        <v>27559</v>
      </c>
      <c r="C140" s="174">
        <f>1817+11911</f>
        <v>13728</v>
      </c>
      <c r="D140" s="174">
        <v>30985</v>
      </c>
      <c r="E140" s="175">
        <f>SUM(B140:D140)</f>
        <v>72272</v>
      </c>
    </row>
    <row r="141" spans="1:6" ht="12.6" customHeight="1" x14ac:dyDescent="0.25">
      <c r="A141" s="173" t="s">
        <v>245</v>
      </c>
      <c r="B141" s="174">
        <v>11502914</v>
      </c>
      <c r="C141" s="189">
        <v>5034659</v>
      </c>
      <c r="D141" s="174">
        <v>5026562</v>
      </c>
      <c r="E141" s="175">
        <f>SUM(B141:D141)</f>
        <v>21564135</v>
      </c>
      <c r="F141" s="199"/>
    </row>
    <row r="142" spans="1:6" ht="12.6" customHeight="1" x14ac:dyDescent="0.25">
      <c r="A142" s="173" t="s">
        <v>246</v>
      </c>
      <c r="B142" s="174">
        <v>41699681</v>
      </c>
      <c r="C142" s="189">
        <f>15830236+2313953</f>
        <v>18144189</v>
      </c>
      <c r="D142" s="174">
        <v>58695999</v>
      </c>
      <c r="E142" s="175">
        <f>SUM(B142:D142)</f>
        <v>118539869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10363992</v>
      </c>
      <c r="C157" s="174">
        <v>8181500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2702063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32752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103701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3932506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4379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2400055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119912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67805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9363173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708915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718830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1427745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234344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223355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457699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155529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579455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734984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405804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405804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2324730</v>
      </c>
      <c r="C195" s="189"/>
      <c r="D195" s="174"/>
      <c r="E195" s="175">
        <f t="shared" ref="E195:E203" si="10">SUM(B195:C195)-D195</f>
        <v>2324730</v>
      </c>
    </row>
    <row r="196" spans="1:8" ht="12.6" customHeight="1" x14ac:dyDescent="0.25">
      <c r="A196" s="173" t="s">
        <v>333</v>
      </c>
      <c r="B196" s="174">
        <v>418230</v>
      </c>
      <c r="C196" s="189"/>
      <c r="D196" s="174"/>
      <c r="E196" s="175">
        <f t="shared" si="10"/>
        <v>418230</v>
      </c>
    </row>
    <row r="197" spans="1:8" ht="12.6" customHeight="1" x14ac:dyDescent="0.25">
      <c r="A197" s="173" t="s">
        <v>334</v>
      </c>
      <c r="B197" s="174">
        <v>38655106</v>
      </c>
      <c r="C197" s="189">
        <v>2107027</v>
      </c>
      <c r="D197" s="174"/>
      <c r="E197" s="175">
        <f t="shared" si="10"/>
        <v>40762133</v>
      </c>
    </row>
    <row r="198" spans="1:8" ht="12.6" customHeight="1" x14ac:dyDescent="0.25">
      <c r="A198" s="173" t="s">
        <v>335</v>
      </c>
      <c r="B198" s="174">
        <v>4609905</v>
      </c>
      <c r="C198" s="189"/>
      <c r="D198" s="174"/>
      <c r="E198" s="175">
        <f t="shared" si="10"/>
        <v>4609905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23966112</v>
      </c>
      <c r="C200" s="189">
        <v>6866870</v>
      </c>
      <c r="D200" s="174">
        <v>66657</v>
      </c>
      <c r="E200" s="175">
        <f t="shared" si="10"/>
        <v>30766325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4212310</v>
      </c>
      <c r="C203" s="189">
        <v>4224965</v>
      </c>
      <c r="D203" s="174">
        <v>8137795</v>
      </c>
      <c r="E203" s="175">
        <f t="shared" si="10"/>
        <v>299480</v>
      </c>
    </row>
    <row r="204" spans="1:8" ht="12.6" customHeight="1" x14ac:dyDescent="0.25">
      <c r="A204" s="173" t="s">
        <v>203</v>
      </c>
      <c r="B204" s="175">
        <f>SUM(B195:B203)</f>
        <v>74186393</v>
      </c>
      <c r="C204" s="191">
        <f>SUM(C195:C203)</f>
        <v>13198862</v>
      </c>
      <c r="D204" s="175">
        <f>SUM(D195:D203)</f>
        <v>8204452</v>
      </c>
      <c r="E204" s="175">
        <f>SUM(E195:E203)</f>
        <v>79180803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413847</v>
      </c>
      <c r="C209" s="189">
        <v>7564</v>
      </c>
      <c r="D209" s="174"/>
      <c r="E209" s="175">
        <f t="shared" ref="E209:E216" si="11">SUM(B209:C209)-D209</f>
        <v>421411</v>
      </c>
      <c r="H209" s="259"/>
    </row>
    <row r="210" spans="1:8" ht="12.6" customHeight="1" x14ac:dyDescent="0.25">
      <c r="A210" s="173" t="s">
        <v>334</v>
      </c>
      <c r="B210" s="174">
        <v>14234136</v>
      </c>
      <c r="C210" s="189">
        <v>1353068</v>
      </c>
      <c r="D210" s="174"/>
      <c r="E210" s="175">
        <f t="shared" si="11"/>
        <v>15587204</v>
      </c>
      <c r="H210" s="259"/>
    </row>
    <row r="211" spans="1:8" ht="12.6" customHeight="1" x14ac:dyDescent="0.25">
      <c r="A211" s="173" t="s">
        <v>335</v>
      </c>
      <c r="B211" s="174">
        <v>3439403</v>
      </c>
      <c r="C211" s="189">
        <v>242569</v>
      </c>
      <c r="D211" s="174"/>
      <c r="E211" s="175">
        <f t="shared" si="11"/>
        <v>3681972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19168717</v>
      </c>
      <c r="C213" s="189">
        <v>1928416</v>
      </c>
      <c r="D213" s="174">
        <v>66657</v>
      </c>
      <c r="E213" s="175">
        <f t="shared" si="11"/>
        <v>21030476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37256103</v>
      </c>
      <c r="C217" s="191">
        <f>SUM(C208:C216)</f>
        <v>3531617</v>
      </c>
      <c r="D217" s="175">
        <f>SUM(D208:D216)</f>
        <v>66657</v>
      </c>
      <c r="E217" s="175">
        <f>SUM(E208:E216)</f>
        <v>40721063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3112296</v>
      </c>
      <c r="D221" s="172">
        <f>C221</f>
        <v>3112296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23465543+808149</f>
        <v>24273692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12906689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22236066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59416447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955198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955198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763375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763375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64247316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3268227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36648852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18507689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1889004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788227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1526115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591940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945710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27150386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23320485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23320485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2324730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418230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41061613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4609905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30766325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79180803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40721064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38459739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88930610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2234706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1046722+209608+1678465</f>
        <v>2934795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322579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1708504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1587202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8787786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116205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116205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21940547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21940547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1587202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20353345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59673274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88930610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88930610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21564135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118539868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140104003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3112296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59416447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955198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763375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64247316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75856687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2897122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1481572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4378694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80235381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40233287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9363173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681817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8935181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939910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10886762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3317747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1427745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457699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734984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405804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895581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78279690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1955691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570856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2526547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2526547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Kittitas Valley Healthcare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956</v>
      </c>
      <c r="C414" s="194">
        <f>E138</f>
        <v>956</v>
      </c>
      <c r="D414" s="179"/>
    </row>
    <row r="415" spans="1:5" ht="12.6" customHeight="1" x14ac:dyDescent="0.25">
      <c r="A415" s="179" t="s">
        <v>464</v>
      </c>
      <c r="B415" s="179">
        <f>D111</f>
        <v>2293</v>
      </c>
      <c r="C415" s="179">
        <f>E139</f>
        <v>2293</v>
      </c>
      <c r="D415" s="194">
        <f>SUM(C59:H59)+N59</f>
        <v>2293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320</v>
      </c>
    </row>
    <row r="424" spans="1:7" ht="12.6" customHeight="1" x14ac:dyDescent="0.25">
      <c r="A424" s="179" t="s">
        <v>1244</v>
      </c>
      <c r="B424" s="179">
        <f>D114</f>
        <v>529</v>
      </c>
      <c r="D424" s="179">
        <f>J59</f>
        <v>529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40233287</v>
      </c>
      <c r="C427" s="179">
        <f t="shared" ref="C427:C434" si="13">CE61</f>
        <v>40233289</v>
      </c>
      <c r="D427" s="179"/>
    </row>
    <row r="428" spans="1:7" ht="12.6" customHeight="1" x14ac:dyDescent="0.25">
      <c r="A428" s="179" t="s">
        <v>3</v>
      </c>
      <c r="B428" s="179">
        <f t="shared" si="12"/>
        <v>9363173</v>
      </c>
      <c r="C428" s="179">
        <f t="shared" si="13"/>
        <v>9363173</v>
      </c>
      <c r="D428" s="179">
        <f>D173</f>
        <v>9363173</v>
      </c>
    </row>
    <row r="429" spans="1:7" ht="12.6" customHeight="1" x14ac:dyDescent="0.25">
      <c r="A429" s="179" t="s">
        <v>236</v>
      </c>
      <c r="B429" s="179">
        <f t="shared" si="12"/>
        <v>681817</v>
      </c>
      <c r="C429" s="179">
        <f t="shared" si="13"/>
        <v>681817</v>
      </c>
      <c r="D429" s="179"/>
    </row>
    <row r="430" spans="1:7" ht="12.6" customHeight="1" x14ac:dyDescent="0.25">
      <c r="A430" s="179" t="s">
        <v>237</v>
      </c>
      <c r="B430" s="179">
        <f t="shared" si="12"/>
        <v>8935181</v>
      </c>
      <c r="C430" s="179">
        <f t="shared" si="13"/>
        <v>8935180</v>
      </c>
      <c r="D430" s="179"/>
    </row>
    <row r="431" spans="1:7" ht="12.6" customHeight="1" x14ac:dyDescent="0.25">
      <c r="A431" s="179" t="s">
        <v>444</v>
      </c>
      <c r="B431" s="179">
        <f t="shared" si="12"/>
        <v>939910</v>
      </c>
      <c r="C431" s="179">
        <f t="shared" si="13"/>
        <v>939910</v>
      </c>
      <c r="D431" s="179"/>
    </row>
    <row r="432" spans="1:7" ht="12.6" customHeight="1" x14ac:dyDescent="0.25">
      <c r="A432" s="179" t="s">
        <v>445</v>
      </c>
      <c r="B432" s="179">
        <f t="shared" si="12"/>
        <v>10886762</v>
      </c>
      <c r="C432" s="179">
        <f t="shared" si="13"/>
        <v>10886762</v>
      </c>
      <c r="D432" s="179"/>
    </row>
    <row r="433" spans="1:7" ht="12.6" customHeight="1" x14ac:dyDescent="0.25">
      <c r="A433" s="179" t="s">
        <v>6</v>
      </c>
      <c r="B433" s="179">
        <f t="shared" si="12"/>
        <v>3317747</v>
      </c>
      <c r="C433" s="179">
        <f t="shared" si="13"/>
        <v>3317745</v>
      </c>
      <c r="D433" s="179">
        <f>C217</f>
        <v>3531617</v>
      </c>
    </row>
    <row r="434" spans="1:7" ht="12.6" customHeight="1" x14ac:dyDescent="0.25">
      <c r="A434" s="179" t="s">
        <v>474</v>
      </c>
      <c r="B434" s="179">
        <f t="shared" si="12"/>
        <v>1427745</v>
      </c>
      <c r="C434" s="179">
        <f t="shared" si="13"/>
        <v>1427745.22</v>
      </c>
      <c r="D434" s="179">
        <f>D177</f>
        <v>1427745</v>
      </c>
    </row>
    <row r="435" spans="1:7" ht="12.6" customHeight="1" x14ac:dyDescent="0.25">
      <c r="A435" s="179" t="s">
        <v>447</v>
      </c>
      <c r="B435" s="179">
        <f t="shared" si="12"/>
        <v>457699</v>
      </c>
      <c r="C435" s="179"/>
      <c r="D435" s="179">
        <f>D181</f>
        <v>457699</v>
      </c>
    </row>
    <row r="436" spans="1:7" ht="12.6" customHeight="1" x14ac:dyDescent="0.25">
      <c r="A436" s="179" t="s">
        <v>475</v>
      </c>
      <c r="B436" s="179">
        <f t="shared" si="12"/>
        <v>734984</v>
      </c>
      <c r="C436" s="179"/>
      <c r="D436" s="179">
        <f>D186</f>
        <v>734984</v>
      </c>
    </row>
    <row r="437" spans="1:7" ht="12.6" customHeight="1" x14ac:dyDescent="0.25">
      <c r="A437" s="194" t="s">
        <v>449</v>
      </c>
      <c r="B437" s="194">
        <f t="shared" si="12"/>
        <v>405804</v>
      </c>
      <c r="C437" s="194"/>
      <c r="D437" s="194">
        <f>D190</f>
        <v>405804</v>
      </c>
    </row>
    <row r="438" spans="1:7" ht="12.6" customHeight="1" x14ac:dyDescent="0.25">
      <c r="A438" s="194" t="s">
        <v>476</v>
      </c>
      <c r="B438" s="194">
        <f>C386+C387+C388</f>
        <v>1598487</v>
      </c>
      <c r="C438" s="194">
        <f>CD69</f>
        <v>0</v>
      </c>
      <c r="D438" s="194">
        <f>D181+D186+D190</f>
        <v>1598487</v>
      </c>
    </row>
    <row r="439" spans="1:7" ht="12.6" customHeight="1" x14ac:dyDescent="0.25">
      <c r="A439" s="179" t="s">
        <v>451</v>
      </c>
      <c r="B439" s="194">
        <f>C389</f>
        <v>895581</v>
      </c>
      <c r="C439" s="194">
        <f>SUM(C69:CC69)</f>
        <v>895580</v>
      </c>
      <c r="D439" s="179"/>
    </row>
    <row r="440" spans="1:7" ht="12.6" customHeight="1" x14ac:dyDescent="0.25">
      <c r="A440" s="179" t="s">
        <v>477</v>
      </c>
      <c r="B440" s="194">
        <f>B438+B439</f>
        <v>2494068</v>
      </c>
      <c r="C440" s="194">
        <f>CE69</f>
        <v>895580</v>
      </c>
      <c r="D440" s="179"/>
    </row>
    <row r="441" spans="1:7" ht="12.6" customHeight="1" x14ac:dyDescent="0.25">
      <c r="A441" s="179" t="s">
        <v>478</v>
      </c>
      <c r="B441" s="179">
        <f>D390</f>
        <v>78279690</v>
      </c>
      <c r="C441" s="179">
        <f>SUM(C427:C437)+C440</f>
        <v>76681201.219999999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3112296</v>
      </c>
      <c r="C444" s="179">
        <f>C363</f>
        <v>3112296</v>
      </c>
      <c r="D444" s="179"/>
    </row>
    <row r="445" spans="1:7" ht="12.6" customHeight="1" x14ac:dyDescent="0.25">
      <c r="A445" s="179" t="s">
        <v>343</v>
      </c>
      <c r="B445" s="179">
        <f>D229</f>
        <v>59416447</v>
      </c>
      <c r="C445" s="179">
        <f>C364</f>
        <v>59416447</v>
      </c>
      <c r="D445" s="179"/>
    </row>
    <row r="446" spans="1:7" ht="12.6" customHeight="1" x14ac:dyDescent="0.25">
      <c r="A446" s="179" t="s">
        <v>351</v>
      </c>
      <c r="B446" s="179">
        <f>D236</f>
        <v>955198</v>
      </c>
      <c r="C446" s="179">
        <f>C365</f>
        <v>955198</v>
      </c>
      <c r="D446" s="179"/>
    </row>
    <row r="447" spans="1:7" ht="12.6" customHeight="1" x14ac:dyDescent="0.25">
      <c r="A447" s="179" t="s">
        <v>356</v>
      </c>
      <c r="B447" s="179">
        <f>D240</f>
        <v>763375</v>
      </c>
      <c r="C447" s="179">
        <f>C366</f>
        <v>763375</v>
      </c>
      <c r="D447" s="179"/>
    </row>
    <row r="448" spans="1:7" ht="12.6" customHeight="1" x14ac:dyDescent="0.25">
      <c r="A448" s="179" t="s">
        <v>358</v>
      </c>
      <c r="B448" s="179">
        <f>D242</f>
        <v>64247316</v>
      </c>
      <c r="C448" s="179">
        <f>D367</f>
        <v>64247316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955198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2897122</v>
      </c>
      <c r="C458" s="194">
        <f>CE70</f>
        <v>2897122</v>
      </c>
      <c r="D458" s="194"/>
    </row>
    <row r="459" spans="1:7" ht="12.6" customHeight="1" x14ac:dyDescent="0.25">
      <c r="A459" s="179" t="s">
        <v>244</v>
      </c>
      <c r="B459" s="194">
        <f>C371</f>
        <v>1481572</v>
      </c>
      <c r="C459" s="194">
        <f>CE72</f>
        <v>1481572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21564135</v>
      </c>
      <c r="C463" s="194">
        <f>CE73</f>
        <v>21354997</v>
      </c>
      <c r="D463" s="194">
        <f>E141+E147+E153</f>
        <v>21564135</v>
      </c>
    </row>
    <row r="464" spans="1:7" ht="12.6" customHeight="1" x14ac:dyDescent="0.25">
      <c r="A464" s="179" t="s">
        <v>246</v>
      </c>
      <c r="B464" s="194">
        <f>C360</f>
        <v>118539868</v>
      </c>
      <c r="C464" s="194">
        <f>CE74</f>
        <v>118749006</v>
      </c>
      <c r="D464" s="194">
        <f>E142+E148+E154</f>
        <v>118539869</v>
      </c>
    </row>
    <row r="465" spans="1:7" ht="12.6" customHeight="1" x14ac:dyDescent="0.25">
      <c r="A465" s="179" t="s">
        <v>247</v>
      </c>
      <c r="B465" s="194">
        <f>D361</f>
        <v>140104003</v>
      </c>
      <c r="C465" s="194">
        <f>CE75</f>
        <v>140104003</v>
      </c>
      <c r="D465" s="194">
        <f>D463+D464</f>
        <v>140104004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2324730</v>
      </c>
      <c r="C468" s="179">
        <f>E195</f>
        <v>2324730</v>
      </c>
      <c r="D468" s="179"/>
    </row>
    <row r="469" spans="1:7" ht="12.6" customHeight="1" x14ac:dyDescent="0.25">
      <c r="A469" s="179" t="s">
        <v>333</v>
      </c>
      <c r="B469" s="179">
        <f t="shared" si="14"/>
        <v>418230</v>
      </c>
      <c r="C469" s="179">
        <f>E196</f>
        <v>418230</v>
      </c>
      <c r="D469" s="179"/>
    </row>
    <row r="470" spans="1:7" ht="12.6" customHeight="1" x14ac:dyDescent="0.25">
      <c r="A470" s="179" t="s">
        <v>334</v>
      </c>
      <c r="B470" s="179">
        <f t="shared" si="14"/>
        <v>41061613</v>
      </c>
      <c r="C470" s="179">
        <f>E197</f>
        <v>40762133</v>
      </c>
      <c r="D470" s="179"/>
    </row>
    <row r="471" spans="1:7" ht="12.6" customHeight="1" x14ac:dyDescent="0.25">
      <c r="A471" s="179" t="s">
        <v>494</v>
      </c>
      <c r="B471" s="179">
        <f t="shared" si="14"/>
        <v>4609905</v>
      </c>
      <c r="C471" s="179">
        <f>E198</f>
        <v>4609905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30766325</v>
      </c>
      <c r="C473" s="179">
        <f>SUM(E200:E201)</f>
        <v>30766325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299480</v>
      </c>
      <c r="D475" s="179"/>
    </row>
    <row r="476" spans="1:7" ht="12.6" customHeight="1" x14ac:dyDescent="0.25">
      <c r="A476" s="179" t="s">
        <v>203</v>
      </c>
      <c r="B476" s="179">
        <f>D275</f>
        <v>79180803</v>
      </c>
      <c r="C476" s="179">
        <f>E204</f>
        <v>79180803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40721064</v>
      </c>
      <c r="C478" s="179">
        <f>E217</f>
        <v>40721063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88930610</v>
      </c>
    </row>
    <row r="482" spans="1:12" ht="12.6" customHeight="1" x14ac:dyDescent="0.25">
      <c r="A482" s="180" t="s">
        <v>499</v>
      </c>
      <c r="C482" s="180">
        <f>D339</f>
        <v>88930610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140</v>
      </c>
      <c r="B493" s="261" t="s">
        <v>1281</v>
      </c>
      <c r="C493" s="261" t="str">
        <f>RIGHT(C82,4)</f>
        <v>2018</v>
      </c>
      <c r="D493" s="261" t="s">
        <v>1281</v>
      </c>
      <c r="E493" s="261" t="str">
        <f>RIGHT(C82,4)</f>
        <v>2018</v>
      </c>
      <c r="F493" s="261" t="s">
        <v>1281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1384703</v>
      </c>
      <c r="C496" s="240">
        <f>C71</f>
        <v>1471655</v>
      </c>
      <c r="D496" s="240">
        <v>235</v>
      </c>
      <c r="E496" s="180">
        <f>C59</f>
        <v>244</v>
      </c>
      <c r="F496" s="263">
        <f t="shared" ref="F496:G511" si="15">IF(B496=0,"",IF(D496=0,"",B496/D496))</f>
        <v>5892.353191489362</v>
      </c>
      <c r="G496" s="264">
        <f t="shared" si="15"/>
        <v>6031.372950819672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2949565</v>
      </c>
      <c r="C498" s="240">
        <f>E71</f>
        <v>3361444</v>
      </c>
      <c r="D498" s="240">
        <v>2066</v>
      </c>
      <c r="E498" s="180">
        <f>E59</f>
        <v>2049</v>
      </c>
      <c r="F498" s="263">
        <f t="shared" si="15"/>
        <v>1427.6694094869313</v>
      </c>
      <c r="G498" s="263">
        <f t="shared" si="15"/>
        <v>1640.5290385553928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598475</v>
      </c>
      <c r="C503" s="240">
        <f>J71</f>
        <v>284746</v>
      </c>
      <c r="D503" s="240">
        <v>519</v>
      </c>
      <c r="E503" s="180">
        <f>J59</f>
        <v>529</v>
      </c>
      <c r="F503" s="263">
        <f t="shared" si="15"/>
        <v>1153.131021194605</v>
      </c>
      <c r="G503" s="263">
        <f t="shared" si="15"/>
        <v>538.27221172022689</v>
      </c>
      <c r="H503" s="265">
        <f t="shared" si="16"/>
        <v>-0.53320810746848613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59958</v>
      </c>
      <c r="C505" s="240">
        <f>L71</f>
        <v>0</v>
      </c>
      <c r="D505" s="240">
        <v>42</v>
      </c>
      <c r="E505" s="180">
        <f>L59</f>
        <v>0</v>
      </c>
      <c r="F505" s="263">
        <f t="shared" si="15"/>
        <v>1427.5714285714287</v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1148767</v>
      </c>
      <c r="C508" s="240">
        <f>O71</f>
        <v>845670</v>
      </c>
      <c r="D508" s="240">
        <v>322</v>
      </c>
      <c r="E508" s="180">
        <f>O59</f>
        <v>320</v>
      </c>
      <c r="F508" s="263">
        <f t="shared" si="15"/>
        <v>3567.5993788819874</v>
      </c>
      <c r="G508" s="263">
        <f t="shared" si="15"/>
        <v>2642.71875</v>
      </c>
      <c r="H508" s="265">
        <f t="shared" si="16"/>
        <v>-0.25924453131052683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2606137</v>
      </c>
      <c r="C509" s="240">
        <f>P71</f>
        <v>6179120</v>
      </c>
      <c r="D509" s="240">
        <v>113163</v>
      </c>
      <c r="E509" s="180">
        <f>P59</f>
        <v>116248</v>
      </c>
      <c r="F509" s="263">
        <f t="shared" si="15"/>
        <v>23.029939114374841</v>
      </c>
      <c r="G509" s="263">
        <f t="shared" si="15"/>
        <v>53.154634918450213</v>
      </c>
      <c r="H509" s="265">
        <f t="shared" si="16"/>
        <v>1.3080666715819551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1564420</v>
      </c>
      <c r="C510" s="240">
        <f>Q71</f>
        <v>378832</v>
      </c>
      <c r="D510" s="240">
        <v>174344</v>
      </c>
      <c r="E510" s="180">
        <f>Q59</f>
        <v>0</v>
      </c>
      <c r="F510" s="263">
        <f t="shared" si="15"/>
        <v>8.9731794612949116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2200151</v>
      </c>
      <c r="C512" s="240">
        <f>S71</f>
        <v>643934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3274696</v>
      </c>
      <c r="C514" s="240">
        <f>U71</f>
        <v>3171928</v>
      </c>
      <c r="D514" s="240">
        <v>476629</v>
      </c>
      <c r="E514" s="180">
        <f>U59</f>
        <v>207040</v>
      </c>
      <c r="F514" s="263">
        <f t="shared" si="17"/>
        <v>6.8705345247561525</v>
      </c>
      <c r="G514" s="263">
        <f t="shared" si="17"/>
        <v>15.320363214837712</v>
      </c>
      <c r="H514" s="265">
        <f t="shared" si="16"/>
        <v>1.2298648175967735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95258</v>
      </c>
      <c r="C515" s="240">
        <f>V71</f>
        <v>146831</v>
      </c>
      <c r="D515" s="240">
        <v>5006</v>
      </c>
      <c r="E515" s="180">
        <f>V59</f>
        <v>0</v>
      </c>
      <c r="F515" s="263">
        <f t="shared" si="17"/>
        <v>19.028765481422294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876576</v>
      </c>
      <c r="C516" s="240">
        <f>W71</f>
        <v>907840</v>
      </c>
      <c r="D516" s="240">
        <v>8696</v>
      </c>
      <c r="E516" s="180">
        <f>W59</f>
        <v>1618</v>
      </c>
      <c r="F516" s="263">
        <f t="shared" si="17"/>
        <v>100.80220791168354</v>
      </c>
      <c r="G516" s="263">
        <f t="shared" si="17"/>
        <v>561.0877626699629</v>
      </c>
      <c r="H516" s="265">
        <f t="shared" si="16"/>
        <v>4.566224929929632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884438</v>
      </c>
      <c r="C517" s="240">
        <f>X71</f>
        <v>807623.52</v>
      </c>
      <c r="D517" s="240">
        <v>159081</v>
      </c>
      <c r="E517" s="180">
        <f>X59</f>
        <v>5019</v>
      </c>
      <c r="F517" s="263">
        <f t="shared" si="17"/>
        <v>5.5596708594992492</v>
      </c>
      <c r="G517" s="263">
        <f t="shared" si="17"/>
        <v>160.9132337118948</v>
      </c>
      <c r="H517" s="265">
        <f t="shared" si="16"/>
        <v>27.942942447205951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1191792</v>
      </c>
      <c r="C518" s="240">
        <f>Y71</f>
        <v>1423072.7</v>
      </c>
      <c r="D518" s="240">
        <v>146121</v>
      </c>
      <c r="E518" s="180">
        <f>Y59</f>
        <v>22837</v>
      </c>
      <c r="F518" s="263">
        <f t="shared" si="17"/>
        <v>8.156199314266944</v>
      </c>
      <c r="G518" s="263">
        <f t="shared" si="17"/>
        <v>62.314345141656084</v>
      </c>
      <c r="H518" s="265">
        <f t="shared" si="16"/>
        <v>6.6401204458864695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4328798</v>
      </c>
      <c r="C521" s="240">
        <f>AB71</f>
        <v>4187217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552595</v>
      </c>
      <c r="C522" s="240">
        <f>AC71</f>
        <v>407090</v>
      </c>
      <c r="D522" s="240">
        <v>504660</v>
      </c>
      <c r="E522" s="180">
        <f>AC59</f>
        <v>73720</v>
      </c>
      <c r="F522" s="263">
        <f t="shared" si="17"/>
        <v>1.0949847422026711</v>
      </c>
      <c r="G522" s="263">
        <f t="shared" si="17"/>
        <v>5.5221106890938687</v>
      </c>
      <c r="H522" s="265">
        <f t="shared" si="16"/>
        <v>4.0430937311378345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1783592</v>
      </c>
      <c r="C524" s="240">
        <f>AE71</f>
        <v>1755232</v>
      </c>
      <c r="D524" s="240">
        <v>34172</v>
      </c>
      <c r="E524" s="180">
        <f>AE59</f>
        <v>5989</v>
      </c>
      <c r="F524" s="263">
        <f t="shared" si="17"/>
        <v>52.194545241718366</v>
      </c>
      <c r="G524" s="263">
        <f t="shared" si="17"/>
        <v>293.0759726164635</v>
      </c>
      <c r="H524" s="265">
        <f t="shared" si="16"/>
        <v>4.6150689934972746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5661720</v>
      </c>
      <c r="C526" s="240">
        <f>AG71</f>
        <v>5787128</v>
      </c>
      <c r="D526" s="240">
        <v>13162</v>
      </c>
      <c r="E526" s="180">
        <f>AG59</f>
        <v>13751</v>
      </c>
      <c r="F526" s="263">
        <f t="shared" si="17"/>
        <v>430.15651116851541</v>
      </c>
      <c r="G526" s="263">
        <f t="shared" si="17"/>
        <v>420.85142898698274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15686477</v>
      </c>
      <c r="C529" s="240">
        <f>AJ71</f>
        <v>20020514</v>
      </c>
      <c r="D529" s="240">
        <v>66741</v>
      </c>
      <c r="E529" s="180">
        <f>AJ59</f>
        <v>58500</v>
      </c>
      <c r="F529" s="263">
        <f t="shared" si="18"/>
        <v>235.03509087367584</v>
      </c>
      <c r="G529" s="263">
        <f t="shared" si="18"/>
        <v>342.23100854700857</v>
      </c>
      <c r="H529" s="265">
        <f t="shared" si="16"/>
        <v>0.45608473728268617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128296</v>
      </c>
      <c r="C530" s="240">
        <f>AK71</f>
        <v>251799</v>
      </c>
      <c r="D530" s="240">
        <v>2349</v>
      </c>
      <c r="E530" s="180">
        <f>AK59</f>
        <v>1954</v>
      </c>
      <c r="F530" s="263">
        <f t="shared" si="18"/>
        <v>54.617283950617285</v>
      </c>
      <c r="G530" s="263">
        <f t="shared" si="18"/>
        <v>128.86335721596726</v>
      </c>
      <c r="H530" s="265">
        <f t="shared" si="16"/>
        <v>1.3593878694605217</v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137444</v>
      </c>
      <c r="C531" s="240">
        <f>AL71</f>
        <v>157334</v>
      </c>
      <c r="D531" s="240">
        <v>3617</v>
      </c>
      <c r="E531" s="180">
        <f>AL59</f>
        <v>1267</v>
      </c>
      <c r="F531" s="263">
        <f t="shared" si="18"/>
        <v>37.999447055570919</v>
      </c>
      <c r="G531" s="263">
        <f t="shared" si="18"/>
        <v>124.17837411207577</v>
      </c>
      <c r="H531" s="265">
        <f t="shared" si="16"/>
        <v>2.2678995020763222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1253509</v>
      </c>
      <c r="C534" s="240">
        <f>AO71</f>
        <v>0</v>
      </c>
      <c r="D534" s="240">
        <v>21072</v>
      </c>
      <c r="E534" s="180">
        <f>AO59</f>
        <v>0</v>
      </c>
      <c r="F534" s="263">
        <f t="shared" si="18"/>
        <v>59.48694950645406</v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2805762</v>
      </c>
      <c r="C537" s="240">
        <f>AR71</f>
        <v>3085164</v>
      </c>
      <c r="D537" s="240">
        <v>18267</v>
      </c>
      <c r="E537" s="180">
        <f>AR59</f>
        <v>18957</v>
      </c>
      <c r="F537" s="263">
        <f t="shared" si="18"/>
        <v>153.59730661849235</v>
      </c>
      <c r="G537" s="263">
        <f t="shared" si="18"/>
        <v>162.74537110302262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1072237</v>
      </c>
      <c r="C544" s="240">
        <f>AY71</f>
        <v>1219699</v>
      </c>
      <c r="D544" s="240">
        <v>10656</v>
      </c>
      <c r="E544" s="180">
        <f>AY59</f>
        <v>10307</v>
      </c>
      <c r="F544" s="263">
        <f t="shared" ref="F544:G550" si="19">IF(B544=0,"",IF(D544=0,"",B544/D544))</f>
        <v>100.62284159159159</v>
      </c>
      <c r="G544" s="263">
        <f t="shared" si="19"/>
        <v>118.33695546715825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213119</v>
      </c>
      <c r="C546" s="240">
        <f>BA71</f>
        <v>179972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166662</v>
      </c>
      <c r="C547" s="240">
        <f>BB71</f>
        <v>177298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812644</v>
      </c>
      <c r="C549" s="240">
        <f>BD71</f>
        <v>503420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2084800</v>
      </c>
      <c r="C550" s="240">
        <f>BE71</f>
        <v>2071022</v>
      </c>
      <c r="D550" s="240">
        <v>109333</v>
      </c>
      <c r="E550" s="180">
        <f>BE59</f>
        <v>106691</v>
      </c>
      <c r="F550" s="263">
        <f t="shared" si="19"/>
        <v>19.06835081814274</v>
      </c>
      <c r="G550" s="263">
        <f t="shared" si="19"/>
        <v>19.411403023685221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1023630</v>
      </c>
      <c r="C551" s="240">
        <f>BF71</f>
        <v>1010414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2098024</v>
      </c>
      <c r="C553" s="240">
        <f>BH71</f>
        <v>3670395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926025</v>
      </c>
      <c r="C555" s="240">
        <f>BJ71</f>
        <v>874373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2296971</v>
      </c>
      <c r="C556" s="240">
        <f>BK71</f>
        <v>3074183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1703654</v>
      </c>
      <c r="C559" s="240">
        <f>BN71</f>
        <v>2021215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165621</v>
      </c>
      <c r="C560" s="240">
        <f>BO71</f>
        <v>83526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433301</v>
      </c>
      <c r="C561" s="240">
        <f>BP71</f>
        <v>479760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765526</v>
      </c>
      <c r="C563" s="240">
        <f>BR71</f>
        <v>763301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82099</v>
      </c>
      <c r="C564" s="240">
        <f>BS71</f>
        <v>104025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87079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917828</v>
      </c>
      <c r="C567" s="240">
        <f>BV71</f>
        <v>2073121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483131</v>
      </c>
      <c r="C568" s="240">
        <f>BW71</f>
        <v>630205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902151</v>
      </c>
      <c r="C569" s="240">
        <f>BX71</f>
        <v>880507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1120452</v>
      </c>
      <c r="C570" s="240">
        <f>BY71</f>
        <v>1590591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291048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41232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240211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1070859</v>
      </c>
      <c r="C575" s="240">
        <f>CD71</f>
        <v>-2897122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100605</v>
      </c>
      <c r="E612" s="180">
        <f>SUM(C624:D647)+SUM(C668:D713)</f>
        <v>70438669.698206842</v>
      </c>
      <c r="F612" s="180">
        <f>CE64-(AX64+BD64+BE64+BG64+BJ64+BN64+BP64+BQ64+CB64+CC64+CD64)</f>
        <v>8874642</v>
      </c>
      <c r="G612" s="180">
        <f>CE77-(AX77+AY77+BD77+BE77+BG77+BJ77+BN77+BP77+BQ77+CB77+CC77+CD77)</f>
        <v>10307</v>
      </c>
      <c r="H612" s="197">
        <f>CE60-(AX60+AY60+AZ60+BD60+BE60+BG60+BJ60+BN60+BO60+BP60+BQ60+BR60+CB60+CC60+CD60)</f>
        <v>425.60000000000008</v>
      </c>
      <c r="I612" s="180">
        <f>CE78-(AX78+AY78+AZ78+BD78+BE78+BF78+BG78+BJ78+BN78+BO78+BP78+BQ78+BR78+CB78+CC78+CD78)</f>
        <v>30089</v>
      </c>
      <c r="J612" s="180">
        <f>CE79-(AX79+AY79+AZ79+BA79+BD79+BE79+BF79+BG79+BJ79+BN79+BO79+BP79+BQ79+BR79+CB79+CC79+CD79)</f>
        <v>276874</v>
      </c>
      <c r="K612" s="180">
        <f>CE75-(AW75+AX75+AY75+AZ75+BA75+BB75+BC75+BD75+BE75+BF75+BG75+BH75+BI75+BJ75+BK75+BL75+BM75+BN75+BO75+BP75+BQ75+BR75+BS75+BT75+BU75+BV75+BW75+BX75+CB75+CC75+CD75)</f>
        <v>140104003</v>
      </c>
      <c r="L612" s="197">
        <f>CE80-(AW80+AX80+AY80+AZ80+BA80+BB80+BC80+BD80+BE80+BF80+BG80+BH80+BI80+BJ80+BK80+BL80+BM80+BN80+BO80+BP80+BQ80+BR80+BS80+BT80+BU80+BV80+BW80+BX80+BY80+BZ80+CA80+CB80+CC80+CD80)</f>
        <v>98.35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2071022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-2897122</v>
      </c>
      <c r="D615" s="266">
        <f>SUM(C614:C615)</f>
        <v>-826100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874373</v>
      </c>
      <c r="D617" s="180">
        <f>(D615/D612)*BJ76</f>
        <v>-3966.0682868644694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2021215</v>
      </c>
      <c r="D619" s="180">
        <f>(D615/D612)*BN76</f>
        <v>-25134.855126484767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479760</v>
      </c>
      <c r="D621" s="180">
        <f>(D615/D612)*BP76</f>
        <v>-837.55479349932898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3345409.5217931513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503420</v>
      </c>
      <c r="D624" s="180">
        <f>(D615/D612)*BD76</f>
        <v>-13187.382336861983</v>
      </c>
      <c r="E624" s="180">
        <f>(E623/E612)*SUM(C624:D624)</f>
        <v>23283.075532949671</v>
      </c>
      <c r="F624" s="180">
        <f>SUM(C624:E624)</f>
        <v>513515.69319608767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1219699</v>
      </c>
      <c r="D625" s="180">
        <f>(D615/D612)*AY76</f>
        <v>-33050.569057203917</v>
      </c>
      <c r="E625" s="180">
        <f>(E623/E612)*SUM(C625:D625)</f>
        <v>56358.602127291349</v>
      </c>
      <c r="F625" s="180">
        <f>(F624/F612)*AY64</f>
        <v>18262.91698503845</v>
      </c>
      <c r="G625" s="180">
        <f>SUM(C625:F625)</f>
        <v>1261269.9500551259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763301</v>
      </c>
      <c r="D626" s="180">
        <f>(D615/D612)*BR76</f>
        <v>-4581.9173997316229</v>
      </c>
      <c r="E626" s="180">
        <f>(E623/E612)*SUM(C626:D626)</f>
        <v>36034.553948450251</v>
      </c>
      <c r="F626" s="180">
        <f>(F624/F612)*BR64</f>
        <v>1067.2299170274857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83526</v>
      </c>
      <c r="D627" s="180">
        <f>(D615/D612)*BO76</f>
        <v>-862.18875801401509</v>
      </c>
      <c r="E627" s="180">
        <f>(E623/E612)*SUM(C627:D627)</f>
        <v>3926.0295860427304</v>
      </c>
      <c r="F627" s="180">
        <f>(F624/F612)*BO64</f>
        <v>107.3942054870426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882518.10149926203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1010414</v>
      </c>
      <c r="D629" s="180">
        <f>(D615/D612)*BF76</f>
        <v>-1609.4190149594949</v>
      </c>
      <c r="E629" s="180">
        <f>(E623/E612)*SUM(C629:D629)</f>
        <v>47912.098075040994</v>
      </c>
      <c r="F629" s="180">
        <f>(F624/F612)*BF64</f>
        <v>10453.344604777569</v>
      </c>
      <c r="G629" s="180">
        <f>(G625/G612)*BF77</f>
        <v>0</v>
      </c>
      <c r="H629" s="180">
        <f>(H628/H612)*BF60</f>
        <v>37117.185189936063</v>
      </c>
      <c r="I629" s="180">
        <f>SUM(C629:H629)</f>
        <v>1104287.2088547952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179972</v>
      </c>
      <c r="D630" s="180">
        <f>(D615/D612)*BA76</f>
        <v>-7012.4685651806567</v>
      </c>
      <c r="E630" s="180">
        <f>(E623/E612)*SUM(C630:D630)</f>
        <v>8214.5285512349255</v>
      </c>
      <c r="F630" s="180">
        <f>(F624/F612)*BA64</f>
        <v>1520.7042642268138</v>
      </c>
      <c r="G630" s="180">
        <f>(G625/G612)*BA77</f>
        <v>0</v>
      </c>
      <c r="H630" s="180">
        <f>(H628/H612)*BA60</f>
        <v>6013.3987179226024</v>
      </c>
      <c r="I630" s="180">
        <f>(I629/I612)*BA78</f>
        <v>11450.616808890161</v>
      </c>
      <c r="J630" s="180">
        <f>SUM(C630:I630)</f>
        <v>200158.77977709382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177298</v>
      </c>
      <c r="D632" s="180">
        <f>(D615/D612)*BB76</f>
        <v>-1773.6454450574026</v>
      </c>
      <c r="E632" s="180">
        <f>(E623/E612)*SUM(C632:D632)</f>
        <v>8336.3420909360302</v>
      </c>
      <c r="F632" s="180">
        <f>(F624/F612)*BB64</f>
        <v>7.7536764737412218</v>
      </c>
      <c r="G632" s="180">
        <f>(G625/G612)*BB77</f>
        <v>0</v>
      </c>
      <c r="H632" s="180">
        <f>(H628/H612)*BB60</f>
        <v>3525.0958001615254</v>
      </c>
      <c r="I632" s="180">
        <f>(I629/I612)*BB78</f>
        <v>2899.3548971228292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3074183</v>
      </c>
      <c r="D635" s="180">
        <f>(D615/D612)*BK76</f>
        <v>-13992.091844341732</v>
      </c>
      <c r="E635" s="180">
        <f>(E623/E612)*SUM(C635:D635)</f>
        <v>145340.50467607551</v>
      </c>
      <c r="F635" s="180">
        <f>(F624/F612)*BK64</f>
        <v>3033.94416826622</v>
      </c>
      <c r="G635" s="180">
        <f>(G625/G612)*BK77</f>
        <v>0</v>
      </c>
      <c r="H635" s="180">
        <f>(H628/H612)*BK60</f>
        <v>55572.098496664039</v>
      </c>
      <c r="I635" s="180">
        <f>(I629/I612)*BK78</f>
        <v>97587.147739868393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3670395</v>
      </c>
      <c r="D636" s="180">
        <f>(D615/D612)*BH76</f>
        <v>-7751.4875006212405</v>
      </c>
      <c r="E636" s="180">
        <f>(E623/E612)*SUM(C636:D636)</f>
        <v>173953.34883732564</v>
      </c>
      <c r="F636" s="180">
        <f>(F624/F612)*BH64</f>
        <v>15228.972816772228</v>
      </c>
      <c r="G636" s="180">
        <f>(G625/G612)*BH77</f>
        <v>0</v>
      </c>
      <c r="H636" s="180">
        <f>(H628/H612)*BH60</f>
        <v>32970.013660334269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104025</v>
      </c>
      <c r="D639" s="180">
        <f>(D615/D612)*BS76</f>
        <v>-2652.2568460812086</v>
      </c>
      <c r="E639" s="180">
        <f>(E623/E612)*SUM(C639:D639)</f>
        <v>4814.5903613799328</v>
      </c>
      <c r="F639" s="180">
        <f>(F624/F612)*BS64</f>
        <v>311.30432409498337</v>
      </c>
      <c r="G639" s="180">
        <f>(G625/G612)*BS77</f>
        <v>0</v>
      </c>
      <c r="H639" s="180">
        <f>(H628/H612)*BS60</f>
        <v>2073.5857648008973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2073121</v>
      </c>
      <c r="D642" s="180">
        <f>(D615/D612)*BV76</f>
        <v>0</v>
      </c>
      <c r="E642" s="180">
        <f>(E623/E612)*SUM(C642:D642)</f>
        <v>98460.671715466757</v>
      </c>
      <c r="F642" s="180">
        <f>(F624/F612)*BV64</f>
        <v>355.45398938949501</v>
      </c>
      <c r="G642" s="180">
        <f>(G625/G612)*BV77</f>
        <v>0</v>
      </c>
      <c r="H642" s="180">
        <f>(H628/H612)*BV60</f>
        <v>22809.443412809869</v>
      </c>
      <c r="I642" s="180">
        <f>(I629/I612)*BV78</f>
        <v>23892.152380088126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630205</v>
      </c>
      <c r="D643" s="180">
        <f>(D615/D612)*BW76</f>
        <v>0</v>
      </c>
      <c r="E643" s="180">
        <f>(E623/E612)*SUM(C643:D643)</f>
        <v>29930.914605778304</v>
      </c>
      <c r="F643" s="180">
        <f>(F624/F612)*BW64</f>
        <v>229.60140483436695</v>
      </c>
      <c r="G643" s="180">
        <f>(G625/G612)*BW77</f>
        <v>0</v>
      </c>
      <c r="H643" s="180">
        <f>(H628/H612)*BW60</f>
        <v>7464.9087532832309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880507</v>
      </c>
      <c r="D644" s="180">
        <f>(D615/D612)*BX76</f>
        <v>0</v>
      </c>
      <c r="E644" s="180">
        <f>(E623/E612)*SUM(C644:D644)</f>
        <v>41818.741245769292</v>
      </c>
      <c r="F644" s="180">
        <f>(F624/F612)*BX64</f>
        <v>398.27279976687186</v>
      </c>
      <c r="G644" s="180">
        <f>(G625/G612)*BX77</f>
        <v>0</v>
      </c>
      <c r="H644" s="180">
        <f>(H628/H612)*BX60</f>
        <v>14722.45893008637</v>
      </c>
      <c r="I644" s="180">
        <f>(I629/I612)*BX78</f>
        <v>0</v>
      </c>
      <c r="J644" s="180">
        <f>(J630/J612)*BX79</f>
        <v>0</v>
      </c>
      <c r="K644" s="180">
        <f>SUM(C631:J644)</f>
        <v>11369301.194911448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1590591</v>
      </c>
      <c r="D645" s="180">
        <f>(D615/D612)*BY76</f>
        <v>0</v>
      </c>
      <c r="E645" s="180">
        <f>(E623/E612)*SUM(C645:D645)</f>
        <v>75543.423796573363</v>
      </c>
      <c r="F645" s="180">
        <f>(F624/F612)*BY64</f>
        <v>618.90539972489637</v>
      </c>
      <c r="G645" s="180">
        <f>(G625/G612)*BY77</f>
        <v>0</v>
      </c>
      <c r="H645" s="180">
        <f>(H628/H612)*BY60</f>
        <v>21357.933377449244</v>
      </c>
      <c r="I645" s="180">
        <f>(I629/I612)*BY78</f>
        <v>6349.2202177499939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1694460.4827914974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18509905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1471655</v>
      </c>
      <c r="D668" s="180">
        <f>(D615/D612)*C76</f>
        <v>-23788.198399681922</v>
      </c>
      <c r="E668" s="180">
        <f>(E623/E612)*SUM(C668:D668)</f>
        <v>68764.890153585715</v>
      </c>
      <c r="F668" s="180">
        <f>(F624/F612)*C64</f>
        <v>2269.5126765155092</v>
      </c>
      <c r="G668" s="180">
        <f>(G625/G612)*C77</f>
        <v>165199.8091175337</v>
      </c>
      <c r="H668" s="180">
        <f>(H628/H612)*C60</f>
        <v>25505.104907051038</v>
      </c>
      <c r="I668" s="180">
        <f>(I629/I612)*C78</f>
        <v>38792.63450960545</v>
      </c>
      <c r="J668" s="180">
        <f>(J630/J612)*C79</f>
        <v>9420.4188882860435</v>
      </c>
      <c r="K668" s="180">
        <f>(K644/K612)*C75</f>
        <v>103053.96850766549</v>
      </c>
      <c r="L668" s="180">
        <f>(L647/L612)*C80</f>
        <v>156093.66521699002</v>
      </c>
      <c r="M668" s="180">
        <f t="shared" ref="M668:M713" si="20">ROUND(SUM(D668:L668),0)</f>
        <v>545312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3361444</v>
      </c>
      <c r="D670" s="180">
        <f>(D615/D612)*E76</f>
        <v>-102846.80184881466</v>
      </c>
      <c r="E670" s="180">
        <f>(E623/E612)*SUM(C670:D670)</f>
        <v>154763.59989605218</v>
      </c>
      <c r="F670" s="180">
        <f>(F624/F612)*E64</f>
        <v>6508.4591773612883</v>
      </c>
      <c r="G670" s="180">
        <f>(G625/G612)*E77</f>
        <v>1044674.6447676928</v>
      </c>
      <c r="H670" s="180">
        <f>(H628/H612)*E60</f>
        <v>46448.321131540099</v>
      </c>
      <c r="I670" s="180">
        <f>(I629/I612)*E78</f>
        <v>167722.17569432064</v>
      </c>
      <c r="J670" s="180">
        <f>(J630/J612)*E79</f>
        <v>35961.84004280479</v>
      </c>
      <c r="K670" s="180">
        <f>(K644/K612)*E75</f>
        <v>427139.33933912002</v>
      </c>
      <c r="L670" s="180">
        <f>(L647/L612)*E80</f>
        <v>252747.68970565603</v>
      </c>
      <c r="M670" s="180">
        <f t="shared" si="20"/>
        <v>2033119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284746</v>
      </c>
      <c r="D675" s="180">
        <f>(D615/D612)*J76</f>
        <v>-2069.2530192336362</v>
      </c>
      <c r="E675" s="180">
        <f>(E623/E612)*SUM(C675:D675)</f>
        <v>13425.430732730647</v>
      </c>
      <c r="F675" s="180">
        <f>(F624/F612)*J64</f>
        <v>0</v>
      </c>
      <c r="G675" s="180">
        <f>(G625/G612)*J77</f>
        <v>0</v>
      </c>
      <c r="H675" s="180">
        <f>(H628/H612)*J60</f>
        <v>10367.928824004486</v>
      </c>
      <c r="I675" s="180">
        <f>(I629/I612)*J78</f>
        <v>3376.463930826586</v>
      </c>
      <c r="J675" s="180">
        <f>(J630/J612)*J79</f>
        <v>4769.8506503653834</v>
      </c>
      <c r="K675" s="180">
        <f>(K644/K612)*J75</f>
        <v>0</v>
      </c>
      <c r="L675" s="180">
        <f>(L647/L612)*J80</f>
        <v>78908.276677021451</v>
      </c>
      <c r="M675" s="180">
        <f t="shared" si="20"/>
        <v>108779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845670</v>
      </c>
      <c r="D680" s="180">
        <f>(D615/D612)*O76</f>
        <v>-16192.726007653693</v>
      </c>
      <c r="E680" s="180">
        <f>(E623/E612)*SUM(C680:D680)</f>
        <v>39395.138812447833</v>
      </c>
      <c r="F680" s="180">
        <f>(F624/F612)*O64</f>
        <v>7754.081516542089</v>
      </c>
      <c r="G680" s="180">
        <f>(G625/G612)*O77</f>
        <v>0</v>
      </c>
      <c r="H680" s="180">
        <f>(H628/H612)*O60</f>
        <v>22187.367683369601</v>
      </c>
      <c r="I680" s="180">
        <f>(I629/I612)*O78</f>
        <v>46866.787387669028</v>
      </c>
      <c r="J680" s="180">
        <f>(J630/J612)*O79</f>
        <v>13270.710577259373</v>
      </c>
      <c r="K680" s="180">
        <f>(K644/K612)*O75</f>
        <v>321814.3346267232</v>
      </c>
      <c r="L680" s="180">
        <f>(L647/L612)*O80</f>
        <v>190896.00558545798</v>
      </c>
      <c r="M680" s="180">
        <f t="shared" si="20"/>
        <v>625992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6179120</v>
      </c>
      <c r="D681" s="180">
        <f>(D615/D612)*P76</f>
        <v>-100958.19790268873</v>
      </c>
      <c r="E681" s="180">
        <f>(E623/E612)*SUM(C681:D681)</f>
        <v>288675.8147883279</v>
      </c>
      <c r="F681" s="180">
        <f>(F624/F612)*P64</f>
        <v>153998.77733435229</v>
      </c>
      <c r="G681" s="180">
        <f>(G625/G612)*P77</f>
        <v>8933.0267152444158</v>
      </c>
      <c r="H681" s="180">
        <f>(H628/H612)*P60</f>
        <v>52461.719849462694</v>
      </c>
      <c r="I681" s="180">
        <f>(I629/I612)*P78</f>
        <v>164639.31732269636</v>
      </c>
      <c r="J681" s="180">
        <f>(J630/J612)*P79</f>
        <v>35129.031926827076</v>
      </c>
      <c r="K681" s="180">
        <f>(K644/K612)*P75</f>
        <v>2010612.7194437177</v>
      </c>
      <c r="L681" s="180">
        <f>(L647/L612)*P80</f>
        <v>172805.68014640288</v>
      </c>
      <c r="M681" s="180">
        <f t="shared" si="20"/>
        <v>2786298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378832</v>
      </c>
      <c r="D682" s="180">
        <f>(D615/D612)*Q76</f>
        <v>-8309.8573629541261</v>
      </c>
      <c r="E682" s="180">
        <f>(E623/E612)*SUM(C682:D682)</f>
        <v>17597.554146380033</v>
      </c>
      <c r="F682" s="180">
        <f>(F624/F612)*Q64</f>
        <v>3114.8370019251024</v>
      </c>
      <c r="G682" s="180">
        <f>(G625/G612)*Q77</f>
        <v>0</v>
      </c>
      <c r="H682" s="180">
        <f>(H628/H612)*Q60</f>
        <v>2073.5857648008973</v>
      </c>
      <c r="I682" s="180">
        <f>(I629/I612)*Q78</f>
        <v>13542.556418206634</v>
      </c>
      <c r="J682" s="180">
        <f>(J630/J612)*Q79</f>
        <v>0</v>
      </c>
      <c r="K682" s="180">
        <f>(K644/K612)*Q75</f>
        <v>96371.915545248747</v>
      </c>
      <c r="L682" s="180">
        <f>(L647/L612)*Q80</f>
        <v>154887.64352105302</v>
      </c>
      <c r="M682" s="180">
        <f t="shared" si="20"/>
        <v>279278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643934</v>
      </c>
      <c r="D684" s="180">
        <f>(D615/D612)*S76</f>
        <v>-12555.11058098504</v>
      </c>
      <c r="E684" s="180">
        <f>(E623/E612)*SUM(C684:D684)</f>
        <v>29986.667232236618</v>
      </c>
      <c r="F684" s="180">
        <f>(F624/F612)*S64</f>
        <v>21336.902527333241</v>
      </c>
      <c r="G684" s="180">
        <f>(G625/G612)*S77</f>
        <v>0</v>
      </c>
      <c r="H684" s="180">
        <f>(H628/H612)*S60</f>
        <v>8086.9844827234992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46855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3171928</v>
      </c>
      <c r="D686" s="180">
        <f>(D615/D612)*U76</f>
        <v>-13138.114407832612</v>
      </c>
      <c r="E686" s="180">
        <f>(E623/E612)*SUM(C686:D686)</f>
        <v>150023.35799185245</v>
      </c>
      <c r="F686" s="180">
        <f>(F624/F612)*U64</f>
        <v>50361.45955186637</v>
      </c>
      <c r="G686" s="180">
        <f>(G625/G612)*U77</f>
        <v>0</v>
      </c>
      <c r="H686" s="180">
        <f>(H628/H612)*U60</f>
        <v>42301.149601938305</v>
      </c>
      <c r="I686" s="180">
        <f>(I629/I612)*U78</f>
        <v>21433.205821768763</v>
      </c>
      <c r="J686" s="180">
        <f>(J630/J612)*U79</f>
        <v>5541.2102508412645</v>
      </c>
      <c r="K686" s="180">
        <f>(K644/K612)*U75</f>
        <v>1137355.3159608773</v>
      </c>
      <c r="L686" s="180">
        <f>(L647/L612)*U80</f>
        <v>0</v>
      </c>
      <c r="M686" s="180">
        <f t="shared" si="20"/>
        <v>1393878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146831</v>
      </c>
      <c r="D687" s="180">
        <f>(D615/D612)*V76</f>
        <v>-1970.7171611748918</v>
      </c>
      <c r="E687" s="180">
        <f>(E623/E612)*SUM(C687:D687)</f>
        <v>6879.9846961191461</v>
      </c>
      <c r="F687" s="180">
        <f>(F624/F612)*V64</f>
        <v>0</v>
      </c>
      <c r="G687" s="180">
        <f>(G625/G612)*V77</f>
        <v>0</v>
      </c>
      <c r="H687" s="180">
        <f>(H628/H612)*V60</f>
        <v>3110.3786472013462</v>
      </c>
      <c r="I687" s="180">
        <f>(I629/I612)*V78</f>
        <v>0</v>
      </c>
      <c r="J687" s="180">
        <f>(J630/J612)*V79</f>
        <v>0</v>
      </c>
      <c r="K687" s="180">
        <f>(K644/K612)*V75</f>
        <v>100548.89855697381</v>
      </c>
      <c r="L687" s="180">
        <f>(L647/L612)*V80</f>
        <v>0</v>
      </c>
      <c r="M687" s="180">
        <f t="shared" si="20"/>
        <v>108569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907840</v>
      </c>
      <c r="D688" s="180">
        <f>(D615/D612)*W76</f>
        <v>-1166.0076536951442</v>
      </c>
      <c r="E688" s="180">
        <f>(E623/E612)*SUM(C688:D688)</f>
        <v>43061.514650307981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433912.44149119261</v>
      </c>
      <c r="L688" s="180">
        <f>(L647/L612)*W80</f>
        <v>0</v>
      </c>
      <c r="M688" s="180">
        <f t="shared" si="20"/>
        <v>475808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807623.52</v>
      </c>
      <c r="D689" s="180">
        <f>(D615/D612)*X76</f>
        <v>-18656.122459122307</v>
      </c>
      <c r="E689" s="180">
        <f>(E623/E612)*SUM(C689:D689)</f>
        <v>37471.165418457727</v>
      </c>
      <c r="F689" s="180">
        <f>(F624/F612)*X64</f>
        <v>0</v>
      </c>
      <c r="G689" s="180">
        <f>(G625/G612)*X77</f>
        <v>0</v>
      </c>
      <c r="H689" s="180">
        <f>(H628/H612)*X60</f>
        <v>15137.17608304655</v>
      </c>
      <c r="I689" s="180">
        <f>(I629/I612)*X78</f>
        <v>0</v>
      </c>
      <c r="J689" s="180">
        <f>(J630/J612)*X79</f>
        <v>0</v>
      </c>
      <c r="K689" s="180">
        <f>(K644/K612)*X75</f>
        <v>1385374.5258185659</v>
      </c>
      <c r="L689" s="180">
        <f>(L647/L612)*X80</f>
        <v>0</v>
      </c>
      <c r="M689" s="180">
        <f t="shared" si="20"/>
        <v>1419327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1423072.7</v>
      </c>
      <c r="D690" s="180">
        <f>(D615/D612)*Y76</f>
        <v>-19345.873465533521</v>
      </c>
      <c r="E690" s="180">
        <f>(E623/E612)*SUM(C690:D690)</f>
        <v>66668.509095997782</v>
      </c>
      <c r="F690" s="180">
        <f>(F624/F612)*Y64</f>
        <v>4396.4502871258064</v>
      </c>
      <c r="G690" s="180">
        <f>(G625/G612)*Y77</f>
        <v>0</v>
      </c>
      <c r="H690" s="180">
        <f>(H628/H612)*Y60</f>
        <v>21772.650530409421</v>
      </c>
      <c r="I690" s="180">
        <f>(I629/I612)*Y78</f>
        <v>63859.209126502821</v>
      </c>
      <c r="J690" s="180">
        <f>(J630/J612)*Y79</f>
        <v>31887.442003177734</v>
      </c>
      <c r="K690" s="180">
        <f>(K644/K612)*Y75</f>
        <v>804173.79025695985</v>
      </c>
      <c r="L690" s="180">
        <f>(L647/L612)*Y80</f>
        <v>0</v>
      </c>
      <c r="M690" s="180">
        <f t="shared" si="20"/>
        <v>973412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4187217</v>
      </c>
      <c r="D693" s="180">
        <f>(D615/D612)*AB76</f>
        <v>-7759.6988221261363</v>
      </c>
      <c r="E693" s="180">
        <f>(E623/E612)*SUM(C693:D693)</f>
        <v>198498.86874913971</v>
      </c>
      <c r="F693" s="180">
        <f>(F624/F612)*AB64</f>
        <v>122738.21045926108</v>
      </c>
      <c r="G693" s="180">
        <f>(G625/G612)*AB77</f>
        <v>0</v>
      </c>
      <c r="H693" s="180">
        <f>(H628/H612)*AB60</f>
        <v>24883.02917761077</v>
      </c>
      <c r="I693" s="180">
        <f>(I629/I612)*AB78</f>
        <v>9835.7862332774457</v>
      </c>
      <c r="J693" s="180">
        <f>(J630/J612)*AB79</f>
        <v>0</v>
      </c>
      <c r="K693" s="180">
        <f>(K644/K612)*AB75</f>
        <v>1017182.7202647356</v>
      </c>
      <c r="L693" s="180">
        <f>(L647/L612)*AB80</f>
        <v>0</v>
      </c>
      <c r="M693" s="180">
        <f t="shared" si="20"/>
        <v>1365379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407090</v>
      </c>
      <c r="D694" s="180">
        <f>(D615/D612)*AC76</f>
        <v>-6503.3666318771429</v>
      </c>
      <c r="E694" s="180">
        <f>(E623/E612)*SUM(C694:D694)</f>
        <v>19025.435081533004</v>
      </c>
      <c r="F694" s="180">
        <f>(F624/F612)*AC64</f>
        <v>3559.1110912190211</v>
      </c>
      <c r="G694" s="180">
        <f>(G625/G612)*AC77</f>
        <v>0</v>
      </c>
      <c r="H694" s="180">
        <f>(H628/H612)*AC60</f>
        <v>6635.4744473628716</v>
      </c>
      <c r="I694" s="180">
        <f>(I629/I612)*AC78</f>
        <v>13836.161977408945</v>
      </c>
      <c r="J694" s="180">
        <f>(J630/J612)*AC79</f>
        <v>839.3144293837845</v>
      </c>
      <c r="K694" s="180">
        <f>(K644/K612)*AC75</f>
        <v>56438.244086057763</v>
      </c>
      <c r="L694" s="180">
        <f>(L647/L612)*AC80</f>
        <v>0</v>
      </c>
      <c r="M694" s="180">
        <f t="shared" si="20"/>
        <v>93830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1755232</v>
      </c>
      <c r="D696" s="180">
        <f>(D615/D612)*AE76</f>
        <v>-61864.096217881808</v>
      </c>
      <c r="E696" s="180">
        <f>(E623/E612)*SUM(C696:D696)</f>
        <v>80424.703269996884</v>
      </c>
      <c r="F696" s="180">
        <f>(F624/F612)*AE64</f>
        <v>1088.9865017597747</v>
      </c>
      <c r="G696" s="180">
        <f>(G625/G612)*AE77</f>
        <v>0</v>
      </c>
      <c r="H696" s="180">
        <f>(H628/H612)*AE60</f>
        <v>3732.4543766416155</v>
      </c>
      <c r="I696" s="180">
        <f>(I629/I612)*AE78</f>
        <v>92559.152538528811</v>
      </c>
      <c r="J696" s="180">
        <f>(J630/J612)*AE79</f>
        <v>9235.3504180687742</v>
      </c>
      <c r="K696" s="180">
        <f>(K644/K612)*AE75</f>
        <v>137045.5036811617</v>
      </c>
      <c r="L696" s="180">
        <f>(L647/L612)*AE80</f>
        <v>0</v>
      </c>
      <c r="M696" s="180">
        <f t="shared" si="20"/>
        <v>262222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5787128</v>
      </c>
      <c r="D698" s="180">
        <f>(D615/D612)*AG76</f>
        <v>-42353.996322250379</v>
      </c>
      <c r="E698" s="180">
        <f>(E623/E612)*SUM(C698:D698)</f>
        <v>272841.91673118091</v>
      </c>
      <c r="F698" s="180">
        <f>(F624/F612)*AG64</f>
        <v>12118.128379598529</v>
      </c>
      <c r="G698" s="180">
        <f>(G625/G612)*AG77</f>
        <v>42462.469454654958</v>
      </c>
      <c r="H698" s="180">
        <f>(H628/H612)*AG60</f>
        <v>63037.007249947274</v>
      </c>
      <c r="I698" s="180">
        <f>(I629/I612)*AG78</f>
        <v>69107.408497244149</v>
      </c>
      <c r="J698" s="180">
        <f>(J630/J612)*AG79</f>
        <v>44028.222818915267</v>
      </c>
      <c r="K698" s="180">
        <f>(K644/K612)*AG75</f>
        <v>1259850.8832283991</v>
      </c>
      <c r="L698" s="180">
        <f>(L647/L612)*AG80</f>
        <v>302539.15686648391</v>
      </c>
      <c r="M698" s="180">
        <f t="shared" si="20"/>
        <v>2023631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20020514</v>
      </c>
      <c r="D701" s="180">
        <f>(D615/D612)*AJ76</f>
        <v>-232454.30048208337</v>
      </c>
      <c r="E701" s="180">
        <f>(E623/E612)*SUM(C701:D701)</f>
        <v>939812.79913728684</v>
      </c>
      <c r="F701" s="180">
        <f>(F624/F612)*AJ64</f>
        <v>56204.259817631253</v>
      </c>
      <c r="G701" s="180">
        <f>(G625/G612)*AJ77</f>
        <v>0</v>
      </c>
      <c r="H701" s="180">
        <f>(H628/H612)*AJ60</f>
        <v>284288.608354203</v>
      </c>
      <c r="I701" s="180">
        <f>(I629/I612)*AJ78</f>
        <v>205266.98657731627</v>
      </c>
      <c r="J701" s="180">
        <f>(J630/J612)*AJ79</f>
        <v>9571.5099440493595</v>
      </c>
      <c r="K701" s="180">
        <f>(K644/K612)*AJ75</f>
        <v>1713898.9098162898</v>
      </c>
      <c r="L701" s="180">
        <f>(L647/L612)*AJ80</f>
        <v>203128.51135853335</v>
      </c>
      <c r="M701" s="180">
        <f t="shared" si="20"/>
        <v>3179717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251799</v>
      </c>
      <c r="D702" s="180">
        <f>(D615/D612)*AK76</f>
        <v>-12587.955867004621</v>
      </c>
      <c r="E702" s="180">
        <f>(E623/E612)*SUM(C702:D702)</f>
        <v>11361.07351529066</v>
      </c>
      <c r="F702" s="180">
        <f>(F624/F612)*AK64</f>
        <v>481.71161674549012</v>
      </c>
      <c r="G702" s="180">
        <f>(G625/G612)*AK77</f>
        <v>0</v>
      </c>
      <c r="H702" s="180">
        <f>(H628/H612)*AK60</f>
        <v>0</v>
      </c>
      <c r="I702" s="180">
        <f>(I629/I612)*AK78</f>
        <v>20515.688449261539</v>
      </c>
      <c r="J702" s="180">
        <f>(J630/J612)*AK79</f>
        <v>336.1595259805855</v>
      </c>
      <c r="K702" s="180">
        <f>(K644/K612)*AK75</f>
        <v>38527.196811138245</v>
      </c>
      <c r="L702" s="180">
        <f>(L647/L612)*AK80</f>
        <v>0</v>
      </c>
      <c r="M702" s="180">
        <f t="shared" si="20"/>
        <v>58634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157334</v>
      </c>
      <c r="D703" s="180">
        <f>(D615/D612)*AL76</f>
        <v>-6298.0835942547583</v>
      </c>
      <c r="E703" s="180">
        <f>(E623/E612)*SUM(C703:D703)</f>
        <v>7173.2898284618987</v>
      </c>
      <c r="F703" s="180">
        <f>(F624/F612)*AL64</f>
        <v>102.12864907577058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24534.429502825395</v>
      </c>
      <c r="L703" s="180">
        <f>(L647/L612)*AL80</f>
        <v>0</v>
      </c>
      <c r="M703" s="180">
        <f t="shared" si="20"/>
        <v>25512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3085164</v>
      </c>
      <c r="D709" s="180">
        <f>(D615/D612)*AR76</f>
        <v>-18869.616818249589</v>
      </c>
      <c r="E709" s="180">
        <f>(E623/E612)*SUM(C709:D709)</f>
        <v>145630.38271545072</v>
      </c>
      <c r="F709" s="180">
        <f>(F624/F612)*AR64</f>
        <v>15886.878051894897</v>
      </c>
      <c r="G709" s="180">
        <f>(G625/G612)*AR77</f>
        <v>0</v>
      </c>
      <c r="H709" s="180">
        <f>(H628/H612)*AR60</f>
        <v>46863.038284500282</v>
      </c>
      <c r="I709" s="180">
        <f>(I629/I612)*AR78</f>
        <v>30755.182326442166</v>
      </c>
      <c r="J709" s="180">
        <f>(J630/J612)*AR79</f>
        <v>167.71830113439967</v>
      </c>
      <c r="K709" s="180">
        <f>(K644/K612)*AR75</f>
        <v>301466.05797379673</v>
      </c>
      <c r="L709" s="180">
        <f>(L647/L612)*AR80</f>
        <v>182453.85371389892</v>
      </c>
      <c r="M709" s="180">
        <f t="shared" si="20"/>
        <v>704353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73784079.219999999</v>
      </c>
      <c r="D715" s="180">
        <f>SUM(D616:D647)+SUM(D668:D713)</f>
        <v>-826100</v>
      </c>
      <c r="E715" s="180">
        <f>SUM(E624:E647)+SUM(E668:E713)</f>
        <v>3345409.5217931517</v>
      </c>
      <c r="F715" s="180">
        <f>SUM(F625:F648)+SUM(F668:F713)</f>
        <v>513515.69319608767</v>
      </c>
      <c r="G715" s="180">
        <f>SUM(G626:G647)+SUM(G668:G713)</f>
        <v>1261269.9500551259</v>
      </c>
      <c r="H715" s="180">
        <f>SUM(H629:H647)+SUM(H668:H713)</f>
        <v>882518.1014992618</v>
      </c>
      <c r="I715" s="180">
        <f>SUM(I630:I647)+SUM(I668:I713)</f>
        <v>1104287.2088547952</v>
      </c>
      <c r="J715" s="180">
        <f>SUM(J631:J647)+SUM(J668:J713)</f>
        <v>200158.77977709382</v>
      </c>
      <c r="K715" s="180">
        <f>SUM(K668:K713)</f>
        <v>11369301.194911448</v>
      </c>
      <c r="L715" s="180">
        <f>SUM(L668:L713)</f>
        <v>1694460.4827914976</v>
      </c>
      <c r="M715" s="180">
        <f>SUM(M668:M713)</f>
        <v>18509905</v>
      </c>
      <c r="N715" s="198" t="s">
        <v>742</v>
      </c>
    </row>
    <row r="716" spans="1:83" ht="12.6" customHeight="1" x14ac:dyDescent="0.25">
      <c r="C716" s="180">
        <f>CE71</f>
        <v>73784079.219999999</v>
      </c>
      <c r="D716" s="180">
        <f>D615</f>
        <v>-826100</v>
      </c>
      <c r="E716" s="180">
        <f>E623</f>
        <v>3345409.5217931513</v>
      </c>
      <c r="F716" s="180">
        <f>F624</f>
        <v>513515.69319608767</v>
      </c>
      <c r="G716" s="180">
        <f>G625</f>
        <v>1261269.9500551259</v>
      </c>
      <c r="H716" s="180">
        <f>H628</f>
        <v>882518.10149926203</v>
      </c>
      <c r="I716" s="180">
        <f>I629</f>
        <v>1104287.2088547952</v>
      </c>
      <c r="J716" s="180">
        <f>J630</f>
        <v>200158.77977709382</v>
      </c>
      <c r="K716" s="180">
        <f>K644</f>
        <v>11369301.194911448</v>
      </c>
      <c r="L716" s="180">
        <f>L647</f>
        <v>1694460.4827914974</v>
      </c>
      <c r="M716" s="180">
        <f>C648</f>
        <v>18509905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140*2018*A</v>
      </c>
      <c r="B722" s="275">
        <f>ROUND(C165,0)</f>
        <v>2702063</v>
      </c>
      <c r="C722" s="275">
        <f>ROUND(C166,0)</f>
        <v>32752</v>
      </c>
      <c r="D722" s="275">
        <f>ROUND(C167,0)</f>
        <v>103701</v>
      </c>
      <c r="E722" s="275">
        <f>ROUND(C168,0)</f>
        <v>3932506</v>
      </c>
      <c r="F722" s="275">
        <f>ROUND(C169,0)</f>
        <v>4379</v>
      </c>
      <c r="G722" s="275">
        <f>ROUND(C170,0)</f>
        <v>2400055</v>
      </c>
      <c r="H722" s="275">
        <f>ROUND(C171+C172,0)</f>
        <v>187717</v>
      </c>
      <c r="I722" s="275">
        <f>ROUND(C175,0)</f>
        <v>708915</v>
      </c>
      <c r="J722" s="275">
        <f>ROUND(C176,0)</f>
        <v>718830</v>
      </c>
      <c r="K722" s="275">
        <f>ROUND(C179,0)</f>
        <v>234344</v>
      </c>
      <c r="L722" s="275">
        <f>ROUND(C180,0)</f>
        <v>223355</v>
      </c>
      <c r="M722" s="275">
        <f>ROUND(C183,0)</f>
        <v>155529</v>
      </c>
      <c r="N722" s="275">
        <f>ROUND(C184,0)</f>
        <v>579455</v>
      </c>
      <c r="O722" s="275">
        <f>ROUND(C185,0)</f>
        <v>0</v>
      </c>
      <c r="P722" s="275">
        <f>ROUND(C188,0)</f>
        <v>0</v>
      </c>
      <c r="Q722" s="275">
        <f>ROUND(C189,0)</f>
        <v>405804</v>
      </c>
      <c r="R722" s="275">
        <f>ROUND(B195,0)</f>
        <v>2324730</v>
      </c>
      <c r="S722" s="275">
        <f>ROUND(C195,0)</f>
        <v>0</v>
      </c>
      <c r="T722" s="275">
        <f>ROUND(D195,0)</f>
        <v>0</v>
      </c>
      <c r="U722" s="275">
        <f>ROUND(B196,0)</f>
        <v>418230</v>
      </c>
      <c r="V722" s="275">
        <f>ROUND(C196,0)</f>
        <v>0</v>
      </c>
      <c r="W722" s="275">
        <f>ROUND(D196,0)</f>
        <v>0</v>
      </c>
      <c r="X722" s="275">
        <f>ROUND(B197,0)</f>
        <v>38655106</v>
      </c>
      <c r="Y722" s="275">
        <f>ROUND(C197,0)</f>
        <v>2107027</v>
      </c>
      <c r="Z722" s="275">
        <f>ROUND(D197,0)</f>
        <v>0</v>
      </c>
      <c r="AA722" s="275">
        <f>ROUND(B198,0)</f>
        <v>4609905</v>
      </c>
      <c r="AB722" s="275">
        <f>ROUND(C198,0)</f>
        <v>0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23966112</v>
      </c>
      <c r="AH722" s="275">
        <f>ROUND(C200,0)</f>
        <v>6866870</v>
      </c>
      <c r="AI722" s="275">
        <f>ROUND(D200,0)</f>
        <v>66657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4212310</v>
      </c>
      <c r="AQ722" s="275">
        <f>ROUND(C203,0)</f>
        <v>4224965</v>
      </c>
      <c r="AR722" s="275">
        <f>ROUND(D203,0)</f>
        <v>8137795</v>
      </c>
      <c r="AS722" s="275"/>
      <c r="AT722" s="275"/>
      <c r="AU722" s="275"/>
      <c r="AV722" s="275">
        <f>ROUND(B209,0)</f>
        <v>413847</v>
      </c>
      <c r="AW722" s="275">
        <f>ROUND(C209,0)</f>
        <v>7564</v>
      </c>
      <c r="AX722" s="275">
        <f>ROUND(D209,0)</f>
        <v>0</v>
      </c>
      <c r="AY722" s="275">
        <f>ROUND(B210,0)</f>
        <v>14234136</v>
      </c>
      <c r="AZ722" s="275">
        <f>ROUND(C210,0)</f>
        <v>1353068</v>
      </c>
      <c r="BA722" s="275">
        <f>ROUND(D210,0)</f>
        <v>0</v>
      </c>
      <c r="BB722" s="275">
        <f>ROUND(B211,0)</f>
        <v>3439403</v>
      </c>
      <c r="BC722" s="275">
        <f>ROUND(C211,0)</f>
        <v>242569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19168717</v>
      </c>
      <c r="BI722" s="275">
        <f>ROUND(C213,0)</f>
        <v>1928416</v>
      </c>
      <c r="BJ722" s="275">
        <f>ROUND(D213,0)</f>
        <v>66657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24273692</v>
      </c>
      <c r="BU722" s="275">
        <f>ROUND(C224,0)</f>
        <v>12906689</v>
      </c>
      <c r="BV722" s="275">
        <f>ROUND(C225,0)</f>
        <v>0</v>
      </c>
      <c r="BW722" s="275">
        <f>ROUND(C226,0)</f>
        <v>0</v>
      </c>
      <c r="BX722" s="275">
        <f>ROUND(C227,0)</f>
        <v>0</v>
      </c>
      <c r="BY722" s="275">
        <f>ROUND(C228,0)</f>
        <v>22236066</v>
      </c>
      <c r="BZ722" s="275">
        <f>ROUND(C231,0)</f>
        <v>0</v>
      </c>
      <c r="CA722" s="275">
        <f>ROUND(C233,0)</f>
        <v>0</v>
      </c>
      <c r="CB722" s="275">
        <f>ROUND(C234,0)</f>
        <v>955198</v>
      </c>
      <c r="CC722" s="275">
        <f>ROUND(C238+C239,0)</f>
        <v>763375</v>
      </c>
      <c r="CD722" s="275">
        <f>D221</f>
        <v>3112296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140*2018*A</v>
      </c>
      <c r="B726" s="275">
        <f>ROUND(C111,0)</f>
        <v>956</v>
      </c>
      <c r="C726" s="275">
        <f>ROUND(C112,0)</f>
        <v>0</v>
      </c>
      <c r="D726" s="275">
        <f>ROUND(C113,0)</f>
        <v>0</v>
      </c>
      <c r="E726" s="275">
        <f>ROUND(C114,0)</f>
        <v>320</v>
      </c>
      <c r="F726" s="275">
        <f>ROUND(D111,0)</f>
        <v>2293</v>
      </c>
      <c r="G726" s="275">
        <f>ROUND(D112,0)</f>
        <v>0</v>
      </c>
      <c r="H726" s="275">
        <f>ROUND(D113,0)</f>
        <v>0</v>
      </c>
      <c r="I726" s="275">
        <f>ROUND(D114,0)</f>
        <v>529</v>
      </c>
      <c r="J726" s="275">
        <f>ROUND(C116,0)</f>
        <v>6</v>
      </c>
      <c r="K726" s="275">
        <f>ROUND(C117,0)</f>
        <v>0</v>
      </c>
      <c r="L726" s="275">
        <f>ROUND(C118,0)</f>
        <v>13</v>
      </c>
      <c r="M726" s="275">
        <f>ROUND(C119,0)</f>
        <v>0</v>
      </c>
      <c r="N726" s="275">
        <f>ROUND(C120,0)</f>
        <v>6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6</v>
      </c>
      <c r="X726" s="275">
        <f>ROUND(B138,0)</f>
        <v>427</v>
      </c>
      <c r="Y726" s="275">
        <f>ROUND(B139,0)</f>
        <v>1061</v>
      </c>
      <c r="Z726" s="275">
        <f>ROUND(B140,0)</f>
        <v>27559</v>
      </c>
      <c r="AA726" s="275">
        <f>ROUND(B141,0)</f>
        <v>11502914</v>
      </c>
      <c r="AB726" s="275">
        <f>ROUND(B142,0)</f>
        <v>41699681</v>
      </c>
      <c r="AC726" s="275">
        <f>ROUND(C138,0)</f>
        <v>227</v>
      </c>
      <c r="AD726" s="275">
        <f>ROUND(C139,0)</f>
        <v>657</v>
      </c>
      <c r="AE726" s="275">
        <f>ROUND(C140,0)</f>
        <v>13728</v>
      </c>
      <c r="AF726" s="275">
        <f>ROUND(C141,0)</f>
        <v>5034659</v>
      </c>
      <c r="AG726" s="275">
        <f>ROUND(C142,0)</f>
        <v>18144189</v>
      </c>
      <c r="AH726" s="275">
        <f>ROUND(D138,0)</f>
        <v>302</v>
      </c>
      <c r="AI726" s="275">
        <f>ROUND(D139,0)</f>
        <v>575</v>
      </c>
      <c r="AJ726" s="275">
        <f>ROUND(D140,0)</f>
        <v>30985</v>
      </c>
      <c r="AK726" s="275">
        <f>ROUND(D141,0)</f>
        <v>5026562</v>
      </c>
      <c r="AL726" s="275">
        <f>ROUND(D142,0)</f>
        <v>58695999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10363992</v>
      </c>
      <c r="BR726" s="275">
        <f>ROUND(C157,0)</f>
        <v>8181500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140*2018*A</v>
      </c>
      <c r="B730" s="275">
        <f>ROUND(C250,0)</f>
        <v>3268227</v>
      </c>
      <c r="C730" s="275">
        <f>ROUND(C251,0)</f>
        <v>0</v>
      </c>
      <c r="D730" s="275">
        <f>ROUND(C252,0)</f>
        <v>36648852</v>
      </c>
      <c r="E730" s="275">
        <f>ROUND(C253,0)</f>
        <v>18507689</v>
      </c>
      <c r="F730" s="275">
        <f>ROUND(C254,0)</f>
        <v>1889004</v>
      </c>
      <c r="G730" s="275">
        <f>ROUND(C255,0)</f>
        <v>788227</v>
      </c>
      <c r="H730" s="275">
        <f>ROUND(C256,0)</f>
        <v>0</v>
      </c>
      <c r="I730" s="275">
        <f>ROUND(C257,0)</f>
        <v>1526115</v>
      </c>
      <c r="J730" s="275">
        <f>ROUND(C258,0)</f>
        <v>591940</v>
      </c>
      <c r="K730" s="275">
        <f>ROUND(C259,0)</f>
        <v>945710</v>
      </c>
      <c r="L730" s="275">
        <f>ROUND(C262,0)</f>
        <v>23320485</v>
      </c>
      <c r="M730" s="275">
        <f>ROUND(C263,0)</f>
        <v>0</v>
      </c>
      <c r="N730" s="275">
        <f>ROUND(C264,0)</f>
        <v>0</v>
      </c>
      <c r="O730" s="275">
        <f>ROUND(C267,0)</f>
        <v>2324730</v>
      </c>
      <c r="P730" s="275">
        <f>ROUND(C268,0)</f>
        <v>418230</v>
      </c>
      <c r="Q730" s="275">
        <f>ROUND(C269,0)</f>
        <v>41061613</v>
      </c>
      <c r="R730" s="275">
        <f>ROUND(C270,0)</f>
        <v>4609905</v>
      </c>
      <c r="S730" s="275">
        <f>ROUND(C271,0)</f>
        <v>0</v>
      </c>
      <c r="T730" s="275">
        <f>ROUND(C272,0)</f>
        <v>30766325</v>
      </c>
      <c r="U730" s="275">
        <f>ROUND(C273,0)</f>
        <v>0</v>
      </c>
      <c r="V730" s="275">
        <f>ROUND(C274,0)</f>
        <v>0</v>
      </c>
      <c r="W730" s="275">
        <f>ROUND(C275,0)</f>
        <v>0</v>
      </c>
      <c r="X730" s="275">
        <f>ROUND(C276,0)</f>
        <v>40721064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2234706</v>
      </c>
      <c r="AI730" s="275">
        <f>ROUND(C306,0)</f>
        <v>2934795</v>
      </c>
      <c r="AJ730" s="275">
        <f>ROUND(C307,0)</f>
        <v>322579</v>
      </c>
      <c r="AK730" s="275">
        <f>ROUND(C308,0)</f>
        <v>0</v>
      </c>
      <c r="AL730" s="275">
        <f>ROUND(C309,0)</f>
        <v>1708504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1587202</v>
      </c>
      <c r="AQ730" s="275">
        <f>ROUND(C316,0)</f>
        <v>0</v>
      </c>
      <c r="AR730" s="275">
        <f>ROUND(C317,0)</f>
        <v>0</v>
      </c>
      <c r="AS730" s="275">
        <f>ROUND(C318,0)</f>
        <v>116205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21940547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59673274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473.3</v>
      </c>
      <c r="BJ730" s="275">
        <f>ROUND(C359,0)</f>
        <v>21564135</v>
      </c>
      <c r="BK730" s="275">
        <f>ROUND(C360,0)</f>
        <v>118539868</v>
      </c>
      <c r="BL730" s="275">
        <f>ROUND(C364,0)</f>
        <v>59416447</v>
      </c>
      <c r="BM730" s="275">
        <f>ROUND(C365,0)</f>
        <v>955198</v>
      </c>
      <c r="BN730" s="275">
        <f>ROUND(C366,0)</f>
        <v>763375</v>
      </c>
      <c r="BO730" s="275">
        <f>ROUND(C370,0)</f>
        <v>2897122</v>
      </c>
      <c r="BP730" s="275">
        <f>ROUND(C371,0)</f>
        <v>1481572</v>
      </c>
      <c r="BQ730" s="275">
        <f>ROUND(C378,0)</f>
        <v>40233287</v>
      </c>
      <c r="BR730" s="275">
        <f>ROUND(C379,0)</f>
        <v>9363173</v>
      </c>
      <c r="BS730" s="275">
        <f>ROUND(C380,0)</f>
        <v>681817</v>
      </c>
      <c r="BT730" s="275">
        <f>ROUND(C381,0)</f>
        <v>8935181</v>
      </c>
      <c r="BU730" s="275">
        <f>ROUND(C382,0)</f>
        <v>939910</v>
      </c>
      <c r="BV730" s="275">
        <f>ROUND(C383,0)</f>
        <v>10886762</v>
      </c>
      <c r="BW730" s="275">
        <f>ROUND(C384,0)</f>
        <v>3317747</v>
      </c>
      <c r="BX730" s="275">
        <f>ROUND(C385,0)</f>
        <v>1427745</v>
      </c>
      <c r="BY730" s="275">
        <f>ROUND(C386,0)</f>
        <v>457699</v>
      </c>
      <c r="BZ730" s="275">
        <f>ROUND(C387,0)</f>
        <v>734984</v>
      </c>
      <c r="CA730" s="275">
        <f>ROUND(C388,0)</f>
        <v>405804</v>
      </c>
      <c r="CB730" s="275">
        <f>C363</f>
        <v>3112296</v>
      </c>
      <c r="CC730" s="275">
        <f>ROUND(C389,0)</f>
        <v>895581</v>
      </c>
      <c r="CD730" s="275">
        <f>ROUND(C392,0)</f>
        <v>570856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140*2018*6010*A</v>
      </c>
      <c r="B734" s="275">
        <f>ROUND(C59,0)</f>
        <v>244</v>
      </c>
      <c r="C734" s="275">
        <f>ROUND(C60,2)</f>
        <v>12.3</v>
      </c>
      <c r="D734" s="275">
        <f>ROUND(C61,0)</f>
        <v>1017643</v>
      </c>
      <c r="E734" s="275">
        <f>ROUND(C62,0)</f>
        <v>236828</v>
      </c>
      <c r="F734" s="275">
        <f>ROUND(C63,0)</f>
        <v>0</v>
      </c>
      <c r="G734" s="275">
        <f>ROUND(C64,0)</f>
        <v>39222</v>
      </c>
      <c r="H734" s="275">
        <f>ROUND(C65,0)</f>
        <v>0</v>
      </c>
      <c r="I734" s="275">
        <f>ROUND(C66,0)</f>
        <v>86183</v>
      </c>
      <c r="J734" s="275">
        <f>ROUND(C67,0)</f>
        <v>90087</v>
      </c>
      <c r="K734" s="275">
        <f>ROUND(C68,0)</f>
        <v>0</v>
      </c>
      <c r="L734" s="275">
        <f>ROUND(C69,0)</f>
        <v>1692</v>
      </c>
      <c r="M734" s="275">
        <f>ROUND(C70,0)</f>
        <v>0</v>
      </c>
      <c r="N734" s="275">
        <f>ROUND(C75,0)</f>
        <v>1269935</v>
      </c>
      <c r="O734" s="275">
        <f>ROUND(C73,0)</f>
        <v>765463</v>
      </c>
      <c r="P734" s="275">
        <f>IF(C76&gt;0,ROUND(C76,0),0)</f>
        <v>2897</v>
      </c>
      <c r="Q734" s="275">
        <f>IF(C77&gt;0,ROUND(C77,0),0)</f>
        <v>1350</v>
      </c>
      <c r="R734" s="275">
        <f>IF(C78&gt;0,ROUND(C78,0),0)</f>
        <v>1057</v>
      </c>
      <c r="S734" s="275">
        <f>IF(C79&gt;0,ROUND(C79,0),0)</f>
        <v>13031</v>
      </c>
      <c r="T734" s="275">
        <f>IF(C80&gt;0,ROUND(C80,2),0)</f>
        <v>9.06</v>
      </c>
      <c r="U734" s="275"/>
      <c r="V734" s="275"/>
      <c r="W734" s="275"/>
      <c r="X734" s="275"/>
      <c r="Y734" s="275">
        <f>IF(M668&lt;&gt;0,ROUND(M668,0),0)</f>
        <v>545312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140*2018*6030*A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140*2018*6070*A</v>
      </c>
      <c r="B736" s="275">
        <f>ROUND(E59,0)</f>
        <v>2049</v>
      </c>
      <c r="C736" s="277">
        <f>ROUND(E60,2)</f>
        <v>22.4</v>
      </c>
      <c r="D736" s="275">
        <f>ROUND(E61,0)</f>
        <v>2204651</v>
      </c>
      <c r="E736" s="275">
        <f>ROUND(E62,0)</f>
        <v>513071</v>
      </c>
      <c r="F736" s="275">
        <f>ROUND(E63,0)</f>
        <v>287</v>
      </c>
      <c r="G736" s="275">
        <f>ROUND(E64,0)</f>
        <v>112480</v>
      </c>
      <c r="H736" s="275">
        <f>ROUND(E65,0)</f>
        <v>0</v>
      </c>
      <c r="I736" s="275">
        <f>ROUND(E66,0)</f>
        <v>116328</v>
      </c>
      <c r="J736" s="275">
        <f>ROUND(E67,0)</f>
        <v>389487</v>
      </c>
      <c r="K736" s="275">
        <f>ROUND(E68,0)</f>
        <v>22075</v>
      </c>
      <c r="L736" s="275">
        <f>ROUND(E69,0)</f>
        <v>3065</v>
      </c>
      <c r="M736" s="275">
        <f>ROUND(E70,0)</f>
        <v>0</v>
      </c>
      <c r="N736" s="275">
        <f>ROUND(E75,0)</f>
        <v>5263642</v>
      </c>
      <c r="O736" s="275">
        <f>ROUND(E73,0)</f>
        <v>2664792</v>
      </c>
      <c r="P736" s="275">
        <f>IF(E76&gt;0,ROUND(E76,0),0)</f>
        <v>12525</v>
      </c>
      <c r="Q736" s="275">
        <f>IF(E77&gt;0,ROUND(E77,0),0)</f>
        <v>8537</v>
      </c>
      <c r="R736" s="275">
        <f>IF(E78&gt;0,ROUND(E78,0),0)</f>
        <v>4570</v>
      </c>
      <c r="S736" s="275">
        <f>IF(E79&gt;0,ROUND(E79,0),0)</f>
        <v>49745</v>
      </c>
      <c r="T736" s="277">
        <f>IF(E80&gt;0,ROUND(E80,2),0)</f>
        <v>14.67</v>
      </c>
      <c r="U736" s="275"/>
      <c r="V736" s="276"/>
      <c r="W736" s="275"/>
      <c r="X736" s="275"/>
      <c r="Y736" s="275">
        <f t="shared" si="21"/>
        <v>2033119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140*2018*6100*A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140*2018*6120*A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140*2018*6140*A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140*2018*6150*A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140*2018*6170*A</v>
      </c>
      <c r="B741" s="275">
        <f>ROUND(J59,0)</f>
        <v>529</v>
      </c>
      <c r="C741" s="277">
        <f>ROUND(J60,2)</f>
        <v>5</v>
      </c>
      <c r="D741" s="275">
        <f>ROUND(J61,0)</f>
        <v>224633</v>
      </c>
      <c r="E741" s="275">
        <f>ROUND(J62,0)</f>
        <v>52277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7836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252</v>
      </c>
      <c r="Q741" s="275">
        <f>IF(J77&gt;0,ROUND(J77,0),0)</f>
        <v>0</v>
      </c>
      <c r="R741" s="275">
        <f>IF(J78&gt;0,ROUND(J78,0),0)</f>
        <v>92</v>
      </c>
      <c r="S741" s="275">
        <f>IF(J79&gt;0,ROUND(J79,0),0)</f>
        <v>6598</v>
      </c>
      <c r="T741" s="277">
        <f>IF(J80&gt;0,ROUND(J80,2),0)</f>
        <v>4.58</v>
      </c>
      <c r="U741" s="275"/>
      <c r="V741" s="276"/>
      <c r="W741" s="275"/>
      <c r="X741" s="275"/>
      <c r="Y741" s="275">
        <f t="shared" si="21"/>
        <v>108779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140*2018*6200*A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140*2018*6210*A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140*2018*6330*A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140*2018*6400*A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140*2018*7010*A</v>
      </c>
      <c r="B746" s="275">
        <f>ROUND(O59,0)</f>
        <v>320</v>
      </c>
      <c r="C746" s="277">
        <f>ROUND(O60,2)</f>
        <v>10.7</v>
      </c>
      <c r="D746" s="275">
        <f>ROUND(O61,0)</f>
        <v>407526</v>
      </c>
      <c r="E746" s="275">
        <f>ROUND(O62,0)</f>
        <v>94840</v>
      </c>
      <c r="F746" s="275">
        <f>ROUND(O63,0)</f>
        <v>4266</v>
      </c>
      <c r="G746" s="275">
        <f>ROUND(O64,0)</f>
        <v>134007</v>
      </c>
      <c r="H746" s="275">
        <f>ROUND(O65,0)</f>
        <v>0</v>
      </c>
      <c r="I746" s="275">
        <f>ROUND(O66,0)</f>
        <v>137082</v>
      </c>
      <c r="J746" s="275">
        <f>ROUND(O67,0)</f>
        <v>61323</v>
      </c>
      <c r="K746" s="275">
        <f>ROUND(O68,0)</f>
        <v>0</v>
      </c>
      <c r="L746" s="275">
        <f>ROUND(O69,0)</f>
        <v>6626</v>
      </c>
      <c r="M746" s="275">
        <f>ROUND(O70,0)</f>
        <v>0</v>
      </c>
      <c r="N746" s="275">
        <f>ROUND(O75,0)</f>
        <v>3965721</v>
      </c>
      <c r="O746" s="275">
        <f>ROUND(O73,0)</f>
        <v>3428046</v>
      </c>
      <c r="P746" s="275">
        <f>IF(O76&gt;0,ROUND(O76,0),0)</f>
        <v>1972</v>
      </c>
      <c r="Q746" s="275">
        <f>IF(O77&gt;0,ROUND(O77,0),0)</f>
        <v>0</v>
      </c>
      <c r="R746" s="275">
        <f>IF(O78&gt;0,ROUND(O78,0),0)</f>
        <v>1277</v>
      </c>
      <c r="S746" s="275">
        <f>IF(O79&gt;0,ROUND(O79,0),0)</f>
        <v>18357</v>
      </c>
      <c r="T746" s="277">
        <f>IF(O80&gt;0,ROUND(O80,2),0)</f>
        <v>11.08</v>
      </c>
      <c r="U746" s="275"/>
      <c r="V746" s="276"/>
      <c r="W746" s="275"/>
      <c r="X746" s="275"/>
      <c r="Y746" s="275">
        <f t="shared" si="21"/>
        <v>625992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140*2018*7020*A</v>
      </c>
      <c r="B747" s="275">
        <f>ROUND(P59,0)</f>
        <v>116248</v>
      </c>
      <c r="C747" s="277">
        <f>ROUND(P60,2)</f>
        <v>25.3</v>
      </c>
      <c r="D747" s="275">
        <f>ROUND(P61,0)</f>
        <v>2218657</v>
      </c>
      <c r="E747" s="275">
        <f>ROUND(P62,0)</f>
        <v>516330</v>
      </c>
      <c r="F747" s="275">
        <f>ROUND(P63,0)</f>
        <v>20376</v>
      </c>
      <c r="G747" s="275">
        <f>ROUND(P64,0)</f>
        <v>2661426</v>
      </c>
      <c r="H747" s="275">
        <f>ROUND(P65,0)</f>
        <v>0</v>
      </c>
      <c r="I747" s="275">
        <f>ROUND(P66,0)</f>
        <v>370835</v>
      </c>
      <c r="J747" s="275">
        <f>ROUND(P67,0)</f>
        <v>382335</v>
      </c>
      <c r="K747" s="275">
        <f>ROUND(P68,0)</f>
        <v>5333</v>
      </c>
      <c r="L747" s="275">
        <f>ROUND(P69,0)</f>
        <v>3828</v>
      </c>
      <c r="M747" s="275">
        <f>ROUND(P70,0)</f>
        <v>0</v>
      </c>
      <c r="N747" s="275">
        <f>ROUND(P75,0)</f>
        <v>24776799</v>
      </c>
      <c r="O747" s="275">
        <f>ROUND(P73,0)</f>
        <v>7351259</v>
      </c>
      <c r="P747" s="275">
        <f>IF(P76&gt;0,ROUND(P76,0),0)</f>
        <v>12295</v>
      </c>
      <c r="Q747" s="275">
        <f>IF(P77&gt;0,ROUND(P77,0),0)</f>
        <v>73</v>
      </c>
      <c r="R747" s="275">
        <f>IF(P78&gt;0,ROUND(P78,0),0)</f>
        <v>4486</v>
      </c>
      <c r="S747" s="275">
        <f>IF(P79&gt;0,ROUND(P79,0),0)</f>
        <v>48593</v>
      </c>
      <c r="T747" s="277">
        <f>IF(P80&gt;0,ROUND(P80,2),0)</f>
        <v>10.029999999999999</v>
      </c>
      <c r="U747" s="275"/>
      <c r="V747" s="276"/>
      <c r="W747" s="275"/>
      <c r="X747" s="275"/>
      <c r="Y747" s="275">
        <f t="shared" si="21"/>
        <v>2786298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140*2018*7030*A</v>
      </c>
      <c r="B748" s="275">
        <f>ROUND(Q59,0)</f>
        <v>0</v>
      </c>
      <c r="C748" s="277">
        <f>ROUND(Q60,2)</f>
        <v>1</v>
      </c>
      <c r="D748" s="275">
        <f>ROUND(Q61,0)</f>
        <v>181168</v>
      </c>
      <c r="E748" s="275">
        <f>ROUND(Q62,0)</f>
        <v>42162</v>
      </c>
      <c r="F748" s="275">
        <f>ROUND(Q63,0)</f>
        <v>0</v>
      </c>
      <c r="G748" s="275">
        <f>ROUND(Q64,0)</f>
        <v>53831</v>
      </c>
      <c r="H748" s="275">
        <f>ROUND(Q65,0)</f>
        <v>0</v>
      </c>
      <c r="I748" s="275">
        <f>ROUND(Q66,0)</f>
        <v>69901</v>
      </c>
      <c r="J748" s="275">
        <f>ROUND(Q67,0)</f>
        <v>31470</v>
      </c>
      <c r="K748" s="275">
        <f>ROUND(Q68,0)</f>
        <v>0</v>
      </c>
      <c r="L748" s="275">
        <f>ROUND(Q69,0)</f>
        <v>300</v>
      </c>
      <c r="M748" s="275">
        <f>ROUND(Q70,0)</f>
        <v>0</v>
      </c>
      <c r="N748" s="275">
        <f>ROUND(Q75,0)</f>
        <v>1187592</v>
      </c>
      <c r="O748" s="275">
        <f>ROUND(Q73,0)</f>
        <v>284271</v>
      </c>
      <c r="P748" s="275">
        <f>IF(Q76&gt;0,ROUND(Q76,0),0)</f>
        <v>1012</v>
      </c>
      <c r="Q748" s="275">
        <f>IF(Q77&gt;0,ROUND(Q77,0),0)</f>
        <v>0</v>
      </c>
      <c r="R748" s="275">
        <f>IF(Q78&gt;0,ROUND(Q78,0),0)</f>
        <v>369</v>
      </c>
      <c r="S748" s="275">
        <f>IF(Q79&gt;0,ROUND(Q79,0),0)</f>
        <v>0</v>
      </c>
      <c r="T748" s="277">
        <f>IF(Q80&gt;0,ROUND(Q80,2),0)</f>
        <v>8.99</v>
      </c>
      <c r="U748" s="275"/>
      <c r="V748" s="276"/>
      <c r="W748" s="275"/>
      <c r="X748" s="275"/>
      <c r="Y748" s="275">
        <f t="shared" si="21"/>
        <v>279278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140*2018*7040*A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140*2018*7050*A</v>
      </c>
      <c r="B750" s="275"/>
      <c r="C750" s="277">
        <f>ROUND(S60,2)</f>
        <v>3.9</v>
      </c>
      <c r="D750" s="275">
        <f>ROUND(S61,0)</f>
        <v>174168</v>
      </c>
      <c r="E750" s="275">
        <f>ROUND(S62,0)</f>
        <v>40533</v>
      </c>
      <c r="F750" s="275">
        <f>ROUND(S63,0)</f>
        <v>0</v>
      </c>
      <c r="G750" s="275">
        <f>ROUND(S64,0)</f>
        <v>368747</v>
      </c>
      <c r="H750" s="275">
        <f>ROUND(S65,0)</f>
        <v>0</v>
      </c>
      <c r="I750" s="275">
        <f>ROUND(S66,0)</f>
        <v>10795</v>
      </c>
      <c r="J750" s="275">
        <f>ROUND(S67,0)</f>
        <v>47547</v>
      </c>
      <c r="K750" s="275">
        <f>ROUND(S68,0)</f>
        <v>0</v>
      </c>
      <c r="L750" s="275">
        <f>ROUND(S69,0)</f>
        <v>2144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1529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46855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140*2018*7060*A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140*2018*7070*A</v>
      </c>
      <c r="B752" s="275">
        <f>ROUND(U59,0)</f>
        <v>207040</v>
      </c>
      <c r="C752" s="277">
        <f>ROUND(U60,2)</f>
        <v>20.399999999999999</v>
      </c>
      <c r="D752" s="275">
        <f>ROUND(U61,0)</f>
        <v>1306165</v>
      </c>
      <c r="E752" s="275">
        <f>ROUND(U62,0)</f>
        <v>303973</v>
      </c>
      <c r="F752" s="275">
        <f>ROUND(U63,0)</f>
        <v>3825</v>
      </c>
      <c r="G752" s="275">
        <f>ROUND(U64,0)</f>
        <v>870353</v>
      </c>
      <c r="H752" s="275">
        <f>ROUND(U65,0)</f>
        <v>0</v>
      </c>
      <c r="I752" s="275">
        <f>ROUND(U66,0)</f>
        <v>637632</v>
      </c>
      <c r="J752" s="275">
        <f>ROUND(U67,0)</f>
        <v>49755</v>
      </c>
      <c r="K752" s="275">
        <f>ROUND(U68,0)</f>
        <v>0</v>
      </c>
      <c r="L752" s="275">
        <f>ROUND(U69,0)</f>
        <v>225</v>
      </c>
      <c r="M752" s="275">
        <f>ROUND(U70,0)</f>
        <v>0</v>
      </c>
      <c r="N752" s="275">
        <f>ROUND(U75,0)</f>
        <v>14015640</v>
      </c>
      <c r="O752" s="275">
        <f>ROUND(U73,0)</f>
        <v>977820</v>
      </c>
      <c r="P752" s="275">
        <f>IF(U76&gt;0,ROUND(U76,0),0)</f>
        <v>1600</v>
      </c>
      <c r="Q752" s="275">
        <f>IF(U77&gt;0,ROUND(U77,0),0)</f>
        <v>0</v>
      </c>
      <c r="R752" s="275">
        <f>IF(U78&gt;0,ROUND(U78,0),0)</f>
        <v>584</v>
      </c>
      <c r="S752" s="275">
        <f>IF(U79&gt;0,ROUND(U79,0),0)</f>
        <v>7665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1393878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140*2018*7110*A</v>
      </c>
      <c r="B753" s="275">
        <f>ROUND(V59,0)</f>
        <v>0</v>
      </c>
      <c r="C753" s="277">
        <f>ROUND(V60,2)</f>
        <v>1.5</v>
      </c>
      <c r="D753" s="275">
        <f>ROUND(V61,0)</f>
        <v>113057</v>
      </c>
      <c r="E753" s="275">
        <f>ROUND(V62,0)</f>
        <v>26311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7463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1239065</v>
      </c>
      <c r="O753" s="275">
        <f>ROUND(V73,0)</f>
        <v>133051</v>
      </c>
      <c r="P753" s="275">
        <f>IF(V76&gt;0,ROUND(V76,0),0)</f>
        <v>240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108569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140*2018*7120*A</v>
      </c>
      <c r="B754" s="275">
        <f>ROUND(W59,0)</f>
        <v>1618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903424</v>
      </c>
      <c r="J754" s="275">
        <f>ROUND(W67,0)</f>
        <v>4416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5347107</v>
      </c>
      <c r="O754" s="275">
        <f>ROUND(W73,0)</f>
        <v>97307</v>
      </c>
      <c r="P754" s="275">
        <f>IF(W76&gt;0,ROUND(W76,0),0)</f>
        <v>142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475808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140*2018*7130*A</v>
      </c>
      <c r="B755" s="275">
        <f>ROUND(X59,0)</f>
        <v>5019</v>
      </c>
      <c r="C755" s="277">
        <f>ROUND(X60,2)</f>
        <v>7.3</v>
      </c>
      <c r="D755" s="275">
        <f>ROUND(X61,0)</f>
        <v>530864</v>
      </c>
      <c r="E755" s="275">
        <f>ROUND(X62,0)</f>
        <v>123544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70652</v>
      </c>
      <c r="K755" s="275">
        <f>ROUND(X68,0)</f>
        <v>82564</v>
      </c>
      <c r="L755" s="275">
        <f>ROUND(X69,0)</f>
        <v>0</v>
      </c>
      <c r="M755" s="275">
        <f>ROUND(X70,0)</f>
        <v>0</v>
      </c>
      <c r="N755" s="275">
        <f>ROUND(X75,0)</f>
        <v>17071983</v>
      </c>
      <c r="O755" s="275">
        <f>ROUND(X73,0)</f>
        <v>747306</v>
      </c>
      <c r="P755" s="275">
        <f>IF(X76&gt;0,ROUND(X76,0),0)</f>
        <v>2272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1419327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140*2018*7140*A</v>
      </c>
      <c r="B756" s="275">
        <f>ROUND(Y59,0)</f>
        <v>22837</v>
      </c>
      <c r="C756" s="277">
        <f>ROUND(Y60,2)</f>
        <v>10.5</v>
      </c>
      <c r="D756" s="275">
        <f>ROUND(Y61,0)</f>
        <v>801790</v>
      </c>
      <c r="E756" s="275">
        <f>ROUND(Y62,0)</f>
        <v>186594</v>
      </c>
      <c r="F756" s="275">
        <f>ROUND(Y63,0)</f>
        <v>0</v>
      </c>
      <c r="G756" s="275">
        <f>ROUND(Y64,0)</f>
        <v>75980</v>
      </c>
      <c r="H756" s="275">
        <f>ROUND(Y65,0)</f>
        <v>306</v>
      </c>
      <c r="I756" s="275">
        <f>ROUND(Y66,0)</f>
        <v>56711</v>
      </c>
      <c r="J756" s="275">
        <f>ROUND(Y67,0)</f>
        <v>73264</v>
      </c>
      <c r="K756" s="275">
        <f>ROUND(Y68,0)</f>
        <v>220308</v>
      </c>
      <c r="L756" s="275">
        <f>ROUND(Y69,0)</f>
        <v>8120</v>
      </c>
      <c r="M756" s="275">
        <f>ROUND(Y70,0)</f>
        <v>0</v>
      </c>
      <c r="N756" s="275">
        <f>ROUND(Y75,0)</f>
        <v>9909841</v>
      </c>
      <c r="O756" s="275">
        <f>ROUND(Y73,0)</f>
        <v>403960</v>
      </c>
      <c r="P756" s="275">
        <f>IF(Y76&gt;0,ROUND(Y76,0),0)</f>
        <v>2356</v>
      </c>
      <c r="Q756" s="275">
        <f>IF(Y77&gt;0,ROUND(Y77,0),0)</f>
        <v>0</v>
      </c>
      <c r="R756" s="275">
        <f>IF(Y78&gt;0,ROUND(Y78,0),0)</f>
        <v>1740</v>
      </c>
      <c r="S756" s="275">
        <f>IF(Y79&gt;0,ROUND(Y79,0),0)</f>
        <v>44109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973412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140*2018*7150*A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140*2018*7160*A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140*2018*7170*A</v>
      </c>
      <c r="B759" s="275"/>
      <c r="C759" s="277">
        <f>ROUND(AB60,2)</f>
        <v>12</v>
      </c>
      <c r="D759" s="275">
        <f>ROUND(AB61,0)</f>
        <v>1185359</v>
      </c>
      <c r="E759" s="275">
        <f>ROUND(AB62,0)</f>
        <v>275859</v>
      </c>
      <c r="F759" s="275">
        <f>ROUND(AB63,0)</f>
        <v>0</v>
      </c>
      <c r="G759" s="275">
        <f>ROUND(AB64,0)</f>
        <v>2121177</v>
      </c>
      <c r="H759" s="275">
        <f>ROUND(AB65,0)</f>
        <v>0</v>
      </c>
      <c r="I759" s="275">
        <f>ROUND(AB66,0)</f>
        <v>323282</v>
      </c>
      <c r="J759" s="275">
        <f>ROUND(AB67,0)</f>
        <v>29386</v>
      </c>
      <c r="K759" s="275">
        <f>ROUND(AB68,0)</f>
        <v>248524</v>
      </c>
      <c r="L759" s="275">
        <f>ROUND(AB69,0)</f>
        <v>3630</v>
      </c>
      <c r="M759" s="275">
        <f>ROUND(AB70,0)</f>
        <v>0</v>
      </c>
      <c r="N759" s="275">
        <f>ROUND(AB75,0)</f>
        <v>12534752</v>
      </c>
      <c r="O759" s="275">
        <f>ROUND(AB73,0)</f>
        <v>3049455</v>
      </c>
      <c r="P759" s="275">
        <f>IF(AB76&gt;0,ROUND(AB76,0),0)</f>
        <v>945</v>
      </c>
      <c r="Q759" s="275">
        <f>IF(AB77&gt;0,ROUND(AB77,0),0)</f>
        <v>0</v>
      </c>
      <c r="R759" s="275">
        <f>IF(AB78&gt;0,ROUND(AB78,0),0)</f>
        <v>268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1365379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140*2018*7180*A</v>
      </c>
      <c r="B760" s="275">
        <f>ROUND(AC59,0)</f>
        <v>73720</v>
      </c>
      <c r="C760" s="277">
        <f>ROUND(AC60,2)</f>
        <v>3.2</v>
      </c>
      <c r="D760" s="275">
        <f>ROUND(AC61,0)</f>
        <v>247655</v>
      </c>
      <c r="E760" s="275">
        <f>ROUND(AC62,0)</f>
        <v>57635</v>
      </c>
      <c r="F760" s="275">
        <f>ROUND(AC63,0)</f>
        <v>2650</v>
      </c>
      <c r="G760" s="275">
        <f>ROUND(AC64,0)</f>
        <v>61509</v>
      </c>
      <c r="H760" s="275">
        <f>ROUND(AC65,0)</f>
        <v>0</v>
      </c>
      <c r="I760" s="275">
        <f>ROUND(AC66,0)</f>
        <v>12830</v>
      </c>
      <c r="J760" s="275">
        <f>ROUND(AC67,0)</f>
        <v>24629</v>
      </c>
      <c r="K760" s="275">
        <f>ROUND(AC68,0)</f>
        <v>72</v>
      </c>
      <c r="L760" s="275">
        <f>ROUND(AC69,0)</f>
        <v>110</v>
      </c>
      <c r="M760" s="275">
        <f>ROUND(AC70,0)</f>
        <v>0</v>
      </c>
      <c r="N760" s="275">
        <f>ROUND(AC75,0)</f>
        <v>695489</v>
      </c>
      <c r="O760" s="275">
        <f>ROUND(AC73,0)</f>
        <v>258323</v>
      </c>
      <c r="P760" s="275">
        <f>IF(AC76&gt;0,ROUND(AC76,0),0)</f>
        <v>792</v>
      </c>
      <c r="Q760" s="275">
        <f>IF(AC77&gt;0,ROUND(AC77,0),0)</f>
        <v>0</v>
      </c>
      <c r="R760" s="275">
        <f>IF(AC78&gt;0,ROUND(AC78,0),0)</f>
        <v>377</v>
      </c>
      <c r="S760" s="275">
        <f>IF(AC79&gt;0,ROUND(AC79,0),0)</f>
        <v>1161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93830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140*2018*7190*A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140*2018*7200*A</v>
      </c>
      <c r="B762" s="275">
        <f>ROUND(AE59,0)</f>
        <v>5989</v>
      </c>
      <c r="C762" s="277">
        <f>ROUND(AE60,2)</f>
        <v>1.8</v>
      </c>
      <c r="D762" s="275">
        <f>ROUND(AE61,0)</f>
        <v>133683</v>
      </c>
      <c r="E762" s="275">
        <f>ROUND(AE62,0)</f>
        <v>31111</v>
      </c>
      <c r="F762" s="275">
        <f>ROUND(AE63,0)</f>
        <v>7933</v>
      </c>
      <c r="G762" s="275">
        <f>ROUND(AE64,0)</f>
        <v>18820</v>
      </c>
      <c r="H762" s="275">
        <f>ROUND(AE65,0)</f>
        <v>650</v>
      </c>
      <c r="I762" s="275">
        <f>ROUND(AE66,0)</f>
        <v>1186296</v>
      </c>
      <c r="J762" s="275">
        <f>ROUND(AE67,0)</f>
        <v>234283</v>
      </c>
      <c r="K762" s="275">
        <f>ROUND(AE68,0)</f>
        <v>140478</v>
      </c>
      <c r="L762" s="275">
        <f>ROUND(AE69,0)</f>
        <v>1978</v>
      </c>
      <c r="M762" s="275">
        <f>ROUND(AE70,0)</f>
        <v>0</v>
      </c>
      <c r="N762" s="275">
        <f>ROUND(AE75,0)</f>
        <v>1688813</v>
      </c>
      <c r="O762" s="275">
        <f>ROUND(AE73,0)</f>
        <v>66633</v>
      </c>
      <c r="P762" s="275">
        <f>IF(AE76&gt;0,ROUND(AE76,0),0)</f>
        <v>7534</v>
      </c>
      <c r="Q762" s="275">
        <f>IF(AE77&gt;0,ROUND(AE77,0),0)</f>
        <v>0</v>
      </c>
      <c r="R762" s="275">
        <f>IF(AE78&gt;0,ROUND(AE78,0),0)</f>
        <v>2522</v>
      </c>
      <c r="S762" s="275">
        <f>IF(AE79&gt;0,ROUND(AE79,0),0)</f>
        <v>12775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262222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140*2018*7220*A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140*2018*7230*A</v>
      </c>
      <c r="B764" s="275">
        <f>ROUND(AG59,0)</f>
        <v>13751</v>
      </c>
      <c r="C764" s="277">
        <f>ROUND(AG60,2)</f>
        <v>30.4</v>
      </c>
      <c r="D764" s="275">
        <f>ROUND(AG61,0)</f>
        <v>4271143</v>
      </c>
      <c r="E764" s="275">
        <f>ROUND(AG62,0)</f>
        <v>993989</v>
      </c>
      <c r="F764" s="275">
        <f>ROUND(AG63,0)</f>
        <v>409</v>
      </c>
      <c r="G764" s="275">
        <f>ROUND(AG64,0)</f>
        <v>209427</v>
      </c>
      <c r="H764" s="275">
        <f>ROUND(AG65,0)</f>
        <v>0</v>
      </c>
      <c r="I764" s="275">
        <f>ROUND(AG66,0)</f>
        <v>111430</v>
      </c>
      <c r="J764" s="275">
        <f>ROUND(AG67,0)</f>
        <v>160397</v>
      </c>
      <c r="K764" s="275">
        <f>ROUND(AG68,0)</f>
        <v>0</v>
      </c>
      <c r="L764" s="275">
        <f>ROUND(AG69,0)</f>
        <v>40333</v>
      </c>
      <c r="M764" s="275">
        <f>ROUND(AG70,0)</f>
        <v>0</v>
      </c>
      <c r="N764" s="275">
        <f>ROUND(AG75,0)</f>
        <v>15525154</v>
      </c>
      <c r="O764" s="275">
        <f>ROUND(AG73,0)</f>
        <v>447073</v>
      </c>
      <c r="P764" s="275">
        <f>IF(AG76&gt;0,ROUND(AG76,0),0)</f>
        <v>5158</v>
      </c>
      <c r="Q764" s="275">
        <f>IF(AG77&gt;0,ROUND(AG77,0),0)</f>
        <v>347</v>
      </c>
      <c r="R764" s="275">
        <f>IF(AG78&gt;0,ROUND(AG78,0),0)</f>
        <v>1883</v>
      </c>
      <c r="S764" s="275">
        <f>IF(AG79&gt;0,ROUND(AG79,0),0)</f>
        <v>60903</v>
      </c>
      <c r="T764" s="277">
        <f>IF(AG80&gt;0,ROUND(AG80,2),0)</f>
        <v>17.559999999999999</v>
      </c>
      <c r="U764" s="275"/>
      <c r="V764" s="276"/>
      <c r="W764" s="275"/>
      <c r="X764" s="275"/>
      <c r="Y764" s="275">
        <f t="shared" si="21"/>
        <v>2023631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140*2018*7240*A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140*2018*7250*A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140*2018*7260*A</v>
      </c>
      <c r="B767" s="275">
        <f>ROUND(AJ59,0)</f>
        <v>58500</v>
      </c>
      <c r="C767" s="277">
        <f>ROUND(AJ60,2)</f>
        <v>137.1</v>
      </c>
      <c r="D767" s="275">
        <f>ROUND(AJ61,0)</f>
        <v>13662887</v>
      </c>
      <c r="E767" s="275">
        <f>ROUND(AJ62,0)</f>
        <v>3179655</v>
      </c>
      <c r="F767" s="275">
        <f>ROUND(AJ63,0)</f>
        <v>372191</v>
      </c>
      <c r="G767" s="275">
        <f>ROUND(AJ64,0)</f>
        <v>971329</v>
      </c>
      <c r="H767" s="275">
        <f>ROUND(AJ65,0)</f>
        <v>185406</v>
      </c>
      <c r="I767" s="275">
        <f>ROUND(AJ66,0)</f>
        <v>155073</v>
      </c>
      <c r="J767" s="275">
        <f>ROUND(AJ67,0)</f>
        <v>880319</v>
      </c>
      <c r="K767" s="275">
        <f>ROUND(AJ68,0)</f>
        <v>453130</v>
      </c>
      <c r="L767" s="275">
        <f>ROUND(AJ69,0)</f>
        <v>160524</v>
      </c>
      <c r="M767" s="275">
        <f>ROUND(AJ70,0)</f>
        <v>0</v>
      </c>
      <c r="N767" s="275">
        <f>ROUND(AJ75,0)</f>
        <v>21120392</v>
      </c>
      <c r="O767" s="275">
        <f>ROUND(AJ73,0)</f>
        <v>550091</v>
      </c>
      <c r="P767" s="275">
        <f>IF(AJ76&gt;0,ROUND(AJ76,0),0)</f>
        <v>28309</v>
      </c>
      <c r="Q767" s="275">
        <f>IF(AJ77&gt;0,ROUND(AJ77,0),0)</f>
        <v>0</v>
      </c>
      <c r="R767" s="275">
        <f>IF(AJ78&gt;0,ROUND(AJ78,0),0)</f>
        <v>5593</v>
      </c>
      <c r="S767" s="275">
        <f>IF(AJ79&gt;0,ROUND(AJ79,0),0)</f>
        <v>13240</v>
      </c>
      <c r="T767" s="277">
        <f>IF(AJ80&gt;0,ROUND(AJ80,2),0)</f>
        <v>11.79</v>
      </c>
      <c r="U767" s="275"/>
      <c r="V767" s="276"/>
      <c r="W767" s="275"/>
      <c r="X767" s="275"/>
      <c r="Y767" s="275">
        <f t="shared" si="21"/>
        <v>3179717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140*2018*7310*A</v>
      </c>
      <c r="B768" s="275">
        <f>ROUND(AK59,0)</f>
        <v>1954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8325</v>
      </c>
      <c r="H768" s="275">
        <f>ROUND(AK65,0)</f>
        <v>3071</v>
      </c>
      <c r="I768" s="275">
        <f>ROUND(AK66,0)</f>
        <v>192387</v>
      </c>
      <c r="J768" s="275">
        <f>ROUND(AK67,0)</f>
        <v>47671</v>
      </c>
      <c r="K768" s="275">
        <f>ROUND(AK68,0)</f>
        <v>0</v>
      </c>
      <c r="L768" s="275">
        <f>ROUND(AK69,0)</f>
        <v>345</v>
      </c>
      <c r="M768" s="275">
        <f>ROUND(AK70,0)</f>
        <v>0</v>
      </c>
      <c r="N768" s="275">
        <f>ROUND(AK75,0)</f>
        <v>474771</v>
      </c>
      <c r="O768" s="275">
        <f>ROUND(AK73,0)</f>
        <v>88231</v>
      </c>
      <c r="P768" s="275">
        <f>IF(AK76&gt;0,ROUND(AK76,0),0)</f>
        <v>1533</v>
      </c>
      <c r="Q768" s="275">
        <f>IF(AK77&gt;0,ROUND(AK77,0),0)</f>
        <v>0</v>
      </c>
      <c r="R768" s="275">
        <f>IF(AK78&gt;0,ROUND(AK78,0),0)</f>
        <v>559</v>
      </c>
      <c r="S768" s="275">
        <f>IF(AK79&gt;0,ROUND(AK79,0),0)</f>
        <v>465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58634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140*2018*7320*A</v>
      </c>
      <c r="B769" s="275">
        <f>ROUND(AL59,0)</f>
        <v>1267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1765</v>
      </c>
      <c r="H769" s="275">
        <f>ROUND(AL65,0)</f>
        <v>0</v>
      </c>
      <c r="I769" s="275">
        <f>ROUND(AL66,0)</f>
        <v>131625</v>
      </c>
      <c r="J769" s="275">
        <f>ROUND(AL67,0)</f>
        <v>23851</v>
      </c>
      <c r="K769" s="275">
        <f>ROUND(AL68,0)</f>
        <v>0</v>
      </c>
      <c r="L769" s="275">
        <f>ROUND(AL69,0)</f>
        <v>93</v>
      </c>
      <c r="M769" s="275">
        <f>ROUND(AL70,0)</f>
        <v>0</v>
      </c>
      <c r="N769" s="275">
        <f>ROUND(AL75,0)</f>
        <v>302338</v>
      </c>
      <c r="O769" s="275">
        <f>ROUND(AL73,0)</f>
        <v>41916</v>
      </c>
      <c r="P769" s="275">
        <f>IF(AL76&gt;0,ROUND(AL76,0),0)</f>
        <v>767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25512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140*2018*7330*A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140*2018*7340*A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140*2018*7350*A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140*2018*7380*A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140*2018*7390*A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140*2018*7400*A</v>
      </c>
      <c r="B775" s="275">
        <f>ROUND(AR59,0)</f>
        <v>18957</v>
      </c>
      <c r="C775" s="277">
        <f>ROUND(AR60,2)</f>
        <v>22.6</v>
      </c>
      <c r="D775" s="275">
        <f>ROUND(AR61,0)</f>
        <v>1726365</v>
      </c>
      <c r="E775" s="275">
        <f>ROUND(AR62,0)</f>
        <v>401763</v>
      </c>
      <c r="F775" s="275">
        <f>ROUND(AR63,0)</f>
        <v>288</v>
      </c>
      <c r="G775" s="275">
        <f>ROUND(AR64,0)</f>
        <v>274559</v>
      </c>
      <c r="H775" s="275">
        <f>ROUND(AR65,0)</f>
        <v>6590</v>
      </c>
      <c r="I775" s="275">
        <f>ROUND(AR66,0)</f>
        <v>361418</v>
      </c>
      <c r="J775" s="275">
        <f>ROUND(AR67,0)</f>
        <v>71460</v>
      </c>
      <c r="K775" s="275">
        <f>ROUND(AR68,0)</f>
        <v>125110</v>
      </c>
      <c r="L775" s="275">
        <f>ROUND(AR69,0)</f>
        <v>117611</v>
      </c>
      <c r="M775" s="275">
        <f>ROUND(AR70,0)</f>
        <v>0</v>
      </c>
      <c r="N775" s="275">
        <f>ROUND(AR75,0)</f>
        <v>3714969</v>
      </c>
      <c r="O775" s="275">
        <f>ROUND(AR73,0)</f>
        <v>0</v>
      </c>
      <c r="P775" s="275">
        <f>IF(AR76&gt;0,ROUND(AR76,0),0)</f>
        <v>2298</v>
      </c>
      <c r="Q775" s="275">
        <f>IF(AR77&gt;0,ROUND(AR77,0),0)</f>
        <v>0</v>
      </c>
      <c r="R775" s="275">
        <f>IF(AR78&gt;0,ROUND(AR78,0),0)</f>
        <v>838</v>
      </c>
      <c r="S775" s="275">
        <f>IF(AR79&gt;0,ROUND(AR79,0),0)</f>
        <v>232</v>
      </c>
      <c r="T775" s="277">
        <f>IF(AR80&gt;0,ROUND(AR80,2),0)</f>
        <v>10.59</v>
      </c>
      <c r="U775" s="275"/>
      <c r="V775" s="276"/>
      <c r="W775" s="275"/>
      <c r="X775" s="275"/>
      <c r="Y775" s="275">
        <f t="shared" si="21"/>
        <v>704353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140*2018*7410*A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140*2018*7420*A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140*2018*7430*A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140*2018*7490*A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140*2018*8200*A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140*2018*8310*A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140*2018*8320*A</v>
      </c>
      <c r="B782" s="275">
        <f>ROUND(AY59,0)</f>
        <v>10307</v>
      </c>
      <c r="C782" s="277">
        <f>ROUND(AY60,2)</f>
        <v>14.6</v>
      </c>
      <c r="D782" s="275">
        <f>ROUND(AY61,0)</f>
        <v>612362</v>
      </c>
      <c r="E782" s="275">
        <f>ROUND(AY62,0)</f>
        <v>142510</v>
      </c>
      <c r="F782" s="275">
        <f>ROUND(AY63,0)</f>
        <v>0</v>
      </c>
      <c r="G782" s="275">
        <f>ROUND(AY64,0)</f>
        <v>315622</v>
      </c>
      <c r="H782" s="275">
        <f>ROUND(AY65,0)</f>
        <v>0</v>
      </c>
      <c r="I782" s="275">
        <f>ROUND(AY66,0)</f>
        <v>17072</v>
      </c>
      <c r="J782" s="275">
        <f>ROUND(AY67,0)</f>
        <v>125165</v>
      </c>
      <c r="K782" s="275">
        <f>ROUND(AY68,0)</f>
        <v>2261</v>
      </c>
      <c r="L782" s="275">
        <f>ROUND(AY69,0)</f>
        <v>4707</v>
      </c>
      <c r="M782" s="275">
        <f>ROUND(AY70,0)</f>
        <v>0</v>
      </c>
      <c r="N782" s="275"/>
      <c r="O782" s="275"/>
      <c r="P782" s="275">
        <f>IF(AY76&gt;0,ROUND(AY76,0),0)</f>
        <v>4025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140*2018*8330*A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140*2018*8350*A</v>
      </c>
      <c r="B784" s="275">
        <f>ROUND(BA59,0)</f>
        <v>0</v>
      </c>
      <c r="C784" s="277">
        <f>ROUND(BA60,2)</f>
        <v>2.9</v>
      </c>
      <c r="D784" s="275">
        <f>ROUND(BA61,0)</f>
        <v>102606</v>
      </c>
      <c r="E784" s="275">
        <f>ROUND(BA62,0)</f>
        <v>23879</v>
      </c>
      <c r="F784" s="275">
        <f>ROUND(BA63,0)</f>
        <v>0</v>
      </c>
      <c r="G784" s="275">
        <f>ROUND(BA64,0)</f>
        <v>26281</v>
      </c>
      <c r="H784" s="275">
        <f>ROUND(BA65,0)</f>
        <v>0</v>
      </c>
      <c r="I784" s="275">
        <f>ROUND(BA66,0)</f>
        <v>649</v>
      </c>
      <c r="J784" s="275">
        <f>ROUND(BA67,0)</f>
        <v>26557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854</v>
      </c>
      <c r="Q784" s="275">
        <f>IF(BA77&gt;0,ROUND(BA77,0),0)</f>
        <v>0</v>
      </c>
      <c r="R784" s="275">
        <f>IF(BA78&gt;0,ROUND(BA78,0),0)</f>
        <v>312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140*2018*8360*A</v>
      </c>
      <c r="B785" s="275"/>
      <c r="C785" s="277">
        <f>ROUND(BB60,2)</f>
        <v>1.7</v>
      </c>
      <c r="D785" s="275">
        <f>ROUND(BB61,0)</f>
        <v>134233</v>
      </c>
      <c r="E785" s="275">
        <f>ROUND(BB62,0)</f>
        <v>31239</v>
      </c>
      <c r="F785" s="275">
        <f>ROUND(BB63,0)</f>
        <v>0</v>
      </c>
      <c r="G785" s="275">
        <f>ROUND(BB64,0)</f>
        <v>134</v>
      </c>
      <c r="H785" s="275">
        <f>ROUND(BB65,0)</f>
        <v>0</v>
      </c>
      <c r="I785" s="275">
        <f>ROUND(BB66,0)</f>
        <v>4726</v>
      </c>
      <c r="J785" s="275">
        <f>ROUND(BB67,0)</f>
        <v>6717</v>
      </c>
      <c r="K785" s="275">
        <f>ROUND(BB68,0)</f>
        <v>0</v>
      </c>
      <c r="L785" s="275">
        <f>ROUND(BB69,0)</f>
        <v>249</v>
      </c>
      <c r="M785" s="275">
        <f>ROUND(BB70,0)</f>
        <v>0</v>
      </c>
      <c r="N785" s="275"/>
      <c r="O785" s="275"/>
      <c r="P785" s="275">
        <f>IF(BB76&gt;0,ROUND(BB76,0),0)</f>
        <v>216</v>
      </c>
      <c r="Q785" s="275">
        <f>IF(BB77&gt;0,ROUND(BB77,0),0)</f>
        <v>0</v>
      </c>
      <c r="R785" s="275">
        <f>IF(BB78&gt;0,ROUND(BB78,0),0)</f>
        <v>79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140*2018*8370*A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140*2018*8420*A</v>
      </c>
      <c r="B787" s="275"/>
      <c r="C787" s="277">
        <f>ROUND(BD60,2)</f>
        <v>5.6</v>
      </c>
      <c r="D787" s="275">
        <f>ROUND(BD61,0)</f>
        <v>264418</v>
      </c>
      <c r="E787" s="275">
        <f>ROUND(BD62,0)</f>
        <v>61536</v>
      </c>
      <c r="F787" s="275">
        <f>ROUND(BD63,0)</f>
        <v>0</v>
      </c>
      <c r="G787" s="275">
        <f>ROUND(BD64,0)</f>
        <v>-79533</v>
      </c>
      <c r="H787" s="275">
        <f>ROUND(BD65,0)</f>
        <v>0</v>
      </c>
      <c r="I787" s="275">
        <f>ROUND(BD66,0)</f>
        <v>156899</v>
      </c>
      <c r="J787" s="275">
        <f>ROUND(BD67,0)</f>
        <v>49941</v>
      </c>
      <c r="K787" s="275">
        <f>ROUND(BD68,0)</f>
        <v>49938</v>
      </c>
      <c r="L787" s="275">
        <f>ROUND(BD69,0)</f>
        <v>221</v>
      </c>
      <c r="M787" s="275">
        <f>ROUND(BD70,0)</f>
        <v>0</v>
      </c>
      <c r="N787" s="275"/>
      <c r="O787" s="275"/>
      <c r="P787" s="275">
        <f>IF(BD76&gt;0,ROUND(BD76,0),0)</f>
        <v>1606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140*2018*8430*A</v>
      </c>
      <c r="B788" s="275">
        <f>ROUND(BE59,0)</f>
        <v>106691</v>
      </c>
      <c r="C788" s="277">
        <f>ROUND(BE60,2)</f>
        <v>7.1</v>
      </c>
      <c r="D788" s="275">
        <f>ROUND(BE61,0)</f>
        <v>447661</v>
      </c>
      <c r="E788" s="275">
        <f>ROUND(BE62,0)</f>
        <v>104181</v>
      </c>
      <c r="F788" s="275">
        <f>ROUND(BE63,0)</f>
        <v>18446</v>
      </c>
      <c r="G788" s="275">
        <f>ROUND(BE64,0)</f>
        <v>43503</v>
      </c>
      <c r="H788" s="275">
        <f>ROUND(BE65,0)</f>
        <v>677552</v>
      </c>
      <c r="I788" s="275">
        <f>ROUND(BE66,0)</f>
        <v>583530</v>
      </c>
      <c r="J788" s="275">
        <f>ROUND(BE67,0)</f>
        <v>189255</v>
      </c>
      <c r="K788" s="275">
        <f>ROUND(BE68,0)</f>
        <v>1581</v>
      </c>
      <c r="L788" s="275">
        <f>ROUND(BE69,0)</f>
        <v>5313</v>
      </c>
      <c r="M788" s="275">
        <f>ROUND(BE70,0)</f>
        <v>0</v>
      </c>
      <c r="N788" s="275"/>
      <c r="O788" s="275"/>
      <c r="P788" s="275">
        <f>IF(BE76&gt;0,ROUND(BE76,0),0)</f>
        <v>6086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140*2018*8460*A</v>
      </c>
      <c r="B789" s="275"/>
      <c r="C789" s="277">
        <f>ROUND(BF60,2)</f>
        <v>17.899999999999999</v>
      </c>
      <c r="D789" s="275">
        <f>ROUND(BF61,0)</f>
        <v>581922</v>
      </c>
      <c r="E789" s="275">
        <f>ROUND(BF62,0)</f>
        <v>135426</v>
      </c>
      <c r="F789" s="275">
        <f>ROUND(BF63,0)</f>
        <v>0</v>
      </c>
      <c r="G789" s="275">
        <f>ROUND(BF64,0)</f>
        <v>180656</v>
      </c>
      <c r="H789" s="275">
        <f>ROUND(BF65,0)</f>
        <v>0</v>
      </c>
      <c r="I789" s="275">
        <f>ROUND(BF66,0)</f>
        <v>101651</v>
      </c>
      <c r="J789" s="275">
        <f>ROUND(BF67,0)</f>
        <v>6095</v>
      </c>
      <c r="K789" s="275">
        <f>ROUND(BF68,0)</f>
        <v>0</v>
      </c>
      <c r="L789" s="275">
        <f>ROUND(BF69,0)</f>
        <v>4664</v>
      </c>
      <c r="M789" s="275">
        <f>ROUND(BF70,0)</f>
        <v>0</v>
      </c>
      <c r="N789" s="275"/>
      <c r="O789" s="275"/>
      <c r="P789" s="275">
        <f>IF(BF76&gt;0,ROUND(BF76,0),0)</f>
        <v>196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140*2018*8470*A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140*2018*8480*A</v>
      </c>
      <c r="B791" s="275"/>
      <c r="C791" s="277">
        <f>ROUND(BH60,2)</f>
        <v>15.9</v>
      </c>
      <c r="D791" s="275">
        <f>ROUND(BH61,0)</f>
        <v>1076126</v>
      </c>
      <c r="E791" s="275">
        <f>ROUND(BH62,0)</f>
        <v>250438</v>
      </c>
      <c r="F791" s="275">
        <f>ROUND(BH63,0)</f>
        <v>12170</v>
      </c>
      <c r="G791" s="275">
        <f>ROUND(BH64,0)</f>
        <v>263189</v>
      </c>
      <c r="H791" s="275">
        <f>ROUND(BH65,0)</f>
        <v>36274</v>
      </c>
      <c r="I791" s="275">
        <f>ROUND(BH66,0)</f>
        <v>1957973</v>
      </c>
      <c r="J791" s="275">
        <f>ROUND(BH67,0)</f>
        <v>29355</v>
      </c>
      <c r="K791" s="275">
        <f>ROUND(BH68,0)</f>
        <v>1209</v>
      </c>
      <c r="L791" s="275">
        <f>ROUND(BH69,0)</f>
        <v>43661</v>
      </c>
      <c r="M791" s="275">
        <f>ROUND(BH70,0)</f>
        <v>0</v>
      </c>
      <c r="N791" s="275"/>
      <c r="O791" s="275"/>
      <c r="P791" s="275">
        <f>IF(BH76&gt;0,ROUND(BH76,0),0)</f>
        <v>944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140*2018*8490*A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140*2018*8510*A</v>
      </c>
      <c r="B793" s="275"/>
      <c r="C793" s="277">
        <f>ROUND(BJ60,2)</f>
        <v>5.9</v>
      </c>
      <c r="D793" s="275">
        <f>ROUND(BJ61,0)</f>
        <v>460870</v>
      </c>
      <c r="E793" s="275">
        <f>ROUND(BJ62,0)</f>
        <v>107255</v>
      </c>
      <c r="F793" s="275">
        <f>ROUND(BJ63,0)</f>
        <v>94685</v>
      </c>
      <c r="G793" s="275">
        <f>ROUND(BJ64,0)</f>
        <v>5466</v>
      </c>
      <c r="H793" s="275">
        <f>ROUND(BJ65,0)</f>
        <v>0</v>
      </c>
      <c r="I793" s="275">
        <f>ROUND(BJ66,0)</f>
        <v>186413</v>
      </c>
      <c r="J793" s="275">
        <f>ROUND(BJ67,0)</f>
        <v>15020</v>
      </c>
      <c r="K793" s="275">
        <f>ROUND(BJ68,0)</f>
        <v>0</v>
      </c>
      <c r="L793" s="275">
        <f>ROUND(BJ69,0)</f>
        <v>4664</v>
      </c>
      <c r="M793" s="275">
        <f>ROUND(BJ70,0)</f>
        <v>0</v>
      </c>
      <c r="N793" s="275"/>
      <c r="O793" s="275"/>
      <c r="P793" s="275">
        <f>IF(BJ76&gt;0,ROUND(BJ76,0),0)</f>
        <v>483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140*2018*8530*A</v>
      </c>
      <c r="B794" s="275"/>
      <c r="C794" s="277">
        <f>ROUND(BK60,2)</f>
        <v>26.8</v>
      </c>
      <c r="D794" s="275">
        <f>ROUND(BK61,0)</f>
        <v>1279688</v>
      </c>
      <c r="E794" s="275">
        <f>ROUND(BK62,0)</f>
        <v>297812</v>
      </c>
      <c r="F794" s="275">
        <f>ROUND(BK63,0)</f>
        <v>12829</v>
      </c>
      <c r="G794" s="275">
        <f>ROUND(BK64,0)</f>
        <v>52433</v>
      </c>
      <c r="H794" s="275">
        <f>ROUND(BK65,0)</f>
        <v>26641</v>
      </c>
      <c r="I794" s="275">
        <f>ROUND(BK66,0)</f>
        <v>1275503</v>
      </c>
      <c r="J794" s="275">
        <f>ROUND(BK67,0)</f>
        <v>52989</v>
      </c>
      <c r="K794" s="275">
        <f>ROUND(BK68,0)</f>
        <v>74629</v>
      </c>
      <c r="L794" s="275">
        <f>ROUND(BK69,0)</f>
        <v>1659</v>
      </c>
      <c r="M794" s="275">
        <f>ROUND(BK70,0)</f>
        <v>0</v>
      </c>
      <c r="N794" s="275"/>
      <c r="O794" s="275"/>
      <c r="P794" s="275">
        <f>IF(BK76&gt;0,ROUND(BK76,0),0)</f>
        <v>1704</v>
      </c>
      <c r="Q794" s="275">
        <f>IF(BK77&gt;0,ROUND(BK77,0),0)</f>
        <v>0</v>
      </c>
      <c r="R794" s="275">
        <f>IF(BK78&gt;0,ROUND(BK78,0),0)</f>
        <v>2659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140*2018*8560*A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140*2018*8590*A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140*2018*8610*A</v>
      </c>
      <c r="B797" s="275"/>
      <c r="C797" s="277">
        <f>ROUND(BN60,2)</f>
        <v>5.9</v>
      </c>
      <c r="D797" s="275">
        <f>ROUND(BN61,0)</f>
        <v>1230095</v>
      </c>
      <c r="E797" s="275">
        <f>ROUND(BN62,0)</f>
        <v>286270</v>
      </c>
      <c r="F797" s="275">
        <f>ROUND(BN63,0)</f>
        <v>77329</v>
      </c>
      <c r="G797" s="275">
        <f>ROUND(BN64,0)</f>
        <v>76771</v>
      </c>
      <c r="H797" s="275">
        <f>ROUND(BN65,0)</f>
        <v>1215</v>
      </c>
      <c r="I797" s="275">
        <f>ROUND(BN66,0)</f>
        <v>67498</v>
      </c>
      <c r="J797" s="275">
        <f>ROUND(BN67,0)</f>
        <v>95187</v>
      </c>
      <c r="K797" s="275">
        <f>ROUND(BN68,0)</f>
        <v>0</v>
      </c>
      <c r="L797" s="275">
        <f>ROUND(BN69,0)</f>
        <v>186850</v>
      </c>
      <c r="M797" s="275">
        <f>ROUND(BN70,0)</f>
        <v>0</v>
      </c>
      <c r="N797" s="275"/>
      <c r="O797" s="275"/>
      <c r="P797" s="275">
        <f>IF(BN76&gt;0,ROUND(BN76,0),0)</f>
        <v>3061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140*2018*8620*A</v>
      </c>
      <c r="B798" s="275"/>
      <c r="C798" s="277">
        <f>ROUND(BO60,2)</f>
        <v>0.6</v>
      </c>
      <c r="D798" s="275">
        <f>ROUND(BO61,0)</f>
        <v>59633</v>
      </c>
      <c r="E798" s="275">
        <f>ROUND(BO62,0)</f>
        <v>13878</v>
      </c>
      <c r="F798" s="275">
        <f>ROUND(BO63,0)</f>
        <v>0</v>
      </c>
      <c r="G798" s="275">
        <f>ROUND(BO64,0)</f>
        <v>1856</v>
      </c>
      <c r="H798" s="275">
        <f>ROUND(BO65,0)</f>
        <v>360</v>
      </c>
      <c r="I798" s="275">
        <f>ROUND(BO66,0)</f>
        <v>793</v>
      </c>
      <c r="J798" s="275">
        <f>ROUND(BO67,0)</f>
        <v>3265</v>
      </c>
      <c r="K798" s="275">
        <f>ROUND(BO68,0)</f>
        <v>0</v>
      </c>
      <c r="L798" s="275">
        <f>ROUND(BO69,0)</f>
        <v>3741</v>
      </c>
      <c r="M798" s="275">
        <f>ROUND(BO70,0)</f>
        <v>0</v>
      </c>
      <c r="N798" s="275"/>
      <c r="O798" s="275"/>
      <c r="P798" s="275">
        <f>IF(BO76&gt;0,ROUND(BO76,0),0)</f>
        <v>105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140*2018*8630*A</v>
      </c>
      <c r="B799" s="275"/>
      <c r="C799" s="277">
        <f>ROUND(BP60,2)</f>
        <v>3</v>
      </c>
      <c r="D799" s="275">
        <f>ROUND(BP61,0)</f>
        <v>205829</v>
      </c>
      <c r="E799" s="275">
        <f>ROUND(BP62,0)</f>
        <v>47901</v>
      </c>
      <c r="F799" s="275">
        <f>ROUND(BP63,0)</f>
        <v>3409</v>
      </c>
      <c r="G799" s="275">
        <f>ROUND(BP64,0)</f>
        <v>14331</v>
      </c>
      <c r="H799" s="275">
        <f>ROUND(BP65,0)</f>
        <v>0</v>
      </c>
      <c r="I799" s="275">
        <f>ROUND(BP66,0)</f>
        <v>14779</v>
      </c>
      <c r="J799" s="275">
        <f>ROUND(BP67,0)</f>
        <v>3172</v>
      </c>
      <c r="K799" s="275">
        <f>ROUND(BP68,0)</f>
        <v>534</v>
      </c>
      <c r="L799" s="275">
        <f>ROUND(BP69,0)</f>
        <v>189805</v>
      </c>
      <c r="M799" s="275">
        <f>ROUND(BP70,0)</f>
        <v>0</v>
      </c>
      <c r="N799" s="275"/>
      <c r="O799" s="275"/>
      <c r="P799" s="275">
        <f>IF(BP76&gt;0,ROUND(BP76,0),0)</f>
        <v>102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140*2018*8640*A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140*2018*8650*A</v>
      </c>
      <c r="B801" s="275"/>
      <c r="C801" s="277">
        <f>ROUND(BR60,2)</f>
        <v>5</v>
      </c>
      <c r="D801" s="275">
        <f>ROUND(BR61,0)</f>
        <v>394146</v>
      </c>
      <c r="E801" s="275">
        <f>ROUND(BR62,0)</f>
        <v>91726</v>
      </c>
      <c r="F801" s="275">
        <f>ROUND(BR63,0)</f>
        <v>50724</v>
      </c>
      <c r="G801" s="275">
        <f>ROUND(BR64,0)</f>
        <v>18444</v>
      </c>
      <c r="H801" s="275">
        <f>ROUND(BR65,0)</f>
        <v>405</v>
      </c>
      <c r="I801" s="275">
        <f>ROUND(BR66,0)</f>
        <v>152604</v>
      </c>
      <c r="J801" s="275">
        <f>ROUND(BR67,0)</f>
        <v>17352</v>
      </c>
      <c r="K801" s="275">
        <f>ROUND(BR68,0)</f>
        <v>0</v>
      </c>
      <c r="L801" s="275">
        <f>ROUND(BR69,0)</f>
        <v>37900</v>
      </c>
      <c r="M801" s="275">
        <f>ROUND(BR70,0)</f>
        <v>0</v>
      </c>
      <c r="N801" s="275"/>
      <c r="O801" s="275"/>
      <c r="P801" s="275">
        <f>IF(BR76&gt;0,ROUND(BR76,0),0)</f>
        <v>558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140*2018*8660*A</v>
      </c>
      <c r="B802" s="275"/>
      <c r="C802" s="277">
        <f>ROUND(BS60,2)</f>
        <v>1</v>
      </c>
      <c r="D802" s="275">
        <f>ROUND(BS61,0)</f>
        <v>68337</v>
      </c>
      <c r="E802" s="275">
        <f>ROUND(BS62,0)</f>
        <v>15904</v>
      </c>
      <c r="F802" s="275">
        <f>ROUND(BS63,0)</f>
        <v>0</v>
      </c>
      <c r="G802" s="275">
        <f>ROUND(BS64,0)</f>
        <v>5380</v>
      </c>
      <c r="H802" s="275">
        <f>ROUND(BS65,0)</f>
        <v>0</v>
      </c>
      <c r="I802" s="275">
        <f>ROUND(BS66,0)</f>
        <v>3510</v>
      </c>
      <c r="J802" s="275">
        <f>ROUND(BS67,0)</f>
        <v>10044</v>
      </c>
      <c r="K802" s="275">
        <f>ROUND(BS68,0)</f>
        <v>0</v>
      </c>
      <c r="L802" s="275">
        <f>ROUND(BS69,0)</f>
        <v>850</v>
      </c>
      <c r="M802" s="275">
        <f>ROUND(BS70,0)</f>
        <v>0</v>
      </c>
      <c r="N802" s="275"/>
      <c r="O802" s="275"/>
      <c r="P802" s="275">
        <f>IF(BS76&gt;0,ROUND(BS76,0),0)</f>
        <v>323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140*2018*8670*A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140*2018*8680*A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140*2018*8690*A</v>
      </c>
      <c r="B805" s="275"/>
      <c r="C805" s="277">
        <f>ROUND(BV60,2)</f>
        <v>11</v>
      </c>
      <c r="D805" s="275">
        <f>ROUND(BV61,0)</f>
        <v>672963</v>
      </c>
      <c r="E805" s="275">
        <f>ROUND(BV62,0)</f>
        <v>156613</v>
      </c>
      <c r="F805" s="275">
        <f>ROUND(BV63,0)</f>
        <v>0</v>
      </c>
      <c r="G805" s="275">
        <f>ROUND(BV64,0)</f>
        <v>6143</v>
      </c>
      <c r="H805" s="275">
        <f>ROUND(BV65,0)</f>
        <v>0</v>
      </c>
      <c r="I805" s="275">
        <f>ROUND(BV66,0)</f>
        <v>1234337</v>
      </c>
      <c r="J805" s="275">
        <f>ROUND(BV67,0)</f>
        <v>0</v>
      </c>
      <c r="K805" s="275">
        <f>ROUND(BV68,0)</f>
        <v>0</v>
      </c>
      <c r="L805" s="275">
        <f>ROUND(BV69,0)</f>
        <v>3065</v>
      </c>
      <c r="M805" s="275">
        <f>ROUND(BV70,0)</f>
        <v>0</v>
      </c>
      <c r="N805" s="275"/>
      <c r="O805" s="275"/>
      <c r="P805" s="275">
        <f>IF(BV76&gt;0,ROUND(BV76,0),0)</f>
        <v>0</v>
      </c>
      <c r="Q805" s="275">
        <f>IF(BV77&gt;0,ROUND(BV77,0),0)</f>
        <v>0</v>
      </c>
      <c r="R805" s="275">
        <f>IF(BV78&gt;0,ROUND(BV78,0),0)</f>
        <v>651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140*2018*8700*A</v>
      </c>
      <c r="B806" s="275"/>
      <c r="C806" s="277">
        <f>ROUND(BW60,2)</f>
        <v>3.6</v>
      </c>
      <c r="D806" s="275">
        <f>ROUND(BW61,0)</f>
        <v>470498</v>
      </c>
      <c r="E806" s="275">
        <f>ROUND(BW62,0)</f>
        <v>109495</v>
      </c>
      <c r="F806" s="275">
        <f>ROUND(BW63,0)</f>
        <v>0</v>
      </c>
      <c r="G806" s="275">
        <f>ROUND(BW64,0)</f>
        <v>3968</v>
      </c>
      <c r="H806" s="275">
        <f>ROUND(BW65,0)</f>
        <v>180</v>
      </c>
      <c r="I806" s="275">
        <f>ROUND(BW66,0)</f>
        <v>5953</v>
      </c>
      <c r="J806" s="275">
        <f>ROUND(BW67,0)</f>
        <v>0</v>
      </c>
      <c r="K806" s="275">
        <f>ROUND(BW68,0)</f>
        <v>0</v>
      </c>
      <c r="L806" s="275">
        <f>ROUND(BW69,0)</f>
        <v>40111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140*2018*8710*A</v>
      </c>
      <c r="B807" s="275"/>
      <c r="C807" s="277">
        <f>ROUND(BX60,2)</f>
        <v>7.1</v>
      </c>
      <c r="D807" s="275">
        <f>ROUND(BX61,0)</f>
        <v>609158</v>
      </c>
      <c r="E807" s="275">
        <f>ROUND(BX62,0)</f>
        <v>141764</v>
      </c>
      <c r="F807" s="275">
        <f>ROUND(BX63,0)</f>
        <v>0</v>
      </c>
      <c r="G807" s="275">
        <f>ROUND(BX64,0)</f>
        <v>6883</v>
      </c>
      <c r="H807" s="275">
        <f>ROUND(BX65,0)</f>
        <v>720</v>
      </c>
      <c r="I807" s="275">
        <f>ROUND(BX66,0)</f>
        <v>114114</v>
      </c>
      <c r="J807" s="275">
        <f>ROUND(BX67,0)</f>
        <v>0</v>
      </c>
      <c r="K807" s="275">
        <f>ROUND(BX68,0)</f>
        <v>0</v>
      </c>
      <c r="L807" s="275">
        <f>ROUND(BX69,0)</f>
        <v>7868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140*2018*8720*A</v>
      </c>
      <c r="B808" s="275"/>
      <c r="C808" s="277">
        <f>ROUND(BY60,2)</f>
        <v>10.3</v>
      </c>
      <c r="D808" s="275">
        <f>ROUND(BY61,0)</f>
        <v>1155330</v>
      </c>
      <c r="E808" s="275">
        <f>ROUND(BY62,0)</f>
        <v>268871</v>
      </c>
      <c r="F808" s="275">
        <f>ROUND(BY63,0)</f>
        <v>0</v>
      </c>
      <c r="G808" s="275">
        <f>ROUND(BY64,0)</f>
        <v>10696</v>
      </c>
      <c r="H808" s="275">
        <f>ROUND(BY65,0)</f>
        <v>540</v>
      </c>
      <c r="I808" s="275">
        <f>ROUND(BY66,0)</f>
        <v>145526</v>
      </c>
      <c r="J808" s="275">
        <f>ROUND(BY67,0)</f>
        <v>0</v>
      </c>
      <c r="K808" s="275">
        <f>ROUND(BY68,0)</f>
        <v>0</v>
      </c>
      <c r="L808" s="275">
        <f>ROUND(BY69,0)</f>
        <v>9628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173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140*2018*8730*A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140*2018*8740*A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140*2018*8770*A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140*2018*8790*A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140*2018*9000*A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2897122</v>
      </c>
      <c r="W813" s="275">
        <f>ROUND(CE72,0)</f>
        <v>1481572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473.30000000000007</v>
      </c>
      <c r="D815" s="276">
        <f t="shared" si="22"/>
        <v>40233289</v>
      </c>
      <c r="E815" s="276">
        <f t="shared" si="22"/>
        <v>9363173</v>
      </c>
      <c r="F815" s="276">
        <f t="shared" si="22"/>
        <v>681817</v>
      </c>
      <c r="G815" s="276">
        <f t="shared" si="22"/>
        <v>8935180</v>
      </c>
      <c r="H815" s="276">
        <f t="shared" si="22"/>
        <v>939910</v>
      </c>
      <c r="I815" s="276">
        <f t="shared" si="22"/>
        <v>10886762</v>
      </c>
      <c r="J815" s="276">
        <f t="shared" si="22"/>
        <v>3317745</v>
      </c>
      <c r="K815" s="276">
        <f t="shared" si="22"/>
        <v>1427746</v>
      </c>
      <c r="L815" s="276">
        <f>SUM(L734:L813)+SUM(U734:U813)</f>
        <v>895580</v>
      </c>
      <c r="M815" s="276">
        <f>SUM(M734:M813)+SUM(V734:V813)</f>
        <v>2897122</v>
      </c>
      <c r="N815" s="276">
        <f t="shared" ref="N815:Y815" si="23">SUM(N734:N813)</f>
        <v>140104003</v>
      </c>
      <c r="O815" s="276">
        <f t="shared" si="23"/>
        <v>21354997</v>
      </c>
      <c r="P815" s="276">
        <f t="shared" si="23"/>
        <v>106691</v>
      </c>
      <c r="Q815" s="276">
        <f t="shared" si="23"/>
        <v>10307</v>
      </c>
      <c r="R815" s="276">
        <f t="shared" si="23"/>
        <v>30089</v>
      </c>
      <c r="S815" s="276">
        <f t="shared" si="23"/>
        <v>276874</v>
      </c>
      <c r="T815" s="280">
        <f t="shared" si="23"/>
        <v>98.35</v>
      </c>
      <c r="U815" s="276">
        <f t="shared" si="23"/>
        <v>0</v>
      </c>
      <c r="V815" s="276">
        <f t="shared" si="23"/>
        <v>2897122</v>
      </c>
      <c r="W815" s="276">
        <f t="shared" si="23"/>
        <v>1481572</v>
      </c>
      <c r="X815" s="276">
        <f t="shared" si="23"/>
        <v>0</v>
      </c>
      <c r="Y815" s="276">
        <f t="shared" si="23"/>
        <v>18509905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473.30000000000007</v>
      </c>
      <c r="D816" s="276">
        <f>CE61</f>
        <v>40233289</v>
      </c>
      <c r="E816" s="276">
        <f>CE62</f>
        <v>9363173</v>
      </c>
      <c r="F816" s="276">
        <f>CE63</f>
        <v>681817</v>
      </c>
      <c r="G816" s="276">
        <f>CE64</f>
        <v>8935180</v>
      </c>
      <c r="H816" s="279">
        <f>CE65</f>
        <v>939910</v>
      </c>
      <c r="I816" s="279">
        <f>CE66</f>
        <v>10886762</v>
      </c>
      <c r="J816" s="279">
        <f>CE67</f>
        <v>3317745</v>
      </c>
      <c r="K816" s="279">
        <f>CE68</f>
        <v>1427745.22</v>
      </c>
      <c r="L816" s="279">
        <f>CE69</f>
        <v>895580</v>
      </c>
      <c r="M816" s="279">
        <f>CE70</f>
        <v>2897122</v>
      </c>
      <c r="N816" s="276">
        <f>CE75</f>
        <v>140104003</v>
      </c>
      <c r="O816" s="276">
        <f>CE73</f>
        <v>21354997</v>
      </c>
      <c r="P816" s="276">
        <f>CE76</f>
        <v>106691</v>
      </c>
      <c r="Q816" s="276">
        <f>CE77</f>
        <v>10307</v>
      </c>
      <c r="R816" s="276">
        <f>CE78</f>
        <v>30089</v>
      </c>
      <c r="S816" s="276">
        <f>CE79</f>
        <v>276874</v>
      </c>
      <c r="T816" s="280">
        <f>CE80</f>
        <v>98.35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18509905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40233287</v>
      </c>
      <c r="E817" s="180">
        <f>C379</f>
        <v>9363173</v>
      </c>
      <c r="F817" s="180">
        <f>C380</f>
        <v>681817</v>
      </c>
      <c r="G817" s="240">
        <f>C381</f>
        <v>8935181</v>
      </c>
      <c r="H817" s="240">
        <f>C382</f>
        <v>939910</v>
      </c>
      <c r="I817" s="240">
        <f>C383</f>
        <v>10886762</v>
      </c>
      <c r="J817" s="240">
        <f>C384</f>
        <v>3317747</v>
      </c>
      <c r="K817" s="240">
        <f>C385</f>
        <v>1427745</v>
      </c>
      <c r="L817" s="240">
        <f>C386+C387+C388+C389</f>
        <v>2494068</v>
      </c>
      <c r="M817" s="240">
        <f>C370</f>
        <v>2897122</v>
      </c>
      <c r="N817" s="180">
        <f>D361</f>
        <v>140104003</v>
      </c>
      <c r="O817" s="180">
        <f>C359</f>
        <v>21564135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Kittitas Valley Healthcare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603 South Chestnut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603 South Chestnut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Ellensburg, WA 98926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B4" sqref="B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H-140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Kittitas Valley Healthcare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Kittitas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Julie A. Petersen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Dale Scott Olander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Dr. Bob Davis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962-9841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962-7351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1000</v>
      </c>
      <c r="G23" s="21">
        <f>data!D111</f>
        <v>2225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6</v>
      </c>
      <c r="G24" s="21">
        <f>data!D112</f>
        <v>48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309</v>
      </c>
      <c r="G26" s="13">
        <f>data!D114</f>
        <v>498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6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E7" sqref="E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Kittitas Valley Healthcare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370</v>
      </c>
      <c r="C7" s="48">
        <f>data!B139</f>
        <v>1074</v>
      </c>
      <c r="D7" s="48">
        <f>data!B140</f>
        <v>63177</v>
      </c>
      <c r="E7" s="48">
        <f>data!B141</f>
        <v>11261869</v>
      </c>
      <c r="F7" s="48">
        <f>data!B142</f>
        <v>50715081</v>
      </c>
      <c r="G7" s="48">
        <f>data!B141+data!B142</f>
        <v>61976950</v>
      </c>
    </row>
    <row r="8" spans="1:13" ht="20.100000000000001" customHeight="1" x14ac:dyDescent="0.25">
      <c r="A8" s="23" t="s">
        <v>297</v>
      </c>
      <c r="B8" s="48">
        <f>data!C138</f>
        <v>368</v>
      </c>
      <c r="C8" s="48">
        <f>data!C139</f>
        <v>790</v>
      </c>
      <c r="D8" s="48">
        <f>data!C140</f>
        <v>28581</v>
      </c>
      <c r="E8" s="48">
        <f>data!C141</f>
        <v>4499234</v>
      </c>
      <c r="F8" s="48">
        <f>data!C142</f>
        <v>22943060</v>
      </c>
      <c r="G8" s="48">
        <f>data!C141+data!C142</f>
        <v>27442294</v>
      </c>
    </row>
    <row r="9" spans="1:13" ht="20.100000000000001" customHeight="1" x14ac:dyDescent="0.25">
      <c r="A9" s="23" t="s">
        <v>1058</v>
      </c>
      <c r="B9" s="48">
        <f>data!D138</f>
        <v>262</v>
      </c>
      <c r="C9" s="48">
        <f>data!D139</f>
        <v>907</v>
      </c>
      <c r="D9" s="48">
        <f>data!D140</f>
        <v>70744</v>
      </c>
      <c r="E9" s="48">
        <f>data!D141</f>
        <v>6421596</v>
      </c>
      <c r="F9" s="48">
        <f>data!D142</f>
        <v>56788774</v>
      </c>
      <c r="G9" s="48">
        <f>data!D141+data!D142</f>
        <v>63210370</v>
      </c>
    </row>
    <row r="10" spans="1:13" ht="20.100000000000001" customHeight="1" x14ac:dyDescent="0.25">
      <c r="A10" s="111" t="s">
        <v>203</v>
      </c>
      <c r="B10" s="48">
        <f>data!E138</f>
        <v>1000</v>
      </c>
      <c r="C10" s="48">
        <f>data!E139</f>
        <v>2771</v>
      </c>
      <c r="D10" s="48">
        <f>data!E140</f>
        <v>162502</v>
      </c>
      <c r="E10" s="48">
        <f>data!E141</f>
        <v>22182699</v>
      </c>
      <c r="F10" s="48">
        <f>data!E142</f>
        <v>130446915</v>
      </c>
      <c r="G10" s="48">
        <f>data!E141+data!E142</f>
        <v>152629614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6</v>
      </c>
      <c r="C16" s="48">
        <f>data!B145</f>
        <v>48</v>
      </c>
      <c r="D16" s="48">
        <f>data!B146</f>
        <v>0</v>
      </c>
      <c r="E16" s="48">
        <f>data!B147</f>
        <v>45448</v>
      </c>
      <c r="F16" s="48">
        <f>data!B148</f>
        <v>0</v>
      </c>
      <c r="G16" s="48">
        <f>data!B147+data!B148</f>
        <v>45448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6</v>
      </c>
      <c r="C19" s="48">
        <f>data!E145</f>
        <v>48</v>
      </c>
      <c r="D19" s="48">
        <f>data!E146</f>
        <v>0</v>
      </c>
      <c r="E19" s="48">
        <f>data!E147</f>
        <v>45448</v>
      </c>
      <c r="F19" s="48">
        <f>data!E148</f>
        <v>0</v>
      </c>
      <c r="G19" s="48">
        <f>data!E147+data!E148</f>
        <v>45448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4533207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4519097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9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Kittitas Valley Healthcare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2827934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64664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199921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3963092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51399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2346454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119912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19305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9592681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695753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755518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1451271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250385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279946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530331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134215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711151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845366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507287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507287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F15" sqref="F15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Kittitas Valley Healthcare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2324730</v>
      </c>
      <c r="D7" s="21">
        <f>data!C195</f>
        <v>120000</v>
      </c>
      <c r="E7" s="21">
        <f>data!D195</f>
        <v>0</v>
      </c>
      <c r="F7" s="21">
        <f>data!E195</f>
        <v>2444730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418230</v>
      </c>
      <c r="D8" s="21">
        <f>data!C196</f>
        <v>0</v>
      </c>
      <c r="E8" s="21">
        <f>data!D196</f>
        <v>0</v>
      </c>
      <c r="F8" s="21">
        <f>data!E196</f>
        <v>418230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40762133</v>
      </c>
      <c r="D9" s="21">
        <f>data!C197</f>
        <v>739155</v>
      </c>
      <c r="E9" s="21">
        <f>data!D197</f>
        <v>141932</v>
      </c>
      <c r="F9" s="21">
        <f>data!E197</f>
        <v>41359356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4609905</v>
      </c>
      <c r="D10" s="21">
        <f>data!C198</f>
        <v>0</v>
      </c>
      <c r="E10" s="21">
        <f>data!D198</f>
        <v>143862</v>
      </c>
      <c r="F10" s="21">
        <f>data!E198</f>
        <v>4466043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30766325</v>
      </c>
      <c r="D12" s="21">
        <f>data!C200</f>
        <v>1055622</v>
      </c>
      <c r="E12" s="21">
        <f>data!D200</f>
        <v>1793073</v>
      </c>
      <c r="F12" s="21">
        <f>data!E200</f>
        <v>30028874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299480</v>
      </c>
      <c r="D15" s="21">
        <f>data!C203</f>
        <v>4051429</v>
      </c>
      <c r="E15" s="21">
        <f>data!D203</f>
        <v>0</v>
      </c>
      <c r="F15" s="21">
        <f>data!E203</f>
        <v>4350909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79180803</v>
      </c>
      <c r="D16" s="21">
        <f>data!C204</f>
        <v>5966206</v>
      </c>
      <c r="E16" s="21">
        <f>data!D204</f>
        <v>2078867</v>
      </c>
      <c r="F16" s="21">
        <f>data!E204</f>
        <v>83068142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421411</v>
      </c>
      <c r="D24" s="21">
        <f>data!C209</f>
        <v>3789</v>
      </c>
      <c r="E24" s="21">
        <f>data!D209</f>
        <v>0</v>
      </c>
      <c r="F24" s="21">
        <f>data!E209</f>
        <v>425200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15587204</v>
      </c>
      <c r="D25" s="21">
        <f>data!C210</f>
        <v>1412984</v>
      </c>
      <c r="E25" s="21">
        <f>data!D210</f>
        <v>141932</v>
      </c>
      <c r="F25" s="21">
        <f>data!E210</f>
        <v>16858256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3681972</v>
      </c>
      <c r="D26" s="21">
        <f>data!C211</f>
        <v>237702</v>
      </c>
      <c r="E26" s="21">
        <f>data!D211</f>
        <v>143862</v>
      </c>
      <c r="F26" s="21">
        <f>data!E211</f>
        <v>3775812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21030476</v>
      </c>
      <c r="D28" s="21">
        <f>data!C213</f>
        <v>2047285</v>
      </c>
      <c r="E28" s="21">
        <f>data!D213</f>
        <v>1563824</v>
      </c>
      <c r="F28" s="21">
        <f>data!E213</f>
        <v>21513937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40721063</v>
      </c>
      <c r="D32" s="21">
        <f>data!C217</f>
        <v>3701760</v>
      </c>
      <c r="E32" s="21">
        <f>data!D217</f>
        <v>1849618</v>
      </c>
      <c r="F32" s="21">
        <f>data!E217</f>
        <v>42573205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D16" sqref="D16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Kittitas Valley Healthcare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3211739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33156718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14285726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20820060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68262504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896</v>
      </c>
      <c r="M16" s="269"/>
    </row>
    <row r="17" spans="1:5" ht="20.100000000000001" customHeight="1" x14ac:dyDescent="0.25">
      <c r="A17" s="23">
        <v>13</v>
      </c>
      <c r="B17" s="58"/>
      <c r="C17" s="45"/>
      <c r="D17" s="83"/>
    </row>
    <row r="18" spans="1:5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44279.45</v>
      </c>
    </row>
    <row r="19" spans="1:5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415484</v>
      </c>
    </row>
    <row r="20" spans="1:5" ht="20.100000000000001" customHeight="1" x14ac:dyDescent="0.25">
      <c r="A20" s="23">
        <v>16</v>
      </c>
      <c r="B20" s="24"/>
      <c r="C20" s="24"/>
      <c r="D20" s="56"/>
    </row>
    <row r="21" spans="1:5" ht="20.100000000000001" customHeight="1" x14ac:dyDescent="0.25">
      <c r="A21" s="23">
        <v>17</v>
      </c>
      <c r="B21" s="56"/>
      <c r="C21" s="56"/>
      <c r="D21" s="56"/>
    </row>
    <row r="22" spans="1:5" ht="20.100000000000001" customHeight="1" x14ac:dyDescent="0.25">
      <c r="A22" s="81">
        <v>18</v>
      </c>
      <c r="B22" s="56"/>
      <c r="C22" s="15" t="s">
        <v>1097</v>
      </c>
      <c r="D22" s="14">
        <f>data!D236</f>
        <v>459763.45</v>
      </c>
    </row>
    <row r="23" spans="1:5" ht="20.100000000000001" customHeight="1" x14ac:dyDescent="0.25">
      <c r="A23" s="62">
        <v>19</v>
      </c>
      <c r="B23" s="58"/>
      <c r="C23" s="58"/>
      <c r="D23" s="25"/>
    </row>
    <row r="24" spans="1:5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5" ht="20.100000000000001" customHeight="1" x14ac:dyDescent="0.25">
      <c r="A25" s="62">
        <v>21</v>
      </c>
      <c r="B25" s="30"/>
      <c r="C25" s="30"/>
      <c r="D25" s="25"/>
      <c r="E25" s="7" t="s">
        <v>1275</v>
      </c>
    </row>
    <row r="26" spans="1:5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1444260</v>
      </c>
    </row>
    <row r="27" spans="1:5" ht="20.100000000000001" customHeight="1" x14ac:dyDescent="0.25">
      <c r="A27" s="64">
        <v>23</v>
      </c>
      <c r="B27" s="63" t="s">
        <v>1099</v>
      </c>
      <c r="C27" s="56"/>
      <c r="D27" s="14">
        <f>data!D242</f>
        <v>73378266.450000003</v>
      </c>
    </row>
    <row r="28" spans="1:5" ht="20.100000000000001" customHeight="1" x14ac:dyDescent="0.25">
      <c r="A28" s="126">
        <v>24</v>
      </c>
      <c r="B28" s="65" t="s">
        <v>1100</v>
      </c>
      <c r="C28" s="50"/>
      <c r="D28" s="54"/>
    </row>
    <row r="29" spans="1:5" ht="20.100000000000001" customHeight="1" x14ac:dyDescent="0.25">
      <c r="A29" s="66"/>
      <c r="B29" s="67"/>
      <c r="C29" s="67"/>
      <c r="D29" s="56"/>
    </row>
    <row r="30" spans="1:5" ht="20.100000000000001" customHeight="1" x14ac:dyDescent="0.25">
      <c r="A30" s="68"/>
      <c r="B30" s="38"/>
      <c r="C30" s="38"/>
      <c r="D30" s="56"/>
    </row>
    <row r="31" spans="1:5" ht="20.100000000000001" customHeight="1" x14ac:dyDescent="0.25">
      <c r="A31" s="68"/>
      <c r="B31" s="38"/>
      <c r="C31" s="38"/>
      <c r="D31" s="56"/>
    </row>
    <row r="32" spans="1:5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6" zoomScale="75" workbookViewId="0">
      <selection activeCell="A53" sqref="A53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Kittitas Valley Healthcare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4488811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40613365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22382150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588166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1894491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776900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950100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26929983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23779605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23779605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2444730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418230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41359356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4466043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30028874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4350910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83068143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42573204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40494939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91204527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Kittitas Valley Healthcare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1395147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3296235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311475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1742630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1629839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8375326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136954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136954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20958274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20958274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1629839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19328435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63363812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63363812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91204527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Kittitas Valley Healthcare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22228147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130446916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152675063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3211739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67862504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459763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1444260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72978266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79696797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3831172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12569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3843741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83540538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42085146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9592681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935291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8646007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962731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10434676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3701760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1451271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530331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845366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507287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933553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80626100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2914438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776099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3690537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3690537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D35" sqref="D35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Kittitas Valley Healthcare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243</v>
      </c>
      <c r="D9" s="14">
        <f>data!D59</f>
        <v>0</v>
      </c>
      <c r="E9" s="14">
        <f>data!E59</f>
        <v>1982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12.9</v>
      </c>
      <c r="D10" s="26">
        <f>data!D60</f>
        <v>0</v>
      </c>
      <c r="E10" s="26">
        <f>data!E60</f>
        <v>23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1092652</v>
      </c>
      <c r="D11" s="14">
        <f>data!D61</f>
        <v>0</v>
      </c>
      <c r="E11" s="14">
        <f>data!E61</f>
        <v>1518716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249054</v>
      </c>
      <c r="D12" s="14">
        <f>data!D62</f>
        <v>0</v>
      </c>
      <c r="E12" s="14">
        <f>data!E62</f>
        <v>346169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47686</v>
      </c>
      <c r="D14" s="14">
        <f>data!D64</f>
        <v>0</v>
      </c>
      <c r="E14" s="14">
        <f>data!E64</f>
        <v>92787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3377</v>
      </c>
      <c r="D16" s="14">
        <f>data!D66</f>
        <v>0</v>
      </c>
      <c r="E16" s="14">
        <f>data!E66</f>
        <v>116328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70561</v>
      </c>
      <c r="D17" s="14">
        <f>data!D67</f>
        <v>0</v>
      </c>
      <c r="E17" s="14">
        <f>data!E67</f>
        <v>261172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22075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1505</v>
      </c>
      <c r="D19" s="14">
        <f>data!D69</f>
        <v>0</v>
      </c>
      <c r="E19" s="14">
        <f>data!E69</f>
        <v>27416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1464835</v>
      </c>
      <c r="D21" s="14">
        <f>data!D71</f>
        <v>0</v>
      </c>
      <c r="E21" s="14">
        <f>data!E71</f>
        <v>2384663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664155</v>
      </c>
      <c r="D23" s="48">
        <f>+data!M669</f>
        <v>0</v>
      </c>
      <c r="E23" s="48">
        <f>+data!M670</f>
        <v>2462528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763227</v>
      </c>
      <c r="D24" s="14">
        <f>data!D73</f>
        <v>0</v>
      </c>
      <c r="E24" s="14">
        <f>data!E73</f>
        <v>2721083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460452</v>
      </c>
      <c r="D25" s="14">
        <f>data!D74</f>
        <v>0</v>
      </c>
      <c r="E25" s="14">
        <f>data!E74</f>
        <v>2516216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1223679</v>
      </c>
      <c r="D26" s="14">
        <f>data!D75</f>
        <v>0</v>
      </c>
      <c r="E26" s="14">
        <f>data!E75</f>
        <v>5237299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2897</v>
      </c>
      <c r="D28" s="14">
        <f>data!D76</f>
        <v>0</v>
      </c>
      <c r="E28" s="14">
        <f>data!E76</f>
        <v>12525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1084</v>
      </c>
      <c r="D29" s="14">
        <f>data!D77</f>
        <v>0</v>
      </c>
      <c r="E29" s="14">
        <f>data!E77</f>
        <v>8596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1180</v>
      </c>
      <c r="D30" s="14">
        <f>data!D78</f>
        <v>0</v>
      </c>
      <c r="E30" s="14">
        <f>data!E78</f>
        <v>5103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13539</v>
      </c>
      <c r="D31" s="14">
        <f>data!D79</f>
        <v>0</v>
      </c>
      <c r="E31" s="14">
        <f>data!E79</f>
        <v>55753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11.21</v>
      </c>
      <c r="D32" s="84">
        <f>data!D80</f>
        <v>0</v>
      </c>
      <c r="E32" s="84">
        <f>data!E80</f>
        <v>13.86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Kittitas Valley Healthcare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498</v>
      </c>
      <c r="D41" s="14">
        <f>data!K59</f>
        <v>0</v>
      </c>
      <c r="E41" s="14">
        <f>data!L59</f>
        <v>48</v>
      </c>
      <c r="F41" s="14">
        <f>data!M59</f>
        <v>0</v>
      </c>
      <c r="G41" s="14">
        <f>data!N59</f>
        <v>0</v>
      </c>
      <c r="H41" s="14">
        <f>data!O59</f>
        <v>309</v>
      </c>
      <c r="I41" s="14">
        <f>data!P59</f>
        <v>106751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10.4</v>
      </c>
      <c r="I42" s="26">
        <f>data!P60</f>
        <v>25.8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437726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910472</v>
      </c>
      <c r="I43" s="14">
        <f>data!P61</f>
        <v>2243240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99773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207529</v>
      </c>
      <c r="I44" s="14">
        <f>data!P62</f>
        <v>511313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240</v>
      </c>
      <c r="I45" s="14">
        <f>data!P63</f>
        <v>55000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99398</v>
      </c>
      <c r="I46" s="14">
        <f>data!P64</f>
        <v>2894473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137082</v>
      </c>
      <c r="I48" s="14">
        <f>data!P66</f>
        <v>370835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3731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76030</v>
      </c>
      <c r="I49" s="14">
        <f>data!P67</f>
        <v>359445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5333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10702</v>
      </c>
      <c r="I51" s="14">
        <f>data!P69</f>
        <v>4618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541230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1441453</v>
      </c>
      <c r="I53" s="14">
        <f>data!P71</f>
        <v>6444257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195165</v>
      </c>
      <c r="D55" s="48">
        <f>+data!M676</f>
        <v>0</v>
      </c>
      <c r="E55" s="48">
        <f>+data!M677</f>
        <v>3842</v>
      </c>
      <c r="F55" s="48">
        <f>+data!M678</f>
        <v>0</v>
      </c>
      <c r="G55" s="48">
        <f>+data!M679</f>
        <v>0</v>
      </c>
      <c r="H55" s="48">
        <f>+data!M680</f>
        <v>569074</v>
      </c>
      <c r="I55" s="48">
        <f>+data!M681</f>
        <v>3576187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632208</v>
      </c>
      <c r="D56" s="14">
        <f>data!K73</f>
        <v>0</v>
      </c>
      <c r="E56" s="14">
        <f>data!L73</f>
        <v>45448</v>
      </c>
      <c r="F56" s="14">
        <f>data!M73</f>
        <v>0</v>
      </c>
      <c r="G56" s="14">
        <f>data!N73</f>
        <v>0</v>
      </c>
      <c r="H56" s="14">
        <f>data!O73</f>
        <v>2893458</v>
      </c>
      <c r="I56" s="14">
        <f>data!P73</f>
        <v>7151997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563065</v>
      </c>
      <c r="I57" s="14">
        <f>data!P74</f>
        <v>18392889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632208</v>
      </c>
      <c r="D58" s="14">
        <f>data!K75</f>
        <v>0</v>
      </c>
      <c r="E58" s="14">
        <f>data!L75</f>
        <v>45448</v>
      </c>
      <c r="F58" s="14">
        <f>data!M75</f>
        <v>0</v>
      </c>
      <c r="G58" s="14">
        <f>data!N75</f>
        <v>0</v>
      </c>
      <c r="H58" s="14">
        <f>data!O75</f>
        <v>3456523</v>
      </c>
      <c r="I58" s="14">
        <f>data!P75</f>
        <v>25544886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1972</v>
      </c>
      <c r="I60" s="14">
        <f>data!P76</f>
        <v>12295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58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103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803</v>
      </c>
      <c r="I62" s="14">
        <f>data!P78</f>
        <v>5009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3443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18033</v>
      </c>
      <c r="I63" s="14">
        <f>data!P79</f>
        <v>53700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5.01</v>
      </c>
      <c r="I64" s="26">
        <f>data!P80</f>
        <v>17.079999999999998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Kittitas Valley Healthcare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57939</v>
      </c>
      <c r="D73" s="48">
        <f>data!R59</f>
        <v>0</v>
      </c>
      <c r="E73" s="212"/>
      <c r="F73" s="212"/>
      <c r="G73" s="14">
        <f>data!U59</f>
        <v>209144</v>
      </c>
      <c r="H73" s="14">
        <f>data!V59</f>
        <v>687</v>
      </c>
      <c r="I73" s="14">
        <f>data!W59</f>
        <v>1831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0.7</v>
      </c>
      <c r="D74" s="26">
        <f>data!R60</f>
        <v>0</v>
      </c>
      <c r="E74" s="26">
        <f>data!S60</f>
        <v>3.5</v>
      </c>
      <c r="F74" s="26">
        <f>data!T60</f>
        <v>0</v>
      </c>
      <c r="G74" s="26">
        <f>data!U60</f>
        <v>23.3</v>
      </c>
      <c r="H74" s="26">
        <f>data!V60</f>
        <v>0.5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140629</v>
      </c>
      <c r="D75" s="14">
        <f>data!R61</f>
        <v>0</v>
      </c>
      <c r="E75" s="14">
        <f>data!S61</f>
        <v>174168</v>
      </c>
      <c r="F75" s="14">
        <f>data!T61</f>
        <v>0</v>
      </c>
      <c r="G75" s="14">
        <f>data!U61</f>
        <v>1474066</v>
      </c>
      <c r="H75" s="14">
        <f>data!V61</f>
        <v>33473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32054</v>
      </c>
      <c r="D76" s="14">
        <f>data!R62</f>
        <v>0</v>
      </c>
      <c r="E76" s="14">
        <f>data!S62</f>
        <v>39699</v>
      </c>
      <c r="F76" s="14">
        <f>data!T62</f>
        <v>0</v>
      </c>
      <c r="G76" s="14">
        <f>data!U62</f>
        <v>335991</v>
      </c>
      <c r="H76" s="14">
        <f>data!V62</f>
        <v>7630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8500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71498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982180</v>
      </c>
      <c r="H78" s="14">
        <f>data!V64</f>
        <v>10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69901</v>
      </c>
      <c r="D80" s="14">
        <f>data!R66</f>
        <v>0</v>
      </c>
      <c r="E80" s="14">
        <f>data!S66</f>
        <v>10795</v>
      </c>
      <c r="F80" s="14">
        <f>data!T66</f>
        <v>0</v>
      </c>
      <c r="G80" s="14">
        <f>data!U66</f>
        <v>637632</v>
      </c>
      <c r="H80" s="14">
        <f>data!V66</f>
        <v>0</v>
      </c>
      <c r="I80" s="14">
        <f>data!W66</f>
        <v>903424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33198</v>
      </c>
      <c r="D81" s="14">
        <f>data!R67</f>
        <v>0</v>
      </c>
      <c r="E81" s="14">
        <f>data!S67</f>
        <v>65966</v>
      </c>
      <c r="F81" s="14">
        <f>data!T67</f>
        <v>0</v>
      </c>
      <c r="G81" s="14">
        <f>data!U67</f>
        <v>131716</v>
      </c>
      <c r="H81" s="14">
        <f>data!V67</f>
        <v>17723</v>
      </c>
      <c r="I81" s="14">
        <f>data!W67</f>
        <v>2102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90</v>
      </c>
      <c r="D83" s="14">
        <f>data!R69</f>
        <v>0</v>
      </c>
      <c r="E83" s="14">
        <f>data!S69</f>
        <v>666</v>
      </c>
      <c r="F83" s="14">
        <f>data!T69</f>
        <v>0</v>
      </c>
      <c r="G83" s="14">
        <f>data!U69</f>
        <v>8617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347370</v>
      </c>
      <c r="D85" s="14">
        <f>data!R71</f>
        <v>0</v>
      </c>
      <c r="E85" s="14">
        <f>data!S71</f>
        <v>291294</v>
      </c>
      <c r="F85" s="14">
        <f>data!T71</f>
        <v>0</v>
      </c>
      <c r="G85" s="14">
        <f>data!U71</f>
        <v>3578702</v>
      </c>
      <c r="H85" s="14">
        <f>data!V71</f>
        <v>58836</v>
      </c>
      <c r="I85" s="14">
        <f>data!W71</f>
        <v>905526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146892</v>
      </c>
      <c r="D87" s="48">
        <f>+data!M683</f>
        <v>0</v>
      </c>
      <c r="E87" s="48">
        <f>+data!M684</f>
        <v>70237</v>
      </c>
      <c r="F87" s="48">
        <f>+data!M685</f>
        <v>0</v>
      </c>
      <c r="G87" s="48">
        <f>+data!M686</f>
        <v>1647180</v>
      </c>
      <c r="H87" s="48">
        <f>+data!M687</f>
        <v>122857</v>
      </c>
      <c r="I87" s="48">
        <f>+data!M688</f>
        <v>586630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272807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1196969</v>
      </c>
      <c r="H88" s="14">
        <f>data!V73</f>
        <v>133443</v>
      </c>
      <c r="I88" s="14">
        <f>data!W73</f>
        <v>125492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625184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13626670</v>
      </c>
      <c r="H89" s="14">
        <f>data!V74</f>
        <v>1224897</v>
      </c>
      <c r="I89" s="14">
        <f>data!W74</f>
        <v>6186327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897991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14823639</v>
      </c>
      <c r="H90" s="14">
        <f>data!V75</f>
        <v>1358340</v>
      </c>
      <c r="I90" s="14">
        <f>data!W75</f>
        <v>6311819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1012</v>
      </c>
      <c r="D92" s="14">
        <f>data!R76</f>
        <v>0</v>
      </c>
      <c r="E92" s="14">
        <f>data!S76</f>
        <v>1529</v>
      </c>
      <c r="F92" s="14">
        <f>data!T76</f>
        <v>0</v>
      </c>
      <c r="G92" s="14">
        <f>data!U76</f>
        <v>1600</v>
      </c>
      <c r="H92" s="14">
        <f>data!V76</f>
        <v>240</v>
      </c>
      <c r="I92" s="14">
        <f>data!W76</f>
        <v>142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412</v>
      </c>
      <c r="D94" s="14">
        <f>data!R78</f>
        <v>0</v>
      </c>
      <c r="E94" s="14">
        <f>data!S78</f>
        <v>623</v>
      </c>
      <c r="F94" s="14">
        <f>data!T78</f>
        <v>0</v>
      </c>
      <c r="G94" s="14">
        <f>data!U78</f>
        <v>653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5009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0.7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Kittitas Valley Healthcare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5081</v>
      </c>
      <c r="D105" s="14">
        <f>data!Y59</f>
        <v>22798</v>
      </c>
      <c r="E105" s="14">
        <f>data!Z59</f>
        <v>0</v>
      </c>
      <c r="F105" s="14">
        <f>data!AA59</f>
        <v>0</v>
      </c>
      <c r="G105" s="212"/>
      <c r="H105" s="14" t="str">
        <f>data!AC59</f>
        <v>???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6.8</v>
      </c>
      <c r="D106" s="26">
        <f>data!Y60</f>
        <v>13</v>
      </c>
      <c r="E106" s="26">
        <f>data!Z60</f>
        <v>0</v>
      </c>
      <c r="F106" s="26">
        <f>data!AA60</f>
        <v>0</v>
      </c>
      <c r="G106" s="26">
        <f>data!AB60</f>
        <v>12.4</v>
      </c>
      <c r="H106" s="26">
        <f>data!AC60</f>
        <v>4.2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1504423</v>
      </c>
      <c r="E107" s="14">
        <f>data!Z61</f>
        <v>0</v>
      </c>
      <c r="F107" s="14" t="str">
        <f>data!AA61</f>
        <v xml:space="preserve"> </v>
      </c>
      <c r="G107" s="14">
        <f>data!AB61</f>
        <v>1250717</v>
      </c>
      <c r="H107" s="14">
        <f>data!AC61</f>
        <v>399821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342911</v>
      </c>
      <c r="E108" s="14">
        <f>data!Z62</f>
        <v>0</v>
      </c>
      <c r="F108" s="14">
        <f>data!AA62</f>
        <v>0</v>
      </c>
      <c r="G108" s="14">
        <f>data!AB62</f>
        <v>285082</v>
      </c>
      <c r="H108" s="14">
        <f>data!AC62</f>
        <v>91133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97699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4704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177678</v>
      </c>
      <c r="E110" s="14">
        <f>data!Z64</f>
        <v>0</v>
      </c>
      <c r="F110" s="14">
        <f>data!AA64</f>
        <v>0</v>
      </c>
      <c r="G110" s="14">
        <f>data!AB64</f>
        <v>1813421</v>
      </c>
      <c r="H110" s="14">
        <f>data!AC64</f>
        <v>44846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56711</v>
      </c>
      <c r="E112" s="14">
        <f>data!Z66</f>
        <v>0</v>
      </c>
      <c r="F112" s="14">
        <f>data!AA66</f>
        <v>0</v>
      </c>
      <c r="G112" s="14">
        <f>data!AB66</f>
        <v>323282</v>
      </c>
      <c r="H112" s="14">
        <f>data!AC66</f>
        <v>12830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33636</v>
      </c>
      <c r="D113" s="14">
        <f>data!Y67</f>
        <v>213937</v>
      </c>
      <c r="E113" s="14">
        <f>data!Z67</f>
        <v>0</v>
      </c>
      <c r="F113" s="14">
        <f>data!AA67</f>
        <v>0</v>
      </c>
      <c r="G113" s="14">
        <f>data!AB67</f>
        <v>19189</v>
      </c>
      <c r="H113" s="14">
        <f>data!AC67</f>
        <v>32941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82563.520000000004</v>
      </c>
      <c r="D114" s="14">
        <f>data!Y68</f>
        <v>220307.7</v>
      </c>
      <c r="E114" s="14">
        <f>data!Z68</f>
        <v>0</v>
      </c>
      <c r="F114" s="14">
        <f>data!AA68</f>
        <v>0</v>
      </c>
      <c r="G114" s="14">
        <f>data!AB68</f>
        <v>248524</v>
      </c>
      <c r="H114" s="14">
        <f>data!AC68</f>
        <v>72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4167</v>
      </c>
      <c r="E115" s="14">
        <f>data!Z69</f>
        <v>0</v>
      </c>
      <c r="F115" s="14">
        <f>data!AA69</f>
        <v>0</v>
      </c>
      <c r="G115" s="14">
        <f>data!AB69</f>
        <v>8960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116199.52</v>
      </c>
      <c r="D117" s="14">
        <f>data!Y71</f>
        <v>2617833.7000000002</v>
      </c>
      <c r="E117" s="14">
        <f>data!Z71</f>
        <v>0</v>
      </c>
      <c r="F117" s="14">
        <f>data!AA71</f>
        <v>0</v>
      </c>
      <c r="G117" s="14">
        <f>data!AB71</f>
        <v>3949175</v>
      </c>
      <c r="H117" s="14">
        <f>data!AC71</f>
        <v>586347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1670826</v>
      </c>
      <c r="D119" s="48">
        <f>+data!M690</f>
        <v>1273749</v>
      </c>
      <c r="E119" s="48">
        <f>+data!M691</f>
        <v>0</v>
      </c>
      <c r="F119" s="48">
        <f>+data!M692</f>
        <v>0</v>
      </c>
      <c r="G119" s="48">
        <f>+data!M693</f>
        <v>1445541</v>
      </c>
      <c r="H119" s="48">
        <f>+data!M694</f>
        <v>140242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1023854</v>
      </c>
      <c r="D120" s="14">
        <f>data!Y73</f>
        <v>496786</v>
      </c>
      <c r="E120" s="14">
        <f>data!Z73</f>
        <v>0</v>
      </c>
      <c r="F120" s="14">
        <f>data!AA73</f>
        <v>0</v>
      </c>
      <c r="G120" s="14">
        <f>data!AB73</f>
        <v>3109483</v>
      </c>
      <c r="H120" s="14">
        <f>data!AC73</f>
        <v>258323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18081789</v>
      </c>
      <c r="D121" s="14">
        <f>data!Y74</f>
        <v>10606704</v>
      </c>
      <c r="E121" s="14">
        <f>data!Z74</f>
        <v>0</v>
      </c>
      <c r="F121" s="14">
        <f>data!AA74</f>
        <v>0</v>
      </c>
      <c r="G121" s="14">
        <f>data!AB74</f>
        <v>8768512</v>
      </c>
      <c r="H121" s="14">
        <f>data!AC74</f>
        <v>512979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19105643</v>
      </c>
      <c r="D122" s="14">
        <f>data!Y75</f>
        <v>11103490</v>
      </c>
      <c r="E122" s="14">
        <f>data!Z75</f>
        <v>0</v>
      </c>
      <c r="F122" s="14">
        <f>data!AA75</f>
        <v>0</v>
      </c>
      <c r="G122" s="14">
        <f>data!AB75</f>
        <v>11877995</v>
      </c>
      <c r="H122" s="14">
        <f>data!AC75</f>
        <v>771302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2272</v>
      </c>
      <c r="D124" s="14">
        <f>data!Y76</f>
        <v>2356</v>
      </c>
      <c r="E124" s="14">
        <f>data!Z76</f>
        <v>0</v>
      </c>
      <c r="F124" s="14">
        <f>data!AA76</f>
        <v>0</v>
      </c>
      <c r="G124" s="14">
        <f>data!AB76</f>
        <v>945</v>
      </c>
      <c r="H124" s="14">
        <f>data!AC76</f>
        <v>792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1943</v>
      </c>
      <c r="E126" s="14">
        <f>data!Z78</f>
        <v>0</v>
      </c>
      <c r="F126" s="14">
        <f>data!AA78</f>
        <v>0</v>
      </c>
      <c r="G126" s="14">
        <f>data!AB78</f>
        <v>299</v>
      </c>
      <c r="H126" s="14">
        <f>data!AC78</f>
        <v>420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45313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1717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Kittitas Valley Healthcare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5989</v>
      </c>
      <c r="D137" s="14">
        <f>data!AF59</f>
        <v>0</v>
      </c>
      <c r="E137" s="14">
        <f>data!AG59</f>
        <v>13861</v>
      </c>
      <c r="F137" s="14">
        <f>data!AH59</f>
        <v>0</v>
      </c>
      <c r="G137" s="14">
        <f>data!AI59</f>
        <v>0</v>
      </c>
      <c r="H137" s="14">
        <f>data!AJ59</f>
        <v>96976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</v>
      </c>
      <c r="D138" s="26">
        <f>data!AF60</f>
        <v>0</v>
      </c>
      <c r="E138" s="26">
        <f>data!AG60</f>
        <v>31.6</v>
      </c>
      <c r="F138" s="26">
        <f>data!AH60</f>
        <v>0</v>
      </c>
      <c r="G138" s="26">
        <f>data!AI60</f>
        <v>0</v>
      </c>
      <c r="H138" s="26">
        <f>data!AJ60</f>
        <v>136.59999999999997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144132</v>
      </c>
      <c r="D139" s="14">
        <f>data!AF61</f>
        <v>0</v>
      </c>
      <c r="E139" s="14">
        <f>data!AG61</f>
        <v>4512596</v>
      </c>
      <c r="F139" s="14">
        <f>data!AH61</f>
        <v>0</v>
      </c>
      <c r="G139" s="14">
        <f>data!AI61</f>
        <v>0</v>
      </c>
      <c r="H139" s="14">
        <f>data!AJ61</f>
        <v>14554115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32853</v>
      </c>
      <c r="D140" s="14">
        <f>data!AF62</f>
        <v>0</v>
      </c>
      <c r="E140" s="14">
        <f>data!AG62</f>
        <v>1028579</v>
      </c>
      <c r="F140" s="14">
        <f>data!AH62</f>
        <v>0</v>
      </c>
      <c r="G140" s="14">
        <f>data!AI62</f>
        <v>0</v>
      </c>
      <c r="H140" s="14">
        <f>data!AJ62</f>
        <v>3317393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140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580921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26811</v>
      </c>
      <c r="D142" s="14">
        <f>data!AF64</f>
        <v>0</v>
      </c>
      <c r="E142" s="14">
        <f>data!AG64</f>
        <v>230727</v>
      </c>
      <c r="F142" s="14">
        <f>data!AH64</f>
        <v>0</v>
      </c>
      <c r="G142" s="14">
        <f>data!AI64</f>
        <v>0</v>
      </c>
      <c r="H142" s="14">
        <f>data!AJ64</f>
        <v>1000304</v>
      </c>
      <c r="I142" s="14">
        <f>data!AK64</f>
        <v>13884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523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181257</v>
      </c>
      <c r="I143" s="14">
        <f>data!AK65</f>
        <v>219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1186296</v>
      </c>
      <c r="D144" s="14">
        <f>data!AF66</f>
        <v>0</v>
      </c>
      <c r="E144" s="14">
        <f>data!AG66</f>
        <v>111430</v>
      </c>
      <c r="F144" s="14">
        <f>data!AH66</f>
        <v>0</v>
      </c>
      <c r="G144" s="14">
        <f>data!AI66</f>
        <v>0</v>
      </c>
      <c r="H144" s="14">
        <f>data!AJ66</f>
        <v>155073</v>
      </c>
      <c r="I144" s="14">
        <f>data!AK66</f>
        <v>192387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8153</v>
      </c>
      <c r="D145" s="14">
        <f>data!AF67</f>
        <v>0</v>
      </c>
      <c r="E145" s="14">
        <f>data!AG67</f>
        <v>114434</v>
      </c>
      <c r="F145" s="14">
        <f>data!AH67</f>
        <v>0</v>
      </c>
      <c r="G145" s="14">
        <f>data!AI67</f>
        <v>0</v>
      </c>
      <c r="H145" s="14">
        <f>data!AJ67</f>
        <v>129492</v>
      </c>
      <c r="I145" s="14">
        <f>data!AK67</f>
        <v>23650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140478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477190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2738</v>
      </c>
      <c r="D147" s="14">
        <f>data!AF69</f>
        <v>0</v>
      </c>
      <c r="E147" s="14">
        <f>data!AG69</f>
        <v>106471</v>
      </c>
      <c r="F147" s="14">
        <f>data!AH69</f>
        <v>0</v>
      </c>
      <c r="G147" s="14">
        <f>data!AI69</f>
        <v>0</v>
      </c>
      <c r="H147" s="14">
        <f>data!AJ69</f>
        <v>273327</v>
      </c>
      <c r="I147" s="14">
        <f>data!AK69</f>
        <v>7813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1542124</v>
      </c>
      <c r="D149" s="14">
        <f>data!AF71</f>
        <v>0</v>
      </c>
      <c r="E149" s="14">
        <f>data!AG71</f>
        <v>6104237</v>
      </c>
      <c r="F149" s="14">
        <f>data!AH71</f>
        <v>0</v>
      </c>
      <c r="G149" s="14">
        <f>data!AI71</f>
        <v>0</v>
      </c>
      <c r="H149" s="14">
        <f>data!AJ71</f>
        <v>20669072</v>
      </c>
      <c r="I149" s="14">
        <f>data!AK71</f>
        <v>237953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528824</v>
      </c>
      <c r="D151" s="48">
        <f>+data!M697</f>
        <v>0</v>
      </c>
      <c r="E151" s="48">
        <f>+data!M698</f>
        <v>2495510</v>
      </c>
      <c r="F151" s="48">
        <f>+data!M699</f>
        <v>0</v>
      </c>
      <c r="G151" s="48">
        <f>+data!M700</f>
        <v>0</v>
      </c>
      <c r="H151" s="48">
        <f>+data!M701</f>
        <v>4166347</v>
      </c>
      <c r="I151" s="48">
        <f>+data!M702</f>
        <v>126269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66633</v>
      </c>
      <c r="D152" s="14">
        <f>data!AF73</f>
        <v>0</v>
      </c>
      <c r="E152" s="14">
        <f>data!AG73</f>
        <v>420766</v>
      </c>
      <c r="F152" s="14">
        <f>data!AH73</f>
        <v>0</v>
      </c>
      <c r="G152" s="14">
        <f>data!AI73</f>
        <v>0</v>
      </c>
      <c r="H152" s="14">
        <f>data!AJ73</f>
        <v>786023</v>
      </c>
      <c r="I152" s="14">
        <f>data!AK73</f>
        <v>88231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3633938</v>
      </c>
      <c r="D153" s="14">
        <f>data!AF74</f>
        <v>0</v>
      </c>
      <c r="E153" s="14">
        <f>data!AG74</f>
        <v>17121990</v>
      </c>
      <c r="F153" s="14">
        <f>data!AH74</f>
        <v>0</v>
      </c>
      <c r="G153" s="14">
        <f>data!AI74</f>
        <v>0</v>
      </c>
      <c r="H153" s="14">
        <f>data!AJ74</f>
        <v>23954810</v>
      </c>
      <c r="I153" s="14">
        <f>data!AK74</f>
        <v>548173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3700571</v>
      </c>
      <c r="D154" s="14">
        <f>data!AF75</f>
        <v>0</v>
      </c>
      <c r="E154" s="14">
        <f>data!AG75</f>
        <v>17542756</v>
      </c>
      <c r="F154" s="14">
        <f>data!AH75</f>
        <v>0</v>
      </c>
      <c r="G154" s="14">
        <f>data!AI75</f>
        <v>0</v>
      </c>
      <c r="H154" s="14">
        <f>data!AJ75</f>
        <v>24740833</v>
      </c>
      <c r="I154" s="14">
        <f>data!AK75</f>
        <v>636404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270</v>
      </c>
      <c r="D156" s="14">
        <f>data!AF76</f>
        <v>0</v>
      </c>
      <c r="E156" s="14">
        <f>data!AG76</f>
        <v>5158</v>
      </c>
      <c r="F156" s="14">
        <f>data!AH76</f>
        <v>0</v>
      </c>
      <c r="G156" s="14">
        <f>data!AI76</f>
        <v>0</v>
      </c>
      <c r="H156" s="14">
        <f>data!AJ76</f>
        <v>4238</v>
      </c>
      <c r="I156" s="14">
        <f>data!AK76</f>
        <v>1533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386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3046</v>
      </c>
      <c r="D158" s="14">
        <f>data!AF78</f>
        <v>0</v>
      </c>
      <c r="E158" s="14">
        <f>data!AG78</f>
        <v>2102</v>
      </c>
      <c r="F158" s="14">
        <f>data!AH78</f>
        <v>0</v>
      </c>
      <c r="G158" s="14">
        <f>data!AI78</f>
        <v>0</v>
      </c>
      <c r="H158" s="14">
        <f>data!AJ78</f>
        <v>7782</v>
      </c>
      <c r="I158" s="14">
        <f>data!AK78</f>
        <v>845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6441</v>
      </c>
      <c r="D159" s="14">
        <f>data!AF79</f>
        <v>0</v>
      </c>
      <c r="E159" s="14">
        <f>data!AG79</f>
        <v>47603</v>
      </c>
      <c r="F159" s="14">
        <f>data!AH79</f>
        <v>0</v>
      </c>
      <c r="G159" s="14">
        <f>data!AI79</f>
        <v>0</v>
      </c>
      <c r="H159" s="14">
        <f>data!AJ79</f>
        <v>16888</v>
      </c>
      <c r="I159" s="14">
        <f>data!AK79</f>
        <v>3865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18.55</v>
      </c>
      <c r="F160" s="26">
        <f>data!AH80</f>
        <v>0</v>
      </c>
      <c r="G160" s="26">
        <f>data!AI80</f>
        <v>0</v>
      </c>
      <c r="H160" s="26">
        <f>data!AJ80</f>
        <v>9.06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Kittitas Valley Healthcare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16245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22.4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1653825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376965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3837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125597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131625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361418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11350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27627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125110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2264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117597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149076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2788139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76581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725803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41916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374855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3247465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416771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3247465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766.67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1576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563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936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9.7800000000000011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Kittitas Valley Healthcare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10124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14.700000000000001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634721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144675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332114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17072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63328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2261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5641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1199812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4000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Kittitas Valley Healthcare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97311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3.1</v>
      </c>
      <c r="E234" s="26">
        <f>data!BB60</f>
        <v>1.7</v>
      </c>
      <c r="F234" s="26">
        <f>data!BC60</f>
        <v>0</v>
      </c>
      <c r="G234" s="26">
        <f>data!BD60</f>
        <v>6</v>
      </c>
      <c r="H234" s="26">
        <f>data!BE60</f>
        <v>7.1</v>
      </c>
      <c r="I234" s="26">
        <f>data!BF60</f>
        <v>16.7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127615</v>
      </c>
      <c r="E235" s="14">
        <f>data!BB61</f>
        <v>134266</v>
      </c>
      <c r="F235" s="14">
        <f>data!BC61</f>
        <v>0</v>
      </c>
      <c r="G235" s="14">
        <f>data!BD61</f>
        <v>297125</v>
      </c>
      <c r="H235" s="14">
        <f>data!BE61</f>
        <v>494351</v>
      </c>
      <c r="I235" s="14">
        <f>data!BF61</f>
        <v>628541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29088</v>
      </c>
      <c r="E236" s="14">
        <f>data!BB62</f>
        <v>30604</v>
      </c>
      <c r="F236" s="14">
        <f>data!BC62</f>
        <v>0</v>
      </c>
      <c r="G236" s="14">
        <f>data!BD62</f>
        <v>67725</v>
      </c>
      <c r="H236" s="14">
        <f>data!BE62</f>
        <v>112680</v>
      </c>
      <c r="I236" s="14">
        <f>data!BF62</f>
        <v>143267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9043</v>
      </c>
      <c r="E238" s="14">
        <f>data!BB64</f>
        <v>96</v>
      </c>
      <c r="F238" s="14">
        <f>data!BC64</f>
        <v>0</v>
      </c>
      <c r="G238" s="14">
        <f>data!BD64</f>
        <v>39781</v>
      </c>
      <c r="H238" s="14">
        <f>data!BE64</f>
        <v>37431</v>
      </c>
      <c r="I238" s="14">
        <f>data!BF64</f>
        <v>224059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744950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649</v>
      </c>
      <c r="E240" s="14">
        <f>data!BB66</f>
        <v>4726</v>
      </c>
      <c r="F240" s="14">
        <f>data!BC66</f>
        <v>0</v>
      </c>
      <c r="G240" s="14">
        <f>data!BD66</f>
        <v>156899</v>
      </c>
      <c r="H240" s="14">
        <f>data!BE66</f>
        <v>583530</v>
      </c>
      <c r="I240" s="14">
        <f>data!BF66</f>
        <v>101651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17086</v>
      </c>
      <c r="E241" s="14">
        <f>data!BB67</f>
        <v>3198</v>
      </c>
      <c r="F241" s="14">
        <f>data!BC67</f>
        <v>0</v>
      </c>
      <c r="G241" s="14">
        <f>data!BD67</f>
        <v>23776</v>
      </c>
      <c r="H241" s="14">
        <f>data!BE67</f>
        <v>160713</v>
      </c>
      <c r="I241" s="14">
        <f>data!BF67</f>
        <v>6512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49938</v>
      </c>
      <c r="H242" s="14">
        <f>data!BE68</f>
        <v>1581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50</v>
      </c>
      <c r="F243" s="14">
        <f>data!BC69</f>
        <v>0</v>
      </c>
      <c r="G243" s="14">
        <f>data!BD69</f>
        <v>88849</v>
      </c>
      <c r="H243" s="14">
        <f>data!BE69</f>
        <v>11822</v>
      </c>
      <c r="I243" s="14">
        <f>data!BF69</f>
        <v>2936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183481</v>
      </c>
      <c r="E245" s="14">
        <f>data!BB71</f>
        <v>172940</v>
      </c>
      <c r="F245" s="14">
        <f>data!BC71</f>
        <v>0</v>
      </c>
      <c r="G245" s="14">
        <f>data!BD71</f>
        <v>724093</v>
      </c>
      <c r="H245" s="14">
        <f>data!BE71</f>
        <v>2147058</v>
      </c>
      <c r="I245" s="14">
        <f>data!BF71</f>
        <v>1106966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854</v>
      </c>
      <c r="E252" s="85">
        <f>data!BB76</f>
        <v>216</v>
      </c>
      <c r="F252" s="85">
        <f>data!BC76</f>
        <v>0</v>
      </c>
      <c r="G252" s="85">
        <f>data!BD76</f>
        <v>1606</v>
      </c>
      <c r="H252" s="85">
        <f>data!BE76</f>
        <v>7618</v>
      </c>
      <c r="I252" s="85">
        <f>data!BF76</f>
        <v>343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88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Kittitas Valley Healthcare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14.4</v>
      </c>
      <c r="E266" s="26">
        <f>data!BI60</f>
        <v>0</v>
      </c>
      <c r="F266" s="26">
        <f>data!BJ60</f>
        <v>5.5</v>
      </c>
      <c r="G266" s="26">
        <f>data!BK60</f>
        <v>26.3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1277237</v>
      </c>
      <c r="E267" s="14">
        <f>data!BI61</f>
        <v>0</v>
      </c>
      <c r="F267" s="14">
        <f>data!BJ61</f>
        <v>441777</v>
      </c>
      <c r="G267" s="14">
        <f>data!BK61</f>
        <v>1304188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291127</v>
      </c>
      <c r="E268" s="14">
        <f>data!BI62</f>
        <v>0</v>
      </c>
      <c r="F268" s="14">
        <f>data!BJ62</f>
        <v>100696</v>
      </c>
      <c r="G268" s="14">
        <f>data!BK62</f>
        <v>297270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71714</v>
      </c>
      <c r="G269" s="14">
        <f>data!BK63</f>
        <v>13000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166001</v>
      </c>
      <c r="E270" s="14">
        <f>data!BI64</f>
        <v>0</v>
      </c>
      <c r="F270" s="14">
        <f>data!BJ64</f>
        <v>7844</v>
      </c>
      <c r="G270" s="14">
        <f>data!BK64</f>
        <v>52915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7073</v>
      </c>
      <c r="E271" s="14">
        <f>data!BI65</f>
        <v>0</v>
      </c>
      <c r="F271" s="14">
        <f>data!BJ65</f>
        <v>0</v>
      </c>
      <c r="G271" s="14">
        <f>data!BK65</f>
        <v>28709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1957973</v>
      </c>
      <c r="E272" s="14">
        <f>data!BI66</f>
        <v>0</v>
      </c>
      <c r="F272" s="14">
        <f>data!BJ66</f>
        <v>186413</v>
      </c>
      <c r="G272" s="14">
        <f>data!BK66</f>
        <v>1275503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1184495</v>
      </c>
      <c r="E273" s="14">
        <f>data!BI67</f>
        <v>0</v>
      </c>
      <c r="F273" s="14">
        <f>data!BJ67</f>
        <v>68590</v>
      </c>
      <c r="G273" s="14">
        <f>data!BK67</f>
        <v>133130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1209</v>
      </c>
      <c r="E274" s="14">
        <f>data!BI68</f>
        <v>0</v>
      </c>
      <c r="F274" s="14">
        <f>data!BJ68</f>
        <v>0</v>
      </c>
      <c r="G274" s="14">
        <f>data!BK68</f>
        <v>74629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7966</v>
      </c>
      <c r="E275" s="14">
        <f>data!BI69</f>
        <v>0</v>
      </c>
      <c r="F275" s="14">
        <f>data!BJ69</f>
        <v>3393</v>
      </c>
      <c r="G275" s="14">
        <f>data!BK69</f>
        <v>3625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4893081</v>
      </c>
      <c r="E277" s="14">
        <f>data!BI71</f>
        <v>0</v>
      </c>
      <c r="F277" s="14">
        <f>data!BJ71</f>
        <v>880427</v>
      </c>
      <c r="G277" s="14">
        <f>data!BK71</f>
        <v>3182969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944</v>
      </c>
      <c r="E284" s="85">
        <f>data!BI76</f>
        <v>0</v>
      </c>
      <c r="F284" s="85">
        <f>data!BJ76</f>
        <v>483</v>
      </c>
      <c r="G284" s="85">
        <f>data!BK76</f>
        <v>8991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Kittitas Valley Healthcare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6.5</v>
      </c>
      <c r="D298" s="26">
        <f>data!BO60</f>
        <v>0.6</v>
      </c>
      <c r="E298" s="26">
        <f>data!BP60</f>
        <v>2.7</v>
      </c>
      <c r="F298" s="26">
        <f>data!BQ60</f>
        <v>0</v>
      </c>
      <c r="G298" s="26">
        <f>data!BR60</f>
        <v>5.6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1047349</v>
      </c>
      <c r="D299" s="14">
        <f>data!BO61</f>
        <v>56806</v>
      </c>
      <c r="E299" s="14">
        <f>data!BP61</f>
        <v>192844</v>
      </c>
      <c r="F299" s="14">
        <f>data!BQ61</f>
        <v>0</v>
      </c>
      <c r="G299" s="14">
        <f>data!BR61</f>
        <v>396990</v>
      </c>
      <c r="H299" s="14">
        <f>data!BS61</f>
        <v>84351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238728</v>
      </c>
      <c r="D300" s="14">
        <f>data!BO62</f>
        <v>12948</v>
      </c>
      <c r="E300" s="14">
        <f>data!BP62</f>
        <v>43956</v>
      </c>
      <c r="F300" s="14">
        <f>data!BQ62</f>
        <v>0</v>
      </c>
      <c r="G300" s="14">
        <f>data!BR62</f>
        <v>90488</v>
      </c>
      <c r="H300" s="14">
        <f>data!BS62</f>
        <v>19227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51592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42882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17269</v>
      </c>
      <c r="D302" s="14">
        <f>data!BO64</f>
        <v>13264</v>
      </c>
      <c r="E302" s="14">
        <f>data!BP64</f>
        <v>12579</v>
      </c>
      <c r="F302" s="14">
        <f>data!BQ64</f>
        <v>0</v>
      </c>
      <c r="G302" s="14">
        <f>data!BR64</f>
        <v>5423</v>
      </c>
      <c r="H302" s="14">
        <f>data!BS64</f>
        <v>70981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77137</v>
      </c>
      <c r="D304" s="14">
        <f>data!BO66</f>
        <v>-337</v>
      </c>
      <c r="E304" s="14">
        <f>data!BP66</f>
        <v>38025</v>
      </c>
      <c r="F304" s="14">
        <f>data!BQ66</f>
        <v>0</v>
      </c>
      <c r="G304" s="14">
        <f>data!BR66</f>
        <v>91156</v>
      </c>
      <c r="H304" s="14">
        <f>data!BS66</f>
        <v>85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247688</v>
      </c>
      <c r="D305" s="14">
        <f>data!BO67</f>
        <v>1554</v>
      </c>
      <c r="E305" s="14">
        <f>data!BP67</f>
        <v>4352</v>
      </c>
      <c r="F305" s="14">
        <f>data!BQ67</f>
        <v>0</v>
      </c>
      <c r="G305" s="14">
        <f>data!BR67</f>
        <v>86940</v>
      </c>
      <c r="H305" s="14">
        <f>data!BS67</f>
        <v>1088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895271</v>
      </c>
      <c r="D307" s="14">
        <f>data!BO69</f>
        <v>3184</v>
      </c>
      <c r="E307" s="14">
        <f>data!BP69</f>
        <v>202793</v>
      </c>
      <c r="F307" s="14">
        <f>data!BQ69</f>
        <v>0</v>
      </c>
      <c r="G307" s="14">
        <f>data!BR69</f>
        <v>48490</v>
      </c>
      <c r="H307" s="14">
        <f>data!BS69</f>
        <v>372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2575034</v>
      </c>
      <c r="D309" s="14">
        <f>data!BO71</f>
        <v>87419</v>
      </c>
      <c r="E309" s="14">
        <f>data!BP71</f>
        <v>494549</v>
      </c>
      <c r="F309" s="14">
        <f>data!BQ71</f>
        <v>0</v>
      </c>
      <c r="G309" s="14">
        <f>data!BR71</f>
        <v>762369</v>
      </c>
      <c r="H309" s="14">
        <f>data!BS71</f>
        <v>176104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16193</v>
      </c>
      <c r="D316" s="85">
        <f>data!BO76</f>
        <v>105</v>
      </c>
      <c r="E316" s="85">
        <f>data!BP76</f>
        <v>294</v>
      </c>
      <c r="F316" s="85">
        <f>data!BQ76</f>
        <v>0</v>
      </c>
      <c r="G316" s="85">
        <f>data!BR76</f>
        <v>735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205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Kittitas Valley Healthcare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11.8</v>
      </c>
      <c r="E330" s="26">
        <f>data!BW60</f>
        <v>3.8</v>
      </c>
      <c r="F330" s="26">
        <f>data!BX60</f>
        <v>6.9</v>
      </c>
      <c r="G330" s="26">
        <f>data!BY60</f>
        <v>8.9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707826</v>
      </c>
      <c r="E331" s="86">
        <f>data!BW61</f>
        <v>503285</v>
      </c>
      <c r="F331" s="86">
        <f>data!BX61</f>
        <v>625672</v>
      </c>
      <c r="G331" s="86">
        <f>data!BY61</f>
        <v>1085431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161338</v>
      </c>
      <c r="E332" s="86">
        <f>data!BW62</f>
        <v>114716</v>
      </c>
      <c r="F332" s="86">
        <f>data!BX62</f>
        <v>142613</v>
      </c>
      <c r="G332" s="86">
        <f>data!BY62</f>
        <v>247408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8060</v>
      </c>
      <c r="F333" s="86">
        <f>data!BX63</f>
        <v>743</v>
      </c>
      <c r="G333" s="86">
        <f>data!BY63</f>
        <v>96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14876</v>
      </c>
      <c r="E334" s="86">
        <f>data!BW64</f>
        <v>3180</v>
      </c>
      <c r="F334" s="86">
        <f>data!BX64</f>
        <v>2667</v>
      </c>
      <c r="G334" s="86">
        <f>data!BY64</f>
        <v>11347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668670</v>
      </c>
      <c r="E336" s="86">
        <f>data!BW66</f>
        <v>13080</v>
      </c>
      <c r="F336" s="86">
        <f>data!BX66</f>
        <v>336492</v>
      </c>
      <c r="G336" s="86">
        <f>data!BY66</f>
        <v>145526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49347</v>
      </c>
      <c r="E337" s="86">
        <f>data!BW67</f>
        <v>1244</v>
      </c>
      <c r="F337" s="86">
        <f>data!BX67</f>
        <v>1148</v>
      </c>
      <c r="G337" s="86">
        <f>data!BY67</f>
        <v>11518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2910</v>
      </c>
      <c r="E339" s="86">
        <f>data!BW69</f>
        <v>88907</v>
      </c>
      <c r="F339" s="86">
        <f>data!BX69</f>
        <v>7082</v>
      </c>
      <c r="G339" s="86">
        <f>data!BY69</f>
        <v>9628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 t="e">
        <f>-data!BW70</f>
        <v>#VALUE!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1604967</v>
      </c>
      <c r="E341" s="14">
        <f>data!BW71</f>
        <v>732472</v>
      </c>
      <c r="F341" s="14">
        <f>data!BX71</f>
        <v>1116417</v>
      </c>
      <c r="G341" s="14">
        <f>data!BY71</f>
        <v>1510954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84</v>
      </c>
      <c r="F348" s="85">
        <f>data!BX76</f>
        <v>0</v>
      </c>
      <c r="G348" s="85">
        <f>data!BY76</f>
        <v>474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726</v>
      </c>
      <c r="E350" s="85">
        <f>data!BW78</f>
        <v>0</v>
      </c>
      <c r="F350" s="85">
        <f>data!BX78</f>
        <v>0</v>
      </c>
      <c r="G350" s="85">
        <f>data!BY78</f>
        <v>193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Kittitas Valley Healthcare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477.39999999999992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42085146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9592682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935291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8646007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962731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10434676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3701760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1451271.22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1959870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856672</v>
      </c>
      <c r="F372" s="220"/>
      <c r="G372" s="220"/>
      <c r="H372" s="220"/>
      <c r="I372" s="14">
        <f>-data!CE70</f>
        <v>-856672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-856672</v>
      </c>
      <c r="F373" s="219"/>
      <c r="G373" s="219"/>
      <c r="H373" s="219"/>
      <c r="I373" s="14">
        <f>data!CE71</f>
        <v>78912762.219999999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-12569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22228147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130446915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152675062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97310.67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10124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33034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271304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90.25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2020-06-30T16:59:08Z</cp:lastPrinted>
  <dcterms:created xsi:type="dcterms:W3CDTF">1999-06-02T22:01:56Z</dcterms:created>
  <dcterms:modified xsi:type="dcterms:W3CDTF">2020-09-03T22:56:43Z</dcterms:modified>
</cp:coreProperties>
</file>