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HR DATA" sheetId="12" r:id="rId2"/>
    <sheet name="Sheet1" sheetId="13" r:id="rId3"/>
    <sheet name="orig data " sheetId="11" r:id="rId4"/>
    <sheet name="Transmittal" sheetId="2" r:id="rId5"/>
    <sheet name="INFO_PG1" sheetId="3" r:id="rId6"/>
    <sheet name="INFO_PG2" sheetId="4" r:id="rId7"/>
    <sheet name="SS2_3_5_6" sheetId="5" r:id="rId8"/>
    <sheet name="SS4" sheetId="6" r:id="rId9"/>
    <sheet name="SS8" sheetId="7" r:id="rId10"/>
    <sheet name="FS" sheetId="8" r:id="rId11"/>
    <sheet name="CC's" sheetId="9" r:id="rId12"/>
    <sheet name="Prior Year" sheetId="10" r:id="rId13"/>
  </sheets>
  <definedNames>
    <definedName name="_Fill" localSheetId="12" hidden="1">'Prior Year'!$DR$819:$DR$864</definedName>
    <definedName name="_Fill" hidden="1">data!$DR$823:$DR$868</definedName>
    <definedName name="Costcenter" localSheetId="12">'Prior Year'!#REF!</definedName>
    <definedName name="Costcenter">data!#REF!</definedName>
    <definedName name="Edit" localSheetId="12">'Prior Year'!$A$410:$E$477</definedName>
    <definedName name="Edit">data!$A$411:$E$478</definedName>
    <definedName name="Funds" localSheetId="12">'Prior Year'!#REF!</definedName>
    <definedName name="Funds">data!#REF!</definedName>
    <definedName name="Hospital" localSheetId="12">'Prior Year'!#REF!</definedName>
    <definedName name="Hospital">data!#REF!</definedName>
    <definedName name="_xlnm.Print_Area" localSheetId="11">'CC''s'!$A$1:$I$384</definedName>
    <definedName name="_xlnm.Print_Area" localSheetId="0">data!$A$191:$E$217</definedName>
    <definedName name="_xlnm.Print_Area" localSheetId="10">FS!$A$1:$D$153</definedName>
    <definedName name="_xlnm.Print_Area" localSheetId="5">INFO_PG1!$A$1:$G$40</definedName>
    <definedName name="_xlnm.Print_Area" localSheetId="6">INFO_PG2!$A$1:$G$33</definedName>
    <definedName name="_xlnm.Print_Area" localSheetId="12">'Prior Year'!$A$410:$E$477</definedName>
    <definedName name="_xlnm.Print_Area" localSheetId="7">SS2_3_5_6!$A$1:$C$40</definedName>
    <definedName name="_xlnm.Print_Area" localSheetId="8">'SS4'!$A$1:$F$32</definedName>
    <definedName name="_xlnm.Print_Area" localSheetId="9">'SS8'!$A$1:$D$34</definedName>
    <definedName name="Support" localSheetId="12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R76" i="1" l="1"/>
  <c r="I147" i="12"/>
  <c r="I146" i="12"/>
  <c r="CC69" i="1" l="1"/>
  <c r="CD69" i="1"/>
  <c r="AY59" i="1" l="1"/>
  <c r="C324" i="1" l="1"/>
  <c r="C323" i="1"/>
  <c r="C326" i="1"/>
  <c r="C313" i="1"/>
  <c r="C307" i="1"/>
  <c r="C306" i="1"/>
  <c r="C305" i="1"/>
  <c r="C309" i="1"/>
  <c r="C228" i="1" l="1"/>
  <c r="C224" i="1"/>
  <c r="C223" i="1"/>
  <c r="C203" i="1"/>
  <c r="I116" i="12" l="1"/>
  <c r="E77" i="1" l="1"/>
  <c r="CC66" i="1" l="1"/>
  <c r="S59" i="12"/>
  <c r="C171" i="1" l="1"/>
  <c r="C170" i="1"/>
  <c r="C169" i="1"/>
  <c r="C168" i="1"/>
  <c r="C167" i="1"/>
  <c r="C166" i="1"/>
  <c r="C332" i="1" l="1"/>
  <c r="C202" i="1"/>
  <c r="D213" i="1" l="1"/>
  <c r="C213" i="1"/>
  <c r="C212" i="1"/>
  <c r="C215" i="1"/>
  <c r="C211" i="1"/>
  <c r="B213" i="1"/>
  <c r="B212" i="1"/>
  <c r="B215" i="1"/>
  <c r="B211" i="1"/>
  <c r="D202" i="1"/>
  <c r="D200" i="1"/>
  <c r="C200" i="1"/>
  <c r="C199" i="1"/>
  <c r="B203" i="1"/>
  <c r="B200" i="1"/>
  <c r="B199" i="1"/>
  <c r="B202" i="1"/>
  <c r="B198" i="1"/>
  <c r="C270" i="1"/>
  <c r="C269" i="1"/>
  <c r="C282" i="1"/>
  <c r="C289" i="1"/>
  <c r="C286" i="1"/>
  <c r="C276" i="1"/>
  <c r="C274" i="1"/>
  <c r="C272" i="1"/>
  <c r="C271" i="1"/>
  <c r="C273" i="1"/>
  <c r="C257" i="1"/>
  <c r="C258" i="1"/>
  <c r="C255" i="1"/>
  <c r="C253" i="1"/>
  <c r="C252" i="1"/>
  <c r="C250" i="1"/>
  <c r="C165" i="1" l="1"/>
  <c r="O59" i="12" l="1"/>
  <c r="O57" i="12"/>
  <c r="I43" i="12" l="1"/>
  <c r="B48" i="1"/>
  <c r="I57" i="12"/>
  <c r="B47" i="1"/>
  <c r="B52" i="1"/>
  <c r="C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64" i="1"/>
  <c r="CC61" i="1"/>
  <c r="AG79" i="1" l="1"/>
  <c r="AE79" i="1"/>
  <c r="P79" i="1"/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C80" i="1"/>
  <c r="CB78" i="1"/>
  <c r="CA78" i="1"/>
  <c r="BZ78" i="1"/>
  <c r="BY78" i="1"/>
  <c r="BX78" i="1"/>
  <c r="BW78" i="1"/>
  <c r="BV78" i="1"/>
  <c r="BU78" i="1"/>
  <c r="BT78" i="1"/>
  <c r="BS78" i="1"/>
  <c r="BM78" i="1"/>
  <c r="BL78" i="1"/>
  <c r="BK78" i="1"/>
  <c r="BI78" i="1"/>
  <c r="BH78" i="1"/>
  <c r="BC78" i="1"/>
  <c r="BB78" i="1"/>
  <c r="BA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C78" i="1"/>
  <c r="D76" i="1"/>
  <c r="E76" i="1"/>
  <c r="F76" i="1"/>
  <c r="G76" i="1"/>
  <c r="H76" i="1"/>
  <c r="I76" i="1"/>
  <c r="K76" i="1"/>
  <c r="L76" i="1"/>
  <c r="M76" i="1"/>
  <c r="N76" i="1"/>
  <c r="P76" i="1"/>
  <c r="Q76" i="1"/>
  <c r="R76" i="1"/>
  <c r="S76" i="1"/>
  <c r="T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Q76" i="1"/>
  <c r="AR76" i="1"/>
  <c r="AS76" i="1"/>
  <c r="AT76" i="1"/>
  <c r="AU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T76" i="1"/>
  <c r="BU76" i="1"/>
  <c r="BV76" i="1"/>
  <c r="BW76" i="1"/>
  <c r="BX76" i="1"/>
  <c r="BY76" i="1"/>
  <c r="BZ76" i="1"/>
  <c r="CA76" i="1"/>
  <c r="CB76" i="1"/>
  <c r="CC76" i="1"/>
  <c r="C76" i="1"/>
  <c r="AV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C74" i="1"/>
  <c r="AV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C73" i="1"/>
  <c r="AV70" i="1" l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70" i="1" l="1"/>
  <c r="CB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69" i="1"/>
  <c r="C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68" i="1"/>
  <c r="D66" i="1"/>
  <c r="E66" i="1"/>
  <c r="F66" i="1"/>
  <c r="G66" i="1"/>
  <c r="H66" i="1"/>
  <c r="I66" i="1"/>
  <c r="J66" i="1"/>
  <c r="K66" i="1"/>
  <c r="L66" i="1"/>
  <c r="M66" i="1"/>
  <c r="N66" i="1"/>
  <c r="O66" i="1"/>
  <c r="Q66" i="1"/>
  <c r="R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B66" i="1"/>
  <c r="C66" i="1"/>
  <c r="C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65" i="1"/>
  <c r="AV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63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61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B60" i="1"/>
  <c r="CC60" i="1"/>
  <c r="C6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51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47" i="1"/>
  <c r="I220" i="12" l="1"/>
  <c r="I197" i="12"/>
  <c r="I191" i="12"/>
  <c r="I170" i="12"/>
  <c r="I164" i="12"/>
  <c r="I159" i="12"/>
  <c r="H229" i="12" l="1"/>
  <c r="I229" i="12"/>
  <c r="J145" i="12"/>
  <c r="H145" i="12"/>
  <c r="I136" i="12"/>
  <c r="BS76" i="1" s="1"/>
  <c r="I113" i="12"/>
  <c r="AV76" i="1" s="1"/>
  <c r="I107" i="12"/>
  <c r="AP76" i="1" s="1"/>
  <c r="I86" i="12"/>
  <c r="U76" i="1" s="1"/>
  <c r="I80" i="12"/>
  <c r="O76" i="1" s="1"/>
  <c r="I75" i="12"/>
  <c r="J76" i="1" s="1"/>
  <c r="I145" i="12" l="1"/>
  <c r="D102" i="12"/>
  <c r="CA60" i="1" s="1"/>
  <c r="C102" i="12"/>
  <c r="C104" i="12" s="1"/>
  <c r="D104" i="12" l="1"/>
  <c r="V54" i="12"/>
  <c r="T54" i="12"/>
  <c r="CA66" i="1"/>
  <c r="V12" i="12"/>
  <c r="T12" i="12"/>
  <c r="S66" i="1"/>
  <c r="V9" i="12"/>
  <c r="T9" i="12"/>
  <c r="P66" i="1"/>
  <c r="C210" i="1" l="1"/>
  <c r="C209" i="1"/>
  <c r="D139" i="1" l="1"/>
  <c r="C139" i="1"/>
  <c r="B139" i="1"/>
  <c r="D138" i="1"/>
  <c r="C138" i="1"/>
  <c r="B138" i="1"/>
  <c r="E155" i="1" l="1"/>
  <c r="C389" i="1"/>
  <c r="C383" i="1"/>
  <c r="C180" i="1"/>
  <c r="C179" i="1"/>
  <c r="C175" i="1"/>
  <c r="C176" i="1"/>
  <c r="C378" i="1"/>
  <c r="C370" i="1"/>
  <c r="C234" i="1"/>
  <c r="C364" i="1"/>
  <c r="C366" i="1"/>
  <c r="C238" i="1"/>
  <c r="C360" i="1"/>
  <c r="D142" i="1"/>
  <c r="C142" i="1"/>
  <c r="B142" i="1"/>
  <c r="D141" i="1"/>
  <c r="O817" i="10" l="1"/>
  <c r="K817" i="10"/>
  <c r="J817" i="10"/>
  <c r="H817" i="10"/>
  <c r="G817" i="10"/>
  <c r="F817" i="10"/>
  <c r="E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A812" i="10"/>
  <c r="T811" i="10"/>
  <c r="S811" i="10"/>
  <c r="Q811" i="10"/>
  <c r="A811" i="10"/>
  <c r="T810" i="10"/>
  <c r="S810" i="10"/>
  <c r="Q810" i="10"/>
  <c r="A810" i="10"/>
  <c r="T809" i="10"/>
  <c r="S809" i="10"/>
  <c r="Q809" i="10"/>
  <c r="A809" i="10"/>
  <c r="T808" i="10"/>
  <c r="S808" i="10"/>
  <c r="Q808" i="10"/>
  <c r="A808" i="10"/>
  <c r="T807" i="10"/>
  <c r="S807" i="10"/>
  <c r="Q807" i="10"/>
  <c r="A807" i="10"/>
  <c r="T806" i="10"/>
  <c r="S806" i="10"/>
  <c r="Q806" i="10"/>
  <c r="A806" i="10"/>
  <c r="T805" i="10"/>
  <c r="S805" i="10"/>
  <c r="Q805" i="10"/>
  <c r="A805" i="10"/>
  <c r="T804" i="10"/>
  <c r="S804" i="10"/>
  <c r="Q804" i="10"/>
  <c r="A804" i="10"/>
  <c r="T803" i="10"/>
  <c r="S803" i="10"/>
  <c r="Q803" i="10"/>
  <c r="A803" i="10"/>
  <c r="T802" i="10"/>
  <c r="S802" i="10"/>
  <c r="Q802" i="10"/>
  <c r="A802" i="10"/>
  <c r="T801" i="10"/>
  <c r="S801" i="10"/>
  <c r="R801" i="10"/>
  <c r="Q801" i="10"/>
  <c r="A801" i="10"/>
  <c r="T800" i="10"/>
  <c r="S800" i="10"/>
  <c r="R800" i="10"/>
  <c r="Q800" i="10"/>
  <c r="A800" i="10"/>
  <c r="T799" i="10"/>
  <c r="S799" i="10"/>
  <c r="R799" i="10"/>
  <c r="Q799" i="10"/>
  <c r="A799" i="10"/>
  <c r="T798" i="10"/>
  <c r="S798" i="10"/>
  <c r="R798" i="10"/>
  <c r="Q798" i="10"/>
  <c r="A798" i="10"/>
  <c r="T797" i="10"/>
  <c r="S797" i="10"/>
  <c r="R797" i="10"/>
  <c r="Q797" i="10"/>
  <c r="A797" i="10"/>
  <c r="T796" i="10"/>
  <c r="S796" i="10"/>
  <c r="Q796" i="10"/>
  <c r="A796" i="10"/>
  <c r="T795" i="10"/>
  <c r="S795" i="10"/>
  <c r="Q795" i="10"/>
  <c r="A795" i="10"/>
  <c r="T794" i="10"/>
  <c r="S794" i="10"/>
  <c r="Q794" i="10"/>
  <c r="A794" i="10"/>
  <c r="T793" i="10"/>
  <c r="S793" i="10"/>
  <c r="R793" i="10"/>
  <c r="Q793" i="10"/>
  <c r="A793" i="10"/>
  <c r="T792" i="10"/>
  <c r="S792" i="10"/>
  <c r="Q792" i="10"/>
  <c r="A792" i="10"/>
  <c r="T791" i="10"/>
  <c r="S791" i="10"/>
  <c r="Q791" i="10"/>
  <c r="A791" i="10"/>
  <c r="T790" i="10"/>
  <c r="S790" i="10"/>
  <c r="R790" i="10"/>
  <c r="Q790" i="10"/>
  <c r="A790" i="10"/>
  <c r="T789" i="10"/>
  <c r="S789" i="10"/>
  <c r="R789" i="10"/>
  <c r="Q789" i="10"/>
  <c r="A789" i="10"/>
  <c r="T788" i="10"/>
  <c r="S788" i="10"/>
  <c r="R788" i="10"/>
  <c r="Q788" i="10"/>
  <c r="B788" i="10"/>
  <c r="A788" i="10"/>
  <c r="T787" i="10"/>
  <c r="S787" i="10"/>
  <c r="R787" i="10"/>
  <c r="Q787" i="10"/>
  <c r="A787" i="10"/>
  <c r="T786" i="10"/>
  <c r="S786" i="10"/>
  <c r="Q786" i="10"/>
  <c r="A786" i="10"/>
  <c r="T785" i="10"/>
  <c r="S785" i="10"/>
  <c r="Q785" i="10"/>
  <c r="A785" i="10"/>
  <c r="T784" i="10"/>
  <c r="S784" i="10"/>
  <c r="Q784" i="10"/>
  <c r="B784" i="10"/>
  <c r="A784" i="10"/>
  <c r="T783" i="10"/>
  <c r="S783" i="10"/>
  <c r="R783" i="10"/>
  <c r="Q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A781" i="10"/>
  <c r="T780" i="10"/>
  <c r="S780" i="10"/>
  <c r="Q780" i="10"/>
  <c r="A780" i="10"/>
  <c r="S779" i="10"/>
  <c r="Q779" i="10"/>
  <c r="A779" i="10"/>
  <c r="S778" i="10"/>
  <c r="Q778" i="10"/>
  <c r="B778" i="10"/>
  <c r="A778" i="10"/>
  <c r="S777" i="10"/>
  <c r="Q777" i="10"/>
  <c r="B777" i="10"/>
  <c r="A777" i="10"/>
  <c r="S776" i="10"/>
  <c r="Q776" i="10"/>
  <c r="B776" i="10"/>
  <c r="A776" i="10"/>
  <c r="S775" i="10"/>
  <c r="Q775" i="10"/>
  <c r="B775" i="10"/>
  <c r="A775" i="10"/>
  <c r="S774" i="10"/>
  <c r="Q774" i="10"/>
  <c r="B774" i="10"/>
  <c r="A774" i="10"/>
  <c r="S773" i="10"/>
  <c r="Q773" i="10"/>
  <c r="B773" i="10"/>
  <c r="A773" i="10"/>
  <c r="S772" i="10"/>
  <c r="Q772" i="10"/>
  <c r="B772" i="10"/>
  <c r="A772" i="10"/>
  <c r="S771" i="10"/>
  <c r="Q771" i="10"/>
  <c r="B771" i="10"/>
  <c r="A771" i="10"/>
  <c r="S770" i="10"/>
  <c r="Q770" i="10"/>
  <c r="B770" i="10"/>
  <c r="A770" i="10"/>
  <c r="S769" i="10"/>
  <c r="Q769" i="10"/>
  <c r="B769" i="10"/>
  <c r="A769" i="10"/>
  <c r="S768" i="10"/>
  <c r="Q768" i="10"/>
  <c r="B768" i="10"/>
  <c r="A768" i="10"/>
  <c r="S767" i="10"/>
  <c r="Q767" i="10"/>
  <c r="B767" i="10"/>
  <c r="A767" i="10"/>
  <c r="S766" i="10"/>
  <c r="Q766" i="10"/>
  <c r="B766" i="10"/>
  <c r="A766" i="10"/>
  <c r="S765" i="10"/>
  <c r="Q765" i="10"/>
  <c r="B765" i="10"/>
  <c r="A765" i="10"/>
  <c r="Q764" i="10"/>
  <c r="B764" i="10"/>
  <c r="A764" i="10"/>
  <c r="S763" i="10"/>
  <c r="Q763" i="10"/>
  <c r="B763" i="10"/>
  <c r="A763" i="10"/>
  <c r="Q762" i="10"/>
  <c r="B762" i="10"/>
  <c r="A762" i="10"/>
  <c r="S761" i="10"/>
  <c r="Q761" i="10"/>
  <c r="B761" i="10"/>
  <c r="A761" i="10"/>
  <c r="S760" i="10"/>
  <c r="Q760" i="10"/>
  <c r="B760" i="10"/>
  <c r="A760" i="10"/>
  <c r="S759" i="10"/>
  <c r="Q759" i="10"/>
  <c r="A759" i="10"/>
  <c r="S758" i="10"/>
  <c r="Q758" i="10"/>
  <c r="B758" i="10"/>
  <c r="A758" i="10"/>
  <c r="S757" i="10"/>
  <c r="Q757" i="10"/>
  <c r="B757" i="10"/>
  <c r="A757" i="10"/>
  <c r="S756" i="10"/>
  <c r="Q756" i="10"/>
  <c r="B756" i="10"/>
  <c r="A756" i="10"/>
  <c r="S755" i="10"/>
  <c r="Q755" i="10"/>
  <c r="B755" i="10"/>
  <c r="A755" i="10"/>
  <c r="S754" i="10"/>
  <c r="Q754" i="10"/>
  <c r="B754" i="10"/>
  <c r="A754" i="10"/>
  <c r="S753" i="10"/>
  <c r="Q753" i="10"/>
  <c r="B753" i="10"/>
  <c r="A753" i="10"/>
  <c r="S752" i="10"/>
  <c r="Q752" i="10"/>
  <c r="B752" i="10"/>
  <c r="A752" i="10"/>
  <c r="S751" i="10"/>
  <c r="Q751" i="10"/>
  <c r="A751" i="10"/>
  <c r="S750" i="10"/>
  <c r="Q750" i="10"/>
  <c r="K750" i="10"/>
  <c r="A750" i="10"/>
  <c r="S749" i="10"/>
  <c r="Q749" i="10"/>
  <c r="B749" i="10"/>
  <c r="A749" i="10"/>
  <c r="S748" i="10"/>
  <c r="Q748" i="10"/>
  <c r="B748" i="10"/>
  <c r="A748" i="10"/>
  <c r="Q747" i="10"/>
  <c r="B747" i="10"/>
  <c r="A747" i="10"/>
  <c r="S746" i="10"/>
  <c r="Q746" i="10"/>
  <c r="B746" i="10"/>
  <c r="A746" i="10"/>
  <c r="S745" i="10"/>
  <c r="Q745" i="10"/>
  <c r="B745" i="10"/>
  <c r="A745" i="10"/>
  <c r="S744" i="10"/>
  <c r="Q744" i="10"/>
  <c r="B744" i="10"/>
  <c r="A744" i="10"/>
  <c r="S743" i="10"/>
  <c r="Q743" i="10"/>
  <c r="B743" i="10"/>
  <c r="A743" i="10"/>
  <c r="S742" i="10"/>
  <c r="Q742" i="10"/>
  <c r="B742" i="10"/>
  <c r="A742" i="10"/>
  <c r="S741" i="10"/>
  <c r="Q741" i="10"/>
  <c r="P741" i="10"/>
  <c r="B741" i="10"/>
  <c r="A741" i="10"/>
  <c r="S740" i="10"/>
  <c r="Q740" i="10"/>
  <c r="B740" i="10"/>
  <c r="A740" i="10"/>
  <c r="S739" i="10"/>
  <c r="Q739" i="10"/>
  <c r="B739" i="10"/>
  <c r="A739" i="10"/>
  <c r="S738" i="10"/>
  <c r="Q738" i="10"/>
  <c r="F738" i="10"/>
  <c r="B738" i="10"/>
  <c r="A738" i="10"/>
  <c r="S737" i="10"/>
  <c r="Q737" i="10"/>
  <c r="B737" i="10"/>
  <c r="A737" i="10"/>
  <c r="S736" i="10"/>
  <c r="Q736" i="10"/>
  <c r="I736" i="10"/>
  <c r="B736" i="10"/>
  <c r="A736" i="10"/>
  <c r="S735" i="10"/>
  <c r="Q735" i="10"/>
  <c r="B735" i="10"/>
  <c r="A735" i="10"/>
  <c r="S734" i="10"/>
  <c r="Q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S730" i="10"/>
  <c r="BR730" i="10"/>
  <c r="BP730" i="10"/>
  <c r="BM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J730" i="10"/>
  <c r="AI730" i="10"/>
  <c r="AG730" i="10"/>
  <c r="AE730" i="10"/>
  <c r="AD730" i="10"/>
  <c r="AC730" i="10"/>
  <c r="AB730" i="10"/>
  <c r="AA730" i="10"/>
  <c r="Z730" i="10"/>
  <c r="Y730" i="10"/>
  <c r="X730" i="10"/>
  <c r="W730" i="10"/>
  <c r="U730" i="10"/>
  <c r="T730" i="10"/>
  <c r="S730" i="10"/>
  <c r="R730" i="10"/>
  <c r="P730" i="10"/>
  <c r="O730" i="10"/>
  <c r="N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X722" i="10"/>
  <c r="BW722" i="10"/>
  <c r="BV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H722" i="10"/>
  <c r="AG722" i="10"/>
  <c r="AF722" i="10"/>
  <c r="AE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I722" i="10"/>
  <c r="C722" i="10"/>
  <c r="B722" i="10"/>
  <c r="A722" i="10"/>
  <c r="C615" i="10"/>
  <c r="E550" i="10"/>
  <c r="F550" i="10"/>
  <c r="E546" i="10"/>
  <c r="F546" i="10"/>
  <c r="E545" i="10"/>
  <c r="F545" i="10"/>
  <c r="F544" i="10"/>
  <c r="E544" i="10"/>
  <c r="H540" i="10"/>
  <c r="E540" i="10"/>
  <c r="F540" i="10"/>
  <c r="E539" i="10"/>
  <c r="H539" i="10"/>
  <c r="F538" i="10"/>
  <c r="E538" i="10"/>
  <c r="H538" i="10"/>
  <c r="E537" i="10"/>
  <c r="F537" i="10"/>
  <c r="H536" i="10"/>
  <c r="E536" i="10"/>
  <c r="F536" i="10"/>
  <c r="E535" i="10"/>
  <c r="E534" i="10"/>
  <c r="H533" i="10"/>
  <c r="F533" i="10"/>
  <c r="E533" i="10"/>
  <c r="E532" i="10"/>
  <c r="F532" i="10"/>
  <c r="F531" i="10"/>
  <c r="E531" i="10"/>
  <c r="F530" i="10"/>
  <c r="E530" i="10"/>
  <c r="H529" i="10"/>
  <c r="E529" i="10"/>
  <c r="F529" i="10"/>
  <c r="H528" i="10"/>
  <c r="F528" i="10"/>
  <c r="E528" i="10"/>
  <c r="F527" i="10"/>
  <c r="E527" i="10"/>
  <c r="H527" i="10"/>
  <c r="E526" i="10"/>
  <c r="H525" i="10"/>
  <c r="F525" i="10"/>
  <c r="E525" i="10"/>
  <c r="E524" i="10"/>
  <c r="F524" i="10"/>
  <c r="F523" i="10"/>
  <c r="E523" i="10"/>
  <c r="F522" i="10"/>
  <c r="E522" i="10"/>
  <c r="E520" i="10"/>
  <c r="E519" i="10"/>
  <c r="F519" i="10"/>
  <c r="E518" i="10"/>
  <c r="F518" i="10"/>
  <c r="F517" i="10"/>
  <c r="E517" i="10"/>
  <c r="H517" i="10"/>
  <c r="F516" i="10"/>
  <c r="E516" i="10"/>
  <c r="E515" i="10"/>
  <c r="F515" i="10"/>
  <c r="E514" i="10"/>
  <c r="F514" i="10"/>
  <c r="H513" i="10"/>
  <c r="F513" i="10"/>
  <c r="F512" i="10"/>
  <c r="E511" i="10"/>
  <c r="E510" i="10"/>
  <c r="F510" i="10"/>
  <c r="F509" i="10"/>
  <c r="E509" i="10"/>
  <c r="E508" i="10"/>
  <c r="H507" i="10"/>
  <c r="F507" i="10"/>
  <c r="E507" i="10"/>
  <c r="H506" i="10"/>
  <c r="E506" i="10"/>
  <c r="F506" i="10"/>
  <c r="F505" i="10"/>
  <c r="E505" i="10"/>
  <c r="H505" i="10"/>
  <c r="F504" i="10"/>
  <c r="E504" i="10"/>
  <c r="H504" i="10"/>
  <c r="E503" i="10"/>
  <c r="E502" i="10"/>
  <c r="H502" i="10"/>
  <c r="E501" i="10"/>
  <c r="E500" i="10"/>
  <c r="H499" i="10"/>
  <c r="F499" i="10"/>
  <c r="E499" i="10"/>
  <c r="E498" i="10"/>
  <c r="F498" i="10"/>
  <c r="F497" i="10"/>
  <c r="E497" i="10"/>
  <c r="H497" i="10"/>
  <c r="F496" i="10"/>
  <c r="E496" i="10"/>
  <c r="G493" i="10"/>
  <c r="E493" i="10"/>
  <c r="C493" i="10"/>
  <c r="A493" i="10"/>
  <c r="B478" i="10"/>
  <c r="B474" i="10"/>
  <c r="B473" i="10"/>
  <c r="B472" i="10"/>
  <c r="B471" i="10"/>
  <c r="B469" i="10"/>
  <c r="B468" i="10"/>
  <c r="B463" i="10"/>
  <c r="C459" i="10"/>
  <c r="B459" i="10"/>
  <c r="B454" i="10"/>
  <c r="B453" i="10"/>
  <c r="C446" i="10"/>
  <c r="C444" i="10"/>
  <c r="C438" i="10"/>
  <c r="B438" i="10"/>
  <c r="B437" i="10"/>
  <c r="B436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3" i="10"/>
  <c r="C378" i="10"/>
  <c r="B427" i="10" s="1"/>
  <c r="C370" i="10"/>
  <c r="B458" i="10" s="1"/>
  <c r="C366" i="10"/>
  <c r="C364" i="10"/>
  <c r="BL730" i="10" s="1"/>
  <c r="C360" i="10"/>
  <c r="D329" i="10"/>
  <c r="D328" i="10"/>
  <c r="D319" i="10"/>
  <c r="C312" i="10"/>
  <c r="AO730" i="10" s="1"/>
  <c r="C305" i="10"/>
  <c r="C289" i="10"/>
  <c r="AF730" i="10" s="1"/>
  <c r="D283" i="10"/>
  <c r="C274" i="10"/>
  <c r="C269" i="10"/>
  <c r="B470" i="10" s="1"/>
  <c r="C263" i="10"/>
  <c r="M730" i="10" s="1"/>
  <c r="C253" i="10"/>
  <c r="C238" i="10"/>
  <c r="C234" i="10"/>
  <c r="CB722" i="10" s="1"/>
  <c r="C228" i="10"/>
  <c r="BY722" i="10" s="1"/>
  <c r="C224" i="10"/>
  <c r="C223" i="10"/>
  <c r="BT722" i="10" s="1"/>
  <c r="D221" i="10"/>
  <c r="CD722" i="10" s="1"/>
  <c r="B217" i="10"/>
  <c r="E216" i="10"/>
  <c r="E215" i="10"/>
  <c r="E214" i="10"/>
  <c r="D213" i="10"/>
  <c r="D217" i="10" s="1"/>
  <c r="C213" i="10"/>
  <c r="BI722" i="10" s="1"/>
  <c r="E212" i="10"/>
  <c r="C211" i="10"/>
  <c r="BC722" i="10" s="1"/>
  <c r="C210" i="10"/>
  <c r="AZ722" i="10" s="1"/>
  <c r="E209" i="10"/>
  <c r="B204" i="10"/>
  <c r="E203" i="10"/>
  <c r="C475" i="10" s="1"/>
  <c r="E202" i="10"/>
  <c r="C474" i="10" s="1"/>
  <c r="E201" i="10"/>
  <c r="D200" i="10"/>
  <c r="E199" i="10"/>
  <c r="C472" i="10" s="1"/>
  <c r="E198" i="10"/>
  <c r="C471" i="10" s="1"/>
  <c r="E197" i="10"/>
  <c r="C470" i="10" s="1"/>
  <c r="C197" i="10"/>
  <c r="Y722" i="10" s="1"/>
  <c r="E196" i="10"/>
  <c r="C469" i="10" s="1"/>
  <c r="E195" i="10"/>
  <c r="C468" i="10" s="1"/>
  <c r="D190" i="10"/>
  <c r="D437" i="10" s="1"/>
  <c r="D186" i="10"/>
  <c r="D436" i="10" s="1"/>
  <c r="C180" i="10"/>
  <c r="L722" i="10" s="1"/>
  <c r="C179" i="10"/>
  <c r="K722" i="10" s="1"/>
  <c r="C176" i="10"/>
  <c r="C171" i="10"/>
  <c r="H722" i="10" s="1"/>
  <c r="C170" i="10"/>
  <c r="G722" i="10" s="1"/>
  <c r="C169" i="10"/>
  <c r="F722" i="10" s="1"/>
  <c r="C168" i="10"/>
  <c r="E722" i="10" s="1"/>
  <c r="C167" i="10"/>
  <c r="D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D141" i="10"/>
  <c r="AK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AC726" i="10" s="1"/>
  <c r="B138" i="10"/>
  <c r="X726" i="10" s="1"/>
  <c r="E127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9" i="10"/>
  <c r="T748" i="10"/>
  <c r="T747" i="10"/>
  <c r="T746" i="10"/>
  <c r="T745" i="10"/>
  <c r="T744" i="10"/>
  <c r="T743" i="10"/>
  <c r="T742" i="10"/>
  <c r="T741" i="10"/>
  <c r="T740" i="10"/>
  <c r="T739" i="10"/>
  <c r="T738" i="10"/>
  <c r="T737" i="10"/>
  <c r="T736" i="10"/>
  <c r="T735" i="10"/>
  <c r="T734" i="10"/>
  <c r="CF79" i="10"/>
  <c r="AG79" i="10"/>
  <c r="S764" i="10" s="1"/>
  <c r="AE79" i="10"/>
  <c r="S762" i="10" s="1"/>
  <c r="P79" i="10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CE77" i="10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0" i="10"/>
  <c r="P739" i="10"/>
  <c r="P738" i="10"/>
  <c r="P737" i="10"/>
  <c r="P736" i="10"/>
  <c r="P735" i="10"/>
  <c r="P734" i="10"/>
  <c r="AU75" i="10"/>
  <c r="N778" i="10" s="1"/>
  <c r="AK75" i="10"/>
  <c r="N768" i="10" s="1"/>
  <c r="AF75" i="10"/>
  <c r="N763" i="10" s="1"/>
  <c r="X75" i="10"/>
  <c r="N755" i="10" s="1"/>
  <c r="W75" i="10"/>
  <c r="N754" i="10" s="1"/>
  <c r="Q75" i="10"/>
  <c r="N748" i="10" s="1"/>
  <c r="O75" i="10"/>
  <c r="N746" i="10" s="1"/>
  <c r="N75" i="10"/>
  <c r="N745" i="10" s="1"/>
  <c r="H75" i="10"/>
  <c r="N739" i="10" s="1"/>
  <c r="AR75" i="10"/>
  <c r="N775" i="10" s="1"/>
  <c r="AD75" i="10"/>
  <c r="N761" i="10" s="1"/>
  <c r="F75" i="10"/>
  <c r="N737" i="10" s="1"/>
  <c r="O779" i="10"/>
  <c r="O778" i="10"/>
  <c r="O777" i="10"/>
  <c r="O776" i="10"/>
  <c r="O775" i="10"/>
  <c r="O771" i="10"/>
  <c r="O770" i="10"/>
  <c r="O769" i="10"/>
  <c r="O768" i="10"/>
  <c r="O767" i="10"/>
  <c r="O766" i="10"/>
  <c r="O763" i="10"/>
  <c r="O762" i="10"/>
  <c r="O761" i="10"/>
  <c r="O759" i="10"/>
  <c r="O758" i="10"/>
  <c r="O756" i="10"/>
  <c r="O755" i="10"/>
  <c r="O754" i="10"/>
  <c r="O753" i="10"/>
  <c r="O751" i="10"/>
  <c r="O748" i="10"/>
  <c r="O747" i="10"/>
  <c r="O746" i="10"/>
  <c r="O745" i="10"/>
  <c r="O743" i="10"/>
  <c r="O740" i="10"/>
  <c r="O739" i="10"/>
  <c r="O738" i="10"/>
  <c r="O737" i="10"/>
  <c r="O736" i="10"/>
  <c r="O735" i="10"/>
  <c r="CD71" i="10"/>
  <c r="C575" i="10" s="1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5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7" i="10"/>
  <c r="F736" i="10"/>
  <c r="F735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B53" i="10"/>
  <c r="CE51" i="10"/>
  <c r="B49" i="10"/>
  <c r="D372" i="10" l="1"/>
  <c r="B444" i="10"/>
  <c r="E211" i="10"/>
  <c r="E138" i="10"/>
  <c r="C414" i="10" s="1"/>
  <c r="E139" i="10"/>
  <c r="C415" i="10" s="1"/>
  <c r="D181" i="10"/>
  <c r="E210" i="10"/>
  <c r="D236" i="10"/>
  <c r="B446" i="10" s="1"/>
  <c r="D290" i="10"/>
  <c r="D330" i="10"/>
  <c r="C445" i="10"/>
  <c r="B440" i="10"/>
  <c r="O773" i="10"/>
  <c r="AP75" i="10"/>
  <c r="N773" i="10" s="1"/>
  <c r="AI722" i="10"/>
  <c r="E200" i="10"/>
  <c r="C473" i="10" s="1"/>
  <c r="D204" i="10"/>
  <c r="F521" i="10"/>
  <c r="O750" i="10"/>
  <c r="S75" i="10"/>
  <c r="N750" i="10" s="1"/>
  <c r="F734" i="10"/>
  <c r="F815" i="10" s="1"/>
  <c r="CE63" i="10"/>
  <c r="M734" i="10"/>
  <c r="M815" i="10" s="1"/>
  <c r="CE70" i="10"/>
  <c r="AS75" i="10"/>
  <c r="N776" i="10" s="1"/>
  <c r="AB726" i="10"/>
  <c r="E142" i="10"/>
  <c r="D464" i="10" s="1"/>
  <c r="O749" i="10"/>
  <c r="R75" i="10"/>
  <c r="N749" i="10" s="1"/>
  <c r="CE47" i="10"/>
  <c r="K734" i="10"/>
  <c r="K815" i="10" s="1"/>
  <c r="CE68" i="10"/>
  <c r="D229" i="10"/>
  <c r="BU722" i="10"/>
  <c r="V730" i="10"/>
  <c r="B475" i="10"/>
  <c r="O757" i="10"/>
  <c r="Z75" i="10"/>
  <c r="N757" i="10" s="1"/>
  <c r="O742" i="10"/>
  <c r="K75" i="10"/>
  <c r="N742" i="10" s="1"/>
  <c r="L734" i="10"/>
  <c r="L815" i="10" s="1"/>
  <c r="CE69" i="10"/>
  <c r="C439" i="10"/>
  <c r="O752" i="10"/>
  <c r="U75" i="10"/>
  <c r="N752" i="10" s="1"/>
  <c r="F535" i="10"/>
  <c r="D734" i="10"/>
  <c r="D815" i="10" s="1"/>
  <c r="CE61" i="10"/>
  <c r="E75" i="10"/>
  <c r="N736" i="10" s="1"/>
  <c r="AA75" i="10"/>
  <c r="N758" i="10" s="1"/>
  <c r="H734" i="10"/>
  <c r="H815" i="10" s="1"/>
  <c r="CE65" i="10"/>
  <c r="O741" i="10"/>
  <c r="J75" i="10"/>
  <c r="N741" i="10" s="1"/>
  <c r="O760" i="10"/>
  <c r="AC75" i="10"/>
  <c r="N760" i="10" s="1"/>
  <c r="C734" i="10"/>
  <c r="C815" i="10" s="1"/>
  <c r="CE60" i="10"/>
  <c r="O765" i="10"/>
  <c r="AH75" i="10"/>
  <c r="N765" i="10" s="1"/>
  <c r="G734" i="10"/>
  <c r="G815" i="10" s="1"/>
  <c r="CE64" i="10"/>
  <c r="O734" i="10"/>
  <c r="CE73" i="10"/>
  <c r="C75" i="10"/>
  <c r="O774" i="10"/>
  <c r="AQ75" i="10"/>
  <c r="N774" i="10" s="1"/>
  <c r="O744" i="10"/>
  <c r="M75" i="10"/>
  <c r="N744" i="10" s="1"/>
  <c r="I734" i="10"/>
  <c r="I815" i="10" s="1"/>
  <c r="CE66" i="10"/>
  <c r="CE74" i="10"/>
  <c r="C464" i="10" s="1"/>
  <c r="AI75" i="10"/>
  <c r="N766" i="10" s="1"/>
  <c r="D438" i="10"/>
  <c r="D435" i="10"/>
  <c r="F501" i="10"/>
  <c r="G75" i="10"/>
  <c r="N738" i="10" s="1"/>
  <c r="P75" i="10"/>
  <c r="N747" i="10" s="1"/>
  <c r="Y75" i="10"/>
  <c r="N756" i="10" s="1"/>
  <c r="AJ75" i="10"/>
  <c r="N767" i="10" s="1"/>
  <c r="AT75" i="10"/>
  <c r="N777" i="10" s="1"/>
  <c r="BK730" i="10"/>
  <c r="B464" i="10"/>
  <c r="D361" i="10"/>
  <c r="L817" i="10"/>
  <c r="CC730" i="10"/>
  <c r="F503" i="10"/>
  <c r="H508" i="10"/>
  <c r="F508" i="10"/>
  <c r="I75" i="10"/>
  <c r="N740" i="10" s="1"/>
  <c r="AB75" i="10"/>
  <c r="N759" i="10" s="1"/>
  <c r="AL75" i="10"/>
  <c r="N769" i="10" s="1"/>
  <c r="AV75" i="10"/>
  <c r="N779" i="10" s="1"/>
  <c r="Q816" i="10"/>
  <c r="G612" i="10"/>
  <c r="CF77" i="10"/>
  <c r="CC722" i="10"/>
  <c r="D240" i="10"/>
  <c r="B447" i="10" s="1"/>
  <c r="AH730" i="10"/>
  <c r="D314" i="10"/>
  <c r="BN730" i="10"/>
  <c r="C447" i="10"/>
  <c r="T75" i="10"/>
  <c r="N751" i="10" s="1"/>
  <c r="AM75" i="10"/>
  <c r="N770" i="10" s="1"/>
  <c r="CE78" i="10"/>
  <c r="J722" i="10"/>
  <c r="D177" i="10"/>
  <c r="D434" i="10" s="1"/>
  <c r="E730" i="10"/>
  <c r="D260" i="10"/>
  <c r="H500" i="10"/>
  <c r="F500" i="10"/>
  <c r="F520" i="10"/>
  <c r="L75" i="10"/>
  <c r="N743" i="10" s="1"/>
  <c r="AN75" i="10"/>
  <c r="N771" i="10" s="1"/>
  <c r="S747" i="10"/>
  <c r="S815" i="10" s="1"/>
  <c r="CE79" i="10"/>
  <c r="H534" i="10"/>
  <c r="F534" i="10"/>
  <c r="O764" i="10"/>
  <c r="AG75" i="10"/>
  <c r="N764" i="10" s="1"/>
  <c r="O772" i="10"/>
  <c r="AO75" i="10"/>
  <c r="N772" i="10" s="1"/>
  <c r="D75" i="10"/>
  <c r="N735" i="10" s="1"/>
  <c r="V75" i="10"/>
  <c r="N753" i="10" s="1"/>
  <c r="AE75" i="10"/>
  <c r="N762" i="10" s="1"/>
  <c r="BJ722" i="10"/>
  <c r="E213" i="10"/>
  <c r="Q730" i="10"/>
  <c r="D275" i="10"/>
  <c r="F511" i="10"/>
  <c r="F526" i="10"/>
  <c r="F539" i="10"/>
  <c r="CE76" i="10"/>
  <c r="D817" i="10"/>
  <c r="BQ730" i="10"/>
  <c r="B455" i="10"/>
  <c r="P815" i="10"/>
  <c r="CE80" i="10"/>
  <c r="D173" i="10"/>
  <c r="D428" i="10" s="1"/>
  <c r="I817" i="10"/>
  <c r="BV730" i="10"/>
  <c r="F502" i="10"/>
  <c r="T815" i="10"/>
  <c r="D367" i="10"/>
  <c r="C448" i="10" s="1"/>
  <c r="D390" i="10"/>
  <c r="B441" i="10" s="1"/>
  <c r="R734" i="10"/>
  <c r="R815" i="10" s="1"/>
  <c r="E141" i="10"/>
  <c r="D463" i="10" s="1"/>
  <c r="C204" i="10"/>
  <c r="C217" i="10"/>
  <c r="D433" i="10" s="1"/>
  <c r="D265" i="10"/>
  <c r="M817" i="10"/>
  <c r="BO730" i="10"/>
  <c r="B432" i="10"/>
  <c r="Q815" i="10"/>
  <c r="E204" i="10" l="1"/>
  <c r="C476" i="10" s="1"/>
  <c r="D465" i="10"/>
  <c r="E217" i="10"/>
  <c r="C478" i="10" s="1"/>
  <c r="D339" i="10"/>
  <c r="C482" i="10" s="1"/>
  <c r="D242" i="10"/>
  <c r="B448" i="10" s="1"/>
  <c r="B445" i="10"/>
  <c r="I816" i="10"/>
  <c r="C432" i="10"/>
  <c r="K816" i="10"/>
  <c r="C434" i="10"/>
  <c r="R816" i="10"/>
  <c r="I612" i="10"/>
  <c r="L816" i="10"/>
  <c r="C440" i="10"/>
  <c r="T816" i="10"/>
  <c r="L612" i="10"/>
  <c r="D277" i="10"/>
  <c r="D292" i="10" s="1"/>
  <c r="D341" i="10" s="1"/>
  <c r="C481" i="10" s="1"/>
  <c r="B476" i="10"/>
  <c r="S816" i="10"/>
  <c r="J612" i="10"/>
  <c r="P816" i="10"/>
  <c r="CF76" i="10"/>
  <c r="AA52" i="10" s="1"/>
  <c r="AA67" i="10" s="1"/>
  <c r="J758" i="10" s="1"/>
  <c r="BG52" i="10"/>
  <c r="BG67" i="10" s="1"/>
  <c r="J790" i="10" s="1"/>
  <c r="AQ52" i="10"/>
  <c r="AQ67" i="10" s="1"/>
  <c r="J774" i="10" s="1"/>
  <c r="S52" i="10"/>
  <c r="S67" i="10" s="1"/>
  <c r="J750" i="10" s="1"/>
  <c r="C52" i="10"/>
  <c r="D612" i="10"/>
  <c r="BV52" i="10"/>
  <c r="BV67" i="10" s="1"/>
  <c r="J805" i="10" s="1"/>
  <c r="BN52" i="10"/>
  <c r="BN67" i="10" s="1"/>
  <c r="J797" i="10" s="1"/>
  <c r="BF52" i="10"/>
  <c r="BF67" i="10" s="1"/>
  <c r="J789" i="10" s="1"/>
  <c r="AP52" i="10"/>
  <c r="AP67" i="10" s="1"/>
  <c r="J773" i="10" s="1"/>
  <c r="Z52" i="10"/>
  <c r="Z67" i="10" s="1"/>
  <c r="J757" i="10" s="1"/>
  <c r="R52" i="10"/>
  <c r="R67" i="10" s="1"/>
  <c r="J749" i="10" s="1"/>
  <c r="J52" i="10"/>
  <c r="J67" i="10" s="1"/>
  <c r="J741" i="10" s="1"/>
  <c r="CC52" i="10"/>
  <c r="CC67" i="10" s="1"/>
  <c r="J812" i="10" s="1"/>
  <c r="BU52" i="10"/>
  <c r="BU67" i="10" s="1"/>
  <c r="J804" i="10" s="1"/>
  <c r="BE52" i="10"/>
  <c r="BE67" i="10" s="1"/>
  <c r="J788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T52" i="10"/>
  <c r="BT67" i="10" s="1"/>
  <c r="J803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H52" i="10"/>
  <c r="H67" i="10" s="1"/>
  <c r="J739" i="10" s="1"/>
  <c r="BZ52" i="10"/>
  <c r="BZ67" i="10" s="1"/>
  <c r="J809" i="10" s="1"/>
  <c r="BR52" i="10"/>
  <c r="BR67" i="10" s="1"/>
  <c r="J801" i="10" s="1"/>
  <c r="BJ52" i="10"/>
  <c r="BJ67" i="10" s="1"/>
  <c r="J793" i="10" s="1"/>
  <c r="BB52" i="10"/>
  <c r="BB67" i="10" s="1"/>
  <c r="J785" i="10" s="1"/>
  <c r="AT52" i="10"/>
  <c r="AT67" i="10" s="1"/>
  <c r="J777" i="10" s="1"/>
  <c r="AL52" i="10"/>
  <c r="AL67" i="10" s="1"/>
  <c r="J769" i="10" s="1"/>
  <c r="V52" i="10"/>
  <c r="V67" i="10" s="1"/>
  <c r="J753" i="10" s="1"/>
  <c r="N52" i="10"/>
  <c r="N67" i="10" s="1"/>
  <c r="J745" i="10" s="1"/>
  <c r="F52" i="10"/>
  <c r="F67" i="10" s="1"/>
  <c r="J737" i="10" s="1"/>
  <c r="BP52" i="10"/>
  <c r="BP67" i="10" s="1"/>
  <c r="J799" i="10" s="1"/>
  <c r="AS52" i="10"/>
  <c r="AS67" i="10" s="1"/>
  <c r="J776" i="10" s="1"/>
  <c r="W52" i="10"/>
  <c r="W67" i="10" s="1"/>
  <c r="J754" i="10" s="1"/>
  <c r="D52" i="10"/>
  <c r="D67" i="10" s="1"/>
  <c r="J735" i="10" s="1"/>
  <c r="BK52" i="10"/>
  <c r="BK67" i="10" s="1"/>
  <c r="J794" i="10" s="1"/>
  <c r="AR52" i="10"/>
  <c r="AR67" i="10" s="1"/>
  <c r="J775" i="10" s="1"/>
  <c r="U52" i="10"/>
  <c r="U67" i="10" s="1"/>
  <c r="J752" i="10" s="1"/>
  <c r="BS52" i="10"/>
  <c r="BS67" i="10" s="1"/>
  <c r="J802" i="10" s="1"/>
  <c r="AZ52" i="10"/>
  <c r="AZ67" i="10" s="1"/>
  <c r="J783" i="10" s="1"/>
  <c r="AC52" i="10"/>
  <c r="AC67" i="10" s="1"/>
  <c r="J760" i="10" s="1"/>
  <c r="BQ52" i="10"/>
  <c r="BQ67" i="10" s="1"/>
  <c r="J800" i="10" s="1"/>
  <c r="E52" i="10"/>
  <c r="E67" i="10" s="1"/>
  <c r="J736" i="10" s="1"/>
  <c r="BI52" i="10"/>
  <c r="BI67" i="10" s="1"/>
  <c r="J792" i="10" s="1"/>
  <c r="AM52" i="10"/>
  <c r="AM67" i="10" s="1"/>
  <c r="J770" i="10" s="1"/>
  <c r="T52" i="10"/>
  <c r="T67" i="10" s="1"/>
  <c r="J751" i="10" s="1"/>
  <c r="BY52" i="10"/>
  <c r="BY67" i="10" s="1"/>
  <c r="J808" i="10" s="1"/>
  <c r="M52" i="10"/>
  <c r="M67" i="10" s="1"/>
  <c r="J744" i="10" s="1"/>
  <c r="CA52" i="10"/>
  <c r="CA67" i="10" s="1"/>
  <c r="J810" i="10" s="1"/>
  <c r="AK52" i="10"/>
  <c r="AK67" i="10" s="1"/>
  <c r="J768" i="10" s="1"/>
  <c r="O52" i="10"/>
  <c r="O67" i="10" s="1"/>
  <c r="J746" i="10" s="1"/>
  <c r="BC52" i="10"/>
  <c r="BC67" i="10" s="1"/>
  <c r="J786" i="10" s="1"/>
  <c r="AB52" i="10"/>
  <c r="AB67" i="10" s="1"/>
  <c r="J759" i="10" s="1"/>
  <c r="BX52" i="10"/>
  <c r="BX67" i="10" s="1"/>
  <c r="J807" i="10" s="1"/>
  <c r="BA52" i="10"/>
  <c r="BA67" i="10" s="1"/>
  <c r="J784" i="10" s="1"/>
  <c r="AE52" i="10"/>
  <c r="AE67" i="10" s="1"/>
  <c r="J762" i="10" s="1"/>
  <c r="G52" i="10"/>
  <c r="G67" i="10" s="1"/>
  <c r="J738" i="10" s="1"/>
  <c r="N734" i="10"/>
  <c r="N815" i="10" s="1"/>
  <c r="CE75" i="10"/>
  <c r="N817" i="10"/>
  <c r="D368" i="10"/>
  <c r="D373" i="10" s="1"/>
  <c r="D391" i="10" s="1"/>
  <c r="D393" i="10" s="1"/>
  <c r="D396" i="10" s="1"/>
  <c r="B465" i="10"/>
  <c r="O816" i="10"/>
  <c r="C463" i="10"/>
  <c r="F816" i="10"/>
  <c r="C429" i="10"/>
  <c r="C816" i="10"/>
  <c r="BI730" i="10"/>
  <c r="H612" i="10"/>
  <c r="O815" i="10"/>
  <c r="D816" i="10"/>
  <c r="C427" i="10"/>
  <c r="BX48" i="10"/>
  <c r="BX62" i="10" s="1"/>
  <c r="BP48" i="10"/>
  <c r="BP62" i="10" s="1"/>
  <c r="BH48" i="10"/>
  <c r="BH62" i="10" s="1"/>
  <c r="AZ48" i="10"/>
  <c r="AZ62" i="10" s="1"/>
  <c r="AR48" i="10"/>
  <c r="AR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O48" i="10"/>
  <c r="BO62" i="10" s="1"/>
  <c r="AY48" i="10"/>
  <c r="AY62" i="10" s="1"/>
  <c r="AJ48" i="10"/>
  <c r="AJ62" i="10" s="1"/>
  <c r="V48" i="10"/>
  <c r="V62" i="10" s="1"/>
  <c r="K48" i="10"/>
  <c r="K62" i="10" s="1"/>
  <c r="AQ48" i="10"/>
  <c r="AQ62" i="10" s="1"/>
  <c r="M48" i="10"/>
  <c r="M62" i="10" s="1"/>
  <c r="CB48" i="10"/>
  <c r="CB62" i="10" s="1"/>
  <c r="BL48" i="10"/>
  <c r="BL62" i="10" s="1"/>
  <c r="AV48" i="10"/>
  <c r="AV62" i="10" s="1"/>
  <c r="AI48" i="10"/>
  <c r="AI62" i="10" s="1"/>
  <c r="U48" i="10"/>
  <c r="U62" i="10" s="1"/>
  <c r="H48" i="10"/>
  <c r="H62" i="10" s="1"/>
  <c r="D48" i="10"/>
  <c r="D62" i="10" s="1"/>
  <c r="AB48" i="10"/>
  <c r="AB62" i="10" s="1"/>
  <c r="BA48" i="10"/>
  <c r="BA62" i="10" s="1"/>
  <c r="L48" i="10"/>
  <c r="L62" i="10" s="1"/>
  <c r="BZ48" i="10"/>
  <c r="BZ62" i="10" s="1"/>
  <c r="BJ48" i="10"/>
  <c r="BJ62" i="10" s="1"/>
  <c r="AT48" i="10"/>
  <c r="AT62" i="10" s="1"/>
  <c r="AF48" i="10"/>
  <c r="AF62" i="10" s="1"/>
  <c r="T48" i="10"/>
  <c r="T62" i="10" s="1"/>
  <c r="F48" i="10"/>
  <c r="F62" i="10" s="1"/>
  <c r="BY48" i="10"/>
  <c r="BY62" i="10" s="1"/>
  <c r="AD48" i="10"/>
  <c r="AD62" i="10" s="1"/>
  <c r="E48" i="10"/>
  <c r="E62" i="10" s="1"/>
  <c r="BW48" i="10"/>
  <c r="BW62" i="10" s="1"/>
  <c r="AC48" i="10"/>
  <c r="AC62" i="10" s="1"/>
  <c r="X48" i="10"/>
  <c r="X62" i="10" s="1"/>
  <c r="BI48" i="10"/>
  <c r="BI62" i="10" s="1"/>
  <c r="AS48" i="10"/>
  <c r="AS62" i="10" s="1"/>
  <c r="S48" i="10"/>
  <c r="S62" i="10" s="1"/>
  <c r="BG48" i="10"/>
  <c r="BG62" i="10" s="1"/>
  <c r="P48" i="10"/>
  <c r="P62" i="10" s="1"/>
  <c r="BR48" i="10"/>
  <c r="BR62" i="10" s="1"/>
  <c r="BB48" i="10"/>
  <c r="BB62" i="10" s="1"/>
  <c r="AL48" i="10"/>
  <c r="AL62" i="10" s="1"/>
  <c r="AA48" i="10"/>
  <c r="AA62" i="10" s="1"/>
  <c r="AK48" i="10"/>
  <c r="AK62" i="10" s="1"/>
  <c r="BT48" i="10"/>
  <c r="BT62" i="10" s="1"/>
  <c r="BD48" i="10"/>
  <c r="BD62" i="10" s="1"/>
  <c r="AN48" i="10"/>
  <c r="AN62" i="10" s="1"/>
  <c r="N48" i="10"/>
  <c r="N62" i="10" s="1"/>
  <c r="C48" i="10"/>
  <c r="BQ48" i="10"/>
  <c r="BQ62" i="10" s="1"/>
  <c r="M816" i="10"/>
  <c r="C458" i="10"/>
  <c r="H816" i="10"/>
  <c r="C431" i="10"/>
  <c r="G816" i="10"/>
  <c r="F612" i="10"/>
  <c r="C430" i="10"/>
  <c r="AI52" i="10" l="1"/>
  <c r="AI67" i="10" s="1"/>
  <c r="J766" i="10" s="1"/>
  <c r="BO52" i="10"/>
  <c r="BO67" i="10" s="1"/>
  <c r="J798" i="10" s="1"/>
  <c r="AY52" i="10"/>
  <c r="AY67" i="10" s="1"/>
  <c r="J782" i="10" s="1"/>
  <c r="E785" i="10"/>
  <c r="BB71" i="10"/>
  <c r="E753" i="10"/>
  <c r="V71" i="10"/>
  <c r="E745" i="10"/>
  <c r="N71" i="10"/>
  <c r="E801" i="10"/>
  <c r="BR71" i="10"/>
  <c r="E806" i="10"/>
  <c r="E793" i="10"/>
  <c r="BJ71" i="10"/>
  <c r="E766" i="10"/>
  <c r="AI71" i="10"/>
  <c r="E767" i="10"/>
  <c r="E778" i="10"/>
  <c r="E764" i="10"/>
  <c r="AG71" i="10"/>
  <c r="E749" i="10"/>
  <c r="R71" i="10"/>
  <c r="E775" i="10"/>
  <c r="AR71" i="10"/>
  <c r="E777" i="10"/>
  <c r="AT71" i="10"/>
  <c r="E756" i="10"/>
  <c r="Y71" i="10"/>
  <c r="E771" i="10"/>
  <c r="AN71" i="10"/>
  <c r="E779" i="10"/>
  <c r="AV71" i="10"/>
  <c r="E757" i="10"/>
  <c r="Z71" i="10"/>
  <c r="E752" i="10"/>
  <c r="U71" i="10"/>
  <c r="E805" i="10"/>
  <c r="BV71" i="10"/>
  <c r="E782" i="10"/>
  <c r="AY71" i="10"/>
  <c r="E761" i="10"/>
  <c r="E798" i="10"/>
  <c r="BO71" i="10"/>
  <c r="E765" i="10"/>
  <c r="E803" i="10"/>
  <c r="BT71" i="10"/>
  <c r="E784" i="10"/>
  <c r="BA71" i="10"/>
  <c r="E788" i="10"/>
  <c r="BE71" i="10"/>
  <c r="N816" i="10"/>
  <c r="C465" i="10"/>
  <c r="K612" i="10"/>
  <c r="E768" i="10"/>
  <c r="AK71" i="10"/>
  <c r="E776" i="10"/>
  <c r="AS71" i="10"/>
  <c r="E737" i="10"/>
  <c r="F71" i="10"/>
  <c r="E759" i="10"/>
  <c r="AB71" i="10"/>
  <c r="E744" i="10"/>
  <c r="M71" i="10"/>
  <c r="E746" i="10"/>
  <c r="O71" i="10"/>
  <c r="E810" i="10"/>
  <c r="CA71" i="10"/>
  <c r="E796" i="10"/>
  <c r="E781" i="10"/>
  <c r="E807" i="10"/>
  <c r="BX71" i="10"/>
  <c r="BL52" i="10"/>
  <c r="BL67" i="10" s="1"/>
  <c r="J795" i="10" s="1"/>
  <c r="AW52" i="10"/>
  <c r="AW67" i="10" s="1"/>
  <c r="J780" i="10" s="1"/>
  <c r="AH52" i="10"/>
  <c r="AH67" i="10" s="1"/>
  <c r="J765" i="10" s="1"/>
  <c r="K52" i="10"/>
  <c r="K67" i="10" s="1"/>
  <c r="J742" i="10" s="1"/>
  <c r="BW52" i="10"/>
  <c r="BW67" i="10" s="1"/>
  <c r="J806" i="10" s="1"/>
  <c r="E760" i="10"/>
  <c r="AC71" i="10"/>
  <c r="E741" i="10"/>
  <c r="J71" i="10"/>
  <c r="E747" i="10"/>
  <c r="E809" i="10"/>
  <c r="BZ71" i="10"/>
  <c r="E772" i="10"/>
  <c r="AO71" i="10"/>
  <c r="E790" i="10"/>
  <c r="BG71" i="10"/>
  <c r="E795" i="10"/>
  <c r="E794" i="10"/>
  <c r="BK71" i="10"/>
  <c r="E791" i="10"/>
  <c r="E750" i="10"/>
  <c r="S71" i="10"/>
  <c r="E811" i="10"/>
  <c r="E773" i="10"/>
  <c r="AP71" i="10"/>
  <c r="E758" i="10"/>
  <c r="AA71" i="10"/>
  <c r="E751" i="10"/>
  <c r="T71" i="10"/>
  <c r="E754" i="10"/>
  <c r="W71" i="10"/>
  <c r="E804" i="10"/>
  <c r="BU71" i="10"/>
  <c r="CE48" i="10"/>
  <c r="C62" i="10"/>
  <c r="E770" i="10"/>
  <c r="AM71" i="10"/>
  <c r="E736" i="10"/>
  <c r="E71" i="10"/>
  <c r="E786" i="10"/>
  <c r="BC71" i="10"/>
  <c r="E783" i="10"/>
  <c r="AZ71" i="10"/>
  <c r="E787" i="10"/>
  <c r="BD71" i="10"/>
  <c r="E743" i="10"/>
  <c r="E780" i="10"/>
  <c r="E808" i="10"/>
  <c r="BY71" i="10"/>
  <c r="E738" i="10"/>
  <c r="G71" i="10"/>
  <c r="E802" i="10"/>
  <c r="BS71" i="10"/>
  <c r="E799" i="10"/>
  <c r="BP71" i="10"/>
  <c r="C67" i="10"/>
  <c r="E792" i="10"/>
  <c r="BI71" i="10"/>
  <c r="E735" i="10"/>
  <c r="D71" i="10"/>
  <c r="E774" i="10"/>
  <c r="AQ71" i="10"/>
  <c r="E740" i="10"/>
  <c r="I71" i="10"/>
  <c r="E789" i="10"/>
  <c r="BF71" i="10"/>
  <c r="E800" i="10"/>
  <c r="BQ71" i="10"/>
  <c r="E769" i="10"/>
  <c r="AL71" i="10"/>
  <c r="E755" i="10"/>
  <c r="X71" i="10"/>
  <c r="E763" i="10"/>
  <c r="AF71" i="10"/>
  <c r="E739" i="10"/>
  <c r="H71" i="10"/>
  <c r="E742" i="10"/>
  <c r="E762" i="10"/>
  <c r="AE71" i="10"/>
  <c r="E748" i="10"/>
  <c r="Q71" i="10"/>
  <c r="E812" i="10"/>
  <c r="CC71" i="10"/>
  <c r="E797" i="10"/>
  <c r="BN71" i="10"/>
  <c r="L52" i="10"/>
  <c r="L67" i="10" s="1"/>
  <c r="J743" i="10" s="1"/>
  <c r="BH52" i="10"/>
  <c r="BH67" i="10" s="1"/>
  <c r="J791" i="10" s="1"/>
  <c r="AU52" i="10"/>
  <c r="AU67" i="10" s="1"/>
  <c r="J778" i="10" s="1"/>
  <c r="AJ52" i="10"/>
  <c r="AJ67" i="10" s="1"/>
  <c r="J767" i="10" s="1"/>
  <c r="AD52" i="10"/>
  <c r="AD67" i="10" s="1"/>
  <c r="J761" i="10" s="1"/>
  <c r="P52" i="10"/>
  <c r="P67" i="10" s="1"/>
  <c r="J747" i="10" s="1"/>
  <c r="CB52" i="10"/>
  <c r="CB67" i="10" s="1"/>
  <c r="J811" i="10" s="1"/>
  <c r="BM52" i="10"/>
  <c r="BM67" i="10" s="1"/>
  <c r="J796" i="10" s="1"/>
  <c r="AX52" i="10"/>
  <c r="AX67" i="10" s="1"/>
  <c r="J781" i="10" s="1"/>
  <c r="L71" i="10" l="1"/>
  <c r="C505" i="10" s="1"/>
  <c r="G505" i="10" s="1"/>
  <c r="C713" i="10"/>
  <c r="C541" i="10"/>
  <c r="C673" i="10"/>
  <c r="C501" i="10"/>
  <c r="C497" i="10"/>
  <c r="G497" i="10" s="1"/>
  <c r="C669" i="10"/>
  <c r="C639" i="10"/>
  <c r="C564" i="10"/>
  <c r="C670" i="10"/>
  <c r="C498" i="10"/>
  <c r="BM71" i="10"/>
  <c r="C693" i="10"/>
  <c r="C521" i="10"/>
  <c r="C641" i="10"/>
  <c r="C566" i="10"/>
  <c r="C707" i="10"/>
  <c r="C535" i="10"/>
  <c r="C556" i="10"/>
  <c r="C635" i="10"/>
  <c r="C646" i="10"/>
  <c r="C571" i="10"/>
  <c r="C640" i="10"/>
  <c r="C565" i="10"/>
  <c r="C625" i="10"/>
  <c r="C544" i="10"/>
  <c r="C709" i="10"/>
  <c r="C537" i="10"/>
  <c r="AJ71" i="10"/>
  <c r="C563" i="10"/>
  <c r="C626" i="10"/>
  <c r="C620" i="10"/>
  <c r="C574" i="10"/>
  <c r="C623" i="10"/>
  <c r="C562" i="10"/>
  <c r="C677" i="10"/>
  <c r="C688" i="10"/>
  <c r="C516" i="10"/>
  <c r="CB71" i="10"/>
  <c r="BL71" i="10"/>
  <c r="P71" i="10"/>
  <c r="AH71" i="10"/>
  <c r="C642" i="10"/>
  <c r="C567" i="10"/>
  <c r="C705" i="10"/>
  <c r="C533" i="10"/>
  <c r="G533" i="10" s="1"/>
  <c r="C683" i="10"/>
  <c r="C511" i="10"/>
  <c r="C700" i="10"/>
  <c r="C528" i="10"/>
  <c r="G528" i="10" s="1"/>
  <c r="C679" i="10"/>
  <c r="C507" i="10"/>
  <c r="G507" i="10" s="1"/>
  <c r="C697" i="10"/>
  <c r="C525" i="10"/>
  <c r="G525" i="10" s="1"/>
  <c r="C500" i="10"/>
  <c r="G500" i="10" s="1"/>
  <c r="C672" i="10"/>
  <c r="C684" i="10"/>
  <c r="C512" i="10"/>
  <c r="C627" i="10"/>
  <c r="C560" i="10"/>
  <c r="C555" i="10"/>
  <c r="C617" i="10"/>
  <c r="C696" i="10"/>
  <c r="C524" i="10"/>
  <c r="C674" i="10"/>
  <c r="C502" i="10"/>
  <c r="G502" i="10" s="1"/>
  <c r="J734" i="10"/>
  <c r="J815" i="10" s="1"/>
  <c r="CE67" i="10"/>
  <c r="C645" i="10"/>
  <c r="C570" i="10"/>
  <c r="C545" i="10"/>
  <c r="C628" i="10"/>
  <c r="E734" i="10"/>
  <c r="E815" i="10" s="1"/>
  <c r="CE62" i="10"/>
  <c r="C71" i="10"/>
  <c r="C644" i="10"/>
  <c r="C569" i="10"/>
  <c r="C680" i="10"/>
  <c r="C508" i="10"/>
  <c r="G508" i="10" s="1"/>
  <c r="C538" i="10"/>
  <c r="G538" i="10" s="1"/>
  <c r="C710" i="10"/>
  <c r="C682" i="10"/>
  <c r="C510" i="10"/>
  <c r="C634" i="10"/>
  <c r="C554" i="10"/>
  <c r="C704" i="10"/>
  <c r="C532" i="10"/>
  <c r="C647" i="10"/>
  <c r="C572" i="10"/>
  <c r="C614" i="10"/>
  <c r="C550" i="10"/>
  <c r="C698" i="10"/>
  <c r="C526" i="10"/>
  <c r="CE52" i="10"/>
  <c r="C692" i="10"/>
  <c r="C520" i="10"/>
  <c r="BH71" i="10"/>
  <c r="C706" i="10"/>
  <c r="C534" i="10"/>
  <c r="G534" i="10" s="1"/>
  <c r="C522" i="10"/>
  <c r="C694" i="10"/>
  <c r="C546" i="10"/>
  <c r="C630" i="10"/>
  <c r="AD71" i="10"/>
  <c r="C691" i="10"/>
  <c r="C519" i="10"/>
  <c r="C711" i="10"/>
  <c r="C539" i="10"/>
  <c r="G539" i="10" s="1"/>
  <c r="AU71" i="10"/>
  <c r="BW71" i="10"/>
  <c r="C632" i="10"/>
  <c r="C547" i="10"/>
  <c r="C629" i="10"/>
  <c r="C551" i="10"/>
  <c r="C549" i="10"/>
  <c r="C624" i="10"/>
  <c r="C671" i="10"/>
  <c r="C499" i="10"/>
  <c r="G499" i="10" s="1"/>
  <c r="C513" i="10"/>
  <c r="G513" i="10" s="1"/>
  <c r="C685" i="10"/>
  <c r="C552" i="10"/>
  <c r="C618" i="10"/>
  <c r="C675" i="10"/>
  <c r="C503" i="10"/>
  <c r="C686" i="10"/>
  <c r="C514" i="10"/>
  <c r="C690" i="10"/>
  <c r="C518" i="10"/>
  <c r="C515" i="10"/>
  <c r="C687" i="10"/>
  <c r="C689" i="10"/>
  <c r="C517" i="10"/>
  <c r="G517" i="10" s="1"/>
  <c r="C619" i="10"/>
  <c r="C559" i="10"/>
  <c r="K71" i="10"/>
  <c r="C703" i="10"/>
  <c r="C531" i="10"/>
  <c r="C708" i="10"/>
  <c r="C536" i="10"/>
  <c r="G536" i="10" s="1"/>
  <c r="C561" i="10"/>
  <c r="C621" i="10"/>
  <c r="AW71" i="10"/>
  <c r="C548" i="10"/>
  <c r="C633" i="10"/>
  <c r="AX71" i="10"/>
  <c r="C678" i="10"/>
  <c r="C506" i="10"/>
  <c r="G506" i="10" s="1"/>
  <c r="C702" i="10"/>
  <c r="C530" i="10"/>
  <c r="C712" i="10" l="1"/>
  <c r="C540" i="10"/>
  <c r="G540" i="10" s="1"/>
  <c r="G518" i="10"/>
  <c r="H518" i="10" s="1"/>
  <c r="C695" i="10"/>
  <c r="C523" i="10"/>
  <c r="G520" i="10"/>
  <c r="H520" i="10" s="1"/>
  <c r="C637" i="10"/>
  <c r="C557" i="10"/>
  <c r="C676" i="10"/>
  <c r="C504" i="10"/>
  <c r="G504" i="10" s="1"/>
  <c r="G532" i="10"/>
  <c r="H532" i="10"/>
  <c r="G545" i="10"/>
  <c r="H545" i="10" s="1"/>
  <c r="C573" i="10"/>
  <c r="C622" i="10"/>
  <c r="G521" i="10"/>
  <c r="H521" i="10"/>
  <c r="G524" i="10"/>
  <c r="H524" i="10" s="1"/>
  <c r="G511" i="10"/>
  <c r="H511" i="10" s="1"/>
  <c r="C542" i="10"/>
  <c r="C631" i="10"/>
  <c r="G514" i="10"/>
  <c r="H514" i="10" s="1"/>
  <c r="C643" i="10"/>
  <c r="C568" i="10"/>
  <c r="G546" i="10"/>
  <c r="H546" i="10"/>
  <c r="G516" i="10"/>
  <c r="H516" i="10" s="1"/>
  <c r="G530" i="10"/>
  <c r="H530" i="10" s="1"/>
  <c r="G526" i="10"/>
  <c r="H526" i="10" s="1"/>
  <c r="G503" i="10"/>
  <c r="H503" i="10" s="1"/>
  <c r="J816" i="10"/>
  <c r="C433" i="10"/>
  <c r="C496" i="10"/>
  <c r="C668" i="10"/>
  <c r="G537" i="10"/>
  <c r="H537" i="10"/>
  <c r="C638" i="10"/>
  <c r="C558" i="10"/>
  <c r="G501" i="10"/>
  <c r="H501" i="10"/>
  <c r="G510" i="10"/>
  <c r="H510" i="10" s="1"/>
  <c r="G519" i="10"/>
  <c r="H519" i="10" s="1"/>
  <c r="D615" i="10"/>
  <c r="E816" i="10"/>
  <c r="C428" i="10"/>
  <c r="CE71" i="10"/>
  <c r="C716" i="10" s="1"/>
  <c r="H512" i="10"/>
  <c r="G512" i="10"/>
  <c r="C699" i="10"/>
  <c r="C527" i="10"/>
  <c r="G527" i="10" s="1"/>
  <c r="G498" i="10"/>
  <c r="H498" i="10" s="1"/>
  <c r="G522" i="10"/>
  <c r="H522" i="10" s="1"/>
  <c r="C701" i="10"/>
  <c r="C529" i="10"/>
  <c r="G529" i="10" s="1"/>
  <c r="G550" i="10"/>
  <c r="H550" i="10" s="1"/>
  <c r="C616" i="10"/>
  <c r="C543" i="10"/>
  <c r="G531" i="10"/>
  <c r="H531" i="10"/>
  <c r="G515" i="10"/>
  <c r="H515" i="10" s="1"/>
  <c r="C636" i="10"/>
  <c r="C553" i="10"/>
  <c r="C681" i="10"/>
  <c r="C509" i="10"/>
  <c r="G544" i="10"/>
  <c r="H544" i="10"/>
  <c r="G535" i="10"/>
  <c r="H535" i="10" s="1"/>
  <c r="C441" i="10" l="1"/>
  <c r="G496" i="10"/>
  <c r="H496" i="10" s="1"/>
  <c r="G523" i="10"/>
  <c r="H523" i="10"/>
  <c r="C648" i="10"/>
  <c r="M716" i="10" s="1"/>
  <c r="Y816" i="10" s="1"/>
  <c r="D711" i="10"/>
  <c r="D703" i="10"/>
  <c r="D695" i="10"/>
  <c r="D708" i="10"/>
  <c r="D700" i="10"/>
  <c r="D692" i="10"/>
  <c r="D713" i="10"/>
  <c r="D705" i="10"/>
  <c r="D697" i="10"/>
  <c r="D710" i="10"/>
  <c r="D702" i="10"/>
  <c r="D694" i="10"/>
  <c r="D716" i="10"/>
  <c r="D699" i="10"/>
  <c r="D686" i="10"/>
  <c r="D678" i="10"/>
  <c r="D670" i="10"/>
  <c r="D647" i="10"/>
  <c r="D646" i="10"/>
  <c r="D645" i="10"/>
  <c r="D629" i="10"/>
  <c r="D712" i="10"/>
  <c r="D696" i="10"/>
  <c r="D683" i="10"/>
  <c r="D675" i="10"/>
  <c r="D644" i="10"/>
  <c r="D643" i="10"/>
  <c r="D642" i="10"/>
  <c r="D709" i="10"/>
  <c r="D693" i="10"/>
  <c r="D688" i="10"/>
  <c r="D680" i="10"/>
  <c r="D672" i="10"/>
  <c r="D706" i="10"/>
  <c r="D685" i="10"/>
  <c r="D677" i="10"/>
  <c r="D704" i="10"/>
  <c r="D687" i="10"/>
  <c r="D679" i="10"/>
  <c r="D671" i="10"/>
  <c r="D625" i="10"/>
  <c r="D701" i="10"/>
  <c r="D684" i="10"/>
  <c r="D682" i="10"/>
  <c r="D641" i="10"/>
  <c r="D632" i="10"/>
  <c r="D676" i="10"/>
  <c r="D674" i="10"/>
  <c r="D636" i="10"/>
  <c r="D623" i="10"/>
  <c r="D619" i="10"/>
  <c r="D668" i="10"/>
  <c r="D639" i="10"/>
  <c r="D633" i="10"/>
  <c r="D627" i="10"/>
  <c r="D707" i="10"/>
  <c r="D622" i="10"/>
  <c r="D618" i="10"/>
  <c r="D681" i="10"/>
  <c r="D640" i="10"/>
  <c r="D621" i="10"/>
  <c r="D617" i="10"/>
  <c r="D635" i="10"/>
  <c r="D631" i="10"/>
  <c r="D628" i="10"/>
  <c r="D626" i="10"/>
  <c r="D624" i="10"/>
  <c r="D637" i="10"/>
  <c r="D691" i="10"/>
  <c r="D669" i="10"/>
  <c r="D630" i="10"/>
  <c r="D690" i="10"/>
  <c r="D620" i="10"/>
  <c r="D673" i="10"/>
  <c r="D616" i="10"/>
  <c r="D698" i="10"/>
  <c r="D689" i="10"/>
  <c r="D638" i="10"/>
  <c r="D634" i="10"/>
  <c r="C715" i="10"/>
  <c r="G509" i="10"/>
  <c r="H509" i="10" s="1"/>
  <c r="E623" i="10" l="1"/>
  <c r="E716" i="10" s="1"/>
  <c r="D715" i="10"/>
  <c r="E612" i="10"/>
  <c r="E708" i="10" s="1"/>
  <c r="E698" i="10" l="1"/>
  <c r="E676" i="10"/>
  <c r="E630" i="10"/>
  <c r="E702" i="10"/>
  <c r="E679" i="10"/>
  <c r="E624" i="10"/>
  <c r="E629" i="10"/>
  <c r="E684" i="10"/>
  <c r="E685" i="10"/>
  <c r="E631" i="10"/>
  <c r="E639" i="10"/>
  <c r="E696" i="10"/>
  <c r="E710" i="10"/>
  <c r="E627" i="10"/>
  <c r="E677" i="10"/>
  <c r="E638" i="10"/>
  <c r="E683" i="10"/>
  <c r="E645" i="10"/>
  <c r="E626" i="10"/>
  <c r="E671" i="10"/>
  <c r="E701" i="10"/>
  <c r="E706" i="10"/>
  <c r="E632" i="10"/>
  <c r="E640" i="10"/>
  <c r="E712" i="10"/>
  <c r="E697" i="10"/>
  <c r="E646" i="10"/>
  <c r="E682" i="10"/>
  <c r="E634" i="10"/>
  <c r="E713" i="10"/>
  <c r="E670" i="10"/>
  <c r="E687" i="10"/>
  <c r="E686" i="10"/>
  <c r="E690" i="10"/>
  <c r="E688" i="10"/>
  <c r="E635" i="10"/>
  <c r="E643" i="10"/>
  <c r="E707" i="10"/>
  <c r="E692" i="10"/>
  <c r="E681" i="10"/>
  <c r="E678" i="10"/>
  <c r="E672" i="10"/>
  <c r="E633" i="10"/>
  <c r="E691" i="10"/>
  <c r="E704" i="10"/>
  <c r="E680" i="10"/>
  <c r="E642" i="10"/>
  <c r="E699" i="10"/>
  <c r="E689" i="10"/>
  <c r="E628" i="10"/>
  <c r="E703" i="10"/>
  <c r="E693" i="10"/>
  <c r="E636" i="10"/>
  <c r="E644" i="10"/>
  <c r="E700" i="10"/>
  <c r="E695" i="10"/>
  <c r="E674" i="10"/>
  <c r="E641" i="10"/>
  <c r="E705" i="10"/>
  <c r="E647" i="10"/>
  <c r="E711" i="10"/>
  <c r="E673" i="10"/>
  <c r="E625" i="10"/>
  <c r="E668" i="10"/>
  <c r="E669" i="10"/>
  <c r="E709" i="10"/>
  <c r="E637" i="10"/>
  <c r="E675" i="10"/>
  <c r="E694" i="10"/>
  <c r="E715" i="10" l="1"/>
  <c r="F624" i="10"/>
  <c r="F713" i="10" l="1"/>
  <c r="F705" i="10"/>
  <c r="F697" i="10"/>
  <c r="F710" i="10"/>
  <c r="F702" i="10"/>
  <c r="F694" i="10"/>
  <c r="F716" i="10"/>
  <c r="F707" i="10"/>
  <c r="F699" i="10"/>
  <c r="F691" i="10"/>
  <c r="F712" i="10"/>
  <c r="F704" i="10"/>
  <c r="F696" i="10"/>
  <c r="F709" i="10"/>
  <c r="F693" i="10"/>
  <c r="F688" i="10"/>
  <c r="F680" i="10"/>
  <c r="F672" i="10"/>
  <c r="F706" i="10"/>
  <c r="F685" i="10"/>
  <c r="F677" i="10"/>
  <c r="F669" i="10"/>
  <c r="F703" i="10"/>
  <c r="F690" i="10"/>
  <c r="F682" i="10"/>
  <c r="F674" i="10"/>
  <c r="F700" i="10"/>
  <c r="F687" i="10"/>
  <c r="F679" i="10"/>
  <c r="F698" i="10"/>
  <c r="F689" i="10"/>
  <c r="F681" i="10"/>
  <c r="F673" i="10"/>
  <c r="F678" i="10"/>
  <c r="F676" i="10"/>
  <c r="F671" i="10"/>
  <c r="F636" i="10"/>
  <c r="F629" i="10"/>
  <c r="F627" i="10"/>
  <c r="F668" i="10"/>
  <c r="F639" i="10"/>
  <c r="F633" i="10"/>
  <c r="F625" i="10"/>
  <c r="F708" i="10"/>
  <c r="F646" i="10"/>
  <c r="F711" i="10"/>
  <c r="F692" i="10"/>
  <c r="F644" i="10"/>
  <c r="F642" i="10"/>
  <c r="F637" i="10"/>
  <c r="F634" i="10"/>
  <c r="F630" i="10"/>
  <c r="F675" i="10"/>
  <c r="F635" i="10"/>
  <c r="F631" i="10"/>
  <c r="F628" i="10"/>
  <c r="F670" i="10"/>
  <c r="F647" i="10"/>
  <c r="F645" i="10"/>
  <c r="F638" i="10"/>
  <c r="F695" i="10"/>
  <c r="F684" i="10"/>
  <c r="F643" i="10"/>
  <c r="F683" i="10"/>
  <c r="F641" i="10"/>
  <c r="F701" i="10"/>
  <c r="F632" i="10"/>
  <c r="F686" i="10"/>
  <c r="F626" i="10"/>
  <c r="F640" i="10"/>
  <c r="F715" i="10" l="1"/>
  <c r="G625" i="10"/>
  <c r="G710" i="10" l="1"/>
  <c r="G702" i="10"/>
  <c r="G694" i="10"/>
  <c r="G716" i="10"/>
  <c r="G707" i="10"/>
  <c r="G699" i="10"/>
  <c r="G691" i="10"/>
  <c r="G712" i="10"/>
  <c r="G704" i="10"/>
  <c r="G696" i="10"/>
  <c r="G709" i="10"/>
  <c r="G701" i="10"/>
  <c r="G693" i="10"/>
  <c r="G706" i="10"/>
  <c r="G685" i="10"/>
  <c r="G677" i="10"/>
  <c r="G669" i="10"/>
  <c r="G627" i="10"/>
  <c r="G703" i="10"/>
  <c r="G690" i="10"/>
  <c r="G682" i="10"/>
  <c r="G674" i="10"/>
  <c r="G700" i="10"/>
  <c r="G687" i="10"/>
  <c r="G679" i="10"/>
  <c r="G671" i="10"/>
  <c r="G713" i="10"/>
  <c r="G697" i="10"/>
  <c r="G684" i="10"/>
  <c r="G676" i="10"/>
  <c r="G711" i="10"/>
  <c r="G695" i="10"/>
  <c r="G686" i="10"/>
  <c r="G678" i="10"/>
  <c r="G670" i="10"/>
  <c r="G647" i="10"/>
  <c r="G646" i="10"/>
  <c r="G645" i="10"/>
  <c r="G629" i="10"/>
  <c r="G626" i="10"/>
  <c r="G705" i="10"/>
  <c r="G680" i="10"/>
  <c r="G668" i="10"/>
  <c r="G639" i="10"/>
  <c r="G633" i="10"/>
  <c r="G708" i="10"/>
  <c r="G692" i="10"/>
  <c r="G689" i="10"/>
  <c r="G644" i="10"/>
  <c r="G642" i="10"/>
  <c r="G637" i="10"/>
  <c r="G634" i="10"/>
  <c r="G630" i="10"/>
  <c r="G683" i="10"/>
  <c r="G681" i="10"/>
  <c r="G672" i="10"/>
  <c r="G640" i="10"/>
  <c r="G698" i="10"/>
  <c r="G673" i="10"/>
  <c r="G638" i="10"/>
  <c r="G643" i="10"/>
  <c r="G641" i="10"/>
  <c r="G632" i="10"/>
  <c r="G631" i="10"/>
  <c r="G636" i="10"/>
  <c r="G675" i="10"/>
  <c r="G635" i="10"/>
  <c r="G688" i="10"/>
  <c r="G628" i="10"/>
  <c r="H628" i="10" l="1"/>
  <c r="G715" i="10"/>
  <c r="H716" i="10"/>
  <c r="H707" i="10"/>
  <c r="H699" i="10"/>
  <c r="H691" i="10"/>
  <c r="H712" i="10"/>
  <c r="H704" i="10"/>
  <c r="H696" i="10"/>
  <c r="H709" i="10"/>
  <c r="H701" i="10"/>
  <c r="H693" i="10"/>
  <c r="H706" i="10"/>
  <c r="H698" i="10"/>
  <c r="H690" i="10"/>
  <c r="H703" i="10"/>
  <c r="H682" i="10"/>
  <c r="H674" i="10"/>
  <c r="H700" i="10"/>
  <c r="H687" i="10"/>
  <c r="H679" i="10"/>
  <c r="H671" i="10"/>
  <c r="H713" i="10"/>
  <c r="H697" i="10"/>
  <c r="H684" i="10"/>
  <c r="H676" i="10"/>
  <c r="H668" i="10"/>
  <c r="H710" i="10"/>
  <c r="H694" i="10"/>
  <c r="H689" i="10"/>
  <c r="H681" i="10"/>
  <c r="H708" i="10"/>
  <c r="H692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46" i="10"/>
  <c r="H711" i="10"/>
  <c r="H672" i="10"/>
  <c r="H695" i="10"/>
  <c r="H685" i="10"/>
  <c r="H669" i="10"/>
  <c r="H670" i="10"/>
  <c r="H647" i="10"/>
  <c r="H645" i="10"/>
  <c r="H702" i="10"/>
  <c r="H688" i="10"/>
  <c r="H686" i="10"/>
  <c r="H677" i="10"/>
  <c r="H705" i="10"/>
  <c r="H629" i="10"/>
  <c r="H680" i="10"/>
  <c r="H678" i="10"/>
  <c r="H673" i="10"/>
  <c r="H715" i="10" l="1"/>
  <c r="I629" i="10"/>
  <c r="I712" i="10" l="1"/>
  <c r="I704" i="10"/>
  <c r="I696" i="10"/>
  <c r="I709" i="10"/>
  <c r="I701" i="10"/>
  <c r="I693" i="10"/>
  <c r="I706" i="10"/>
  <c r="I698" i="10"/>
  <c r="I711" i="10"/>
  <c r="I703" i="10"/>
  <c r="I695" i="10"/>
  <c r="I700" i="10"/>
  <c r="I690" i="10"/>
  <c r="I687" i="10"/>
  <c r="I679" i="10"/>
  <c r="I671" i="10"/>
  <c r="I713" i="10"/>
  <c r="I697" i="10"/>
  <c r="I684" i="10"/>
  <c r="I676" i="10"/>
  <c r="I668" i="10"/>
  <c r="I710" i="10"/>
  <c r="I694" i="10"/>
  <c r="I689" i="10"/>
  <c r="I681" i="10"/>
  <c r="I673" i="10"/>
  <c r="I707" i="10"/>
  <c r="I691" i="10"/>
  <c r="I686" i="10"/>
  <c r="I678" i="10"/>
  <c r="I705" i="10"/>
  <c r="I688" i="10"/>
  <c r="I680" i="10"/>
  <c r="I672" i="10"/>
  <c r="I708" i="10"/>
  <c r="I674" i="10"/>
  <c r="I646" i="10"/>
  <c r="I692" i="10"/>
  <c r="I644" i="10"/>
  <c r="I642" i="10"/>
  <c r="I637" i="10"/>
  <c r="I634" i="10"/>
  <c r="I630" i="10"/>
  <c r="I685" i="10"/>
  <c r="I683" i="10"/>
  <c r="I669" i="10"/>
  <c r="I640" i="10"/>
  <c r="I716" i="10"/>
  <c r="I677" i="10"/>
  <c r="I675" i="10"/>
  <c r="I635" i="10"/>
  <c r="I631" i="10"/>
  <c r="I702" i="10"/>
  <c r="I643" i="10"/>
  <c r="I641" i="10"/>
  <c r="I632" i="10"/>
  <c r="I636" i="10"/>
  <c r="I670" i="10"/>
  <c r="I682" i="10"/>
  <c r="I639" i="10"/>
  <c r="I633" i="10"/>
  <c r="I647" i="10"/>
  <c r="I645" i="10"/>
  <c r="I638" i="10"/>
  <c r="I699" i="10"/>
  <c r="I715" i="10" l="1"/>
  <c r="J630" i="10"/>
  <c r="J709" i="10" l="1"/>
  <c r="J701" i="10"/>
  <c r="J693" i="10"/>
  <c r="J706" i="10"/>
  <c r="J698" i="10"/>
  <c r="J690" i="10"/>
  <c r="J711" i="10"/>
  <c r="J703" i="10"/>
  <c r="J695" i="10"/>
  <c r="J708" i="10"/>
  <c r="J700" i="10"/>
  <c r="J692" i="10"/>
  <c r="J713" i="10"/>
  <c r="J697" i="10"/>
  <c r="J684" i="10"/>
  <c r="J676" i="10"/>
  <c r="J668" i="10"/>
  <c r="J710" i="10"/>
  <c r="J694" i="10"/>
  <c r="J689" i="10"/>
  <c r="J681" i="10"/>
  <c r="J673" i="10"/>
  <c r="J707" i="10"/>
  <c r="J691" i="10"/>
  <c r="J686" i="10"/>
  <c r="J678" i="10"/>
  <c r="J670" i="10"/>
  <c r="J647" i="10"/>
  <c r="J646" i="10"/>
  <c r="J645" i="10"/>
  <c r="J704" i="10"/>
  <c r="J683" i="10"/>
  <c r="J675" i="10"/>
  <c r="J702" i="10"/>
  <c r="J685" i="10"/>
  <c r="J677" i="10"/>
  <c r="J669" i="10"/>
  <c r="J644" i="10"/>
  <c r="J642" i="10"/>
  <c r="J637" i="10"/>
  <c r="J634" i="10"/>
  <c r="J712" i="10"/>
  <c r="J672" i="10"/>
  <c r="J640" i="10"/>
  <c r="J716" i="10"/>
  <c r="J696" i="10"/>
  <c r="J687" i="10"/>
  <c r="J635" i="10"/>
  <c r="J631" i="10"/>
  <c r="J699" i="10"/>
  <c r="J679" i="10"/>
  <c r="J638" i="10"/>
  <c r="J688" i="10"/>
  <c r="J636" i="10"/>
  <c r="J705" i="10"/>
  <c r="J682" i="10"/>
  <c r="J680" i="10"/>
  <c r="J639" i="10"/>
  <c r="J633" i="10"/>
  <c r="J643" i="10"/>
  <c r="J641" i="10"/>
  <c r="J674" i="10"/>
  <c r="J632" i="10"/>
  <c r="J671" i="10"/>
  <c r="K644" i="10" l="1"/>
  <c r="L647" i="10"/>
  <c r="J715" i="10"/>
  <c r="L711" i="10" l="1"/>
  <c r="L703" i="10"/>
  <c r="L695" i="10"/>
  <c r="L708" i="10"/>
  <c r="L700" i="10"/>
  <c r="L692" i="10"/>
  <c r="L713" i="10"/>
  <c r="L705" i="10"/>
  <c r="L697" i="10"/>
  <c r="L710" i="10"/>
  <c r="L702" i="10"/>
  <c r="L694" i="10"/>
  <c r="L707" i="10"/>
  <c r="L691" i="10"/>
  <c r="L686" i="10"/>
  <c r="L678" i="10"/>
  <c r="L670" i="10"/>
  <c r="L704" i="10"/>
  <c r="L683" i="10"/>
  <c r="L675" i="10"/>
  <c r="L701" i="10"/>
  <c r="L688" i="10"/>
  <c r="L680" i="10"/>
  <c r="L672" i="10"/>
  <c r="L698" i="10"/>
  <c r="L685" i="10"/>
  <c r="L677" i="10"/>
  <c r="L712" i="10"/>
  <c r="L696" i="10"/>
  <c r="L687" i="10"/>
  <c r="L679" i="10"/>
  <c r="L671" i="10"/>
  <c r="L669" i="10"/>
  <c r="L716" i="10"/>
  <c r="L689" i="10"/>
  <c r="L699" i="10"/>
  <c r="L681" i="10"/>
  <c r="L673" i="10"/>
  <c r="L706" i="10"/>
  <c r="L684" i="10"/>
  <c r="L682" i="10"/>
  <c r="L709" i="10"/>
  <c r="L690" i="10"/>
  <c r="L676" i="10"/>
  <c r="L674" i="10"/>
  <c r="L668" i="10"/>
  <c r="L693" i="10"/>
  <c r="K706" i="10"/>
  <c r="K698" i="10"/>
  <c r="K690" i="10"/>
  <c r="K711" i="10"/>
  <c r="K703" i="10"/>
  <c r="K695" i="10"/>
  <c r="K708" i="10"/>
  <c r="K700" i="10"/>
  <c r="K692" i="10"/>
  <c r="K713" i="10"/>
  <c r="K705" i="10"/>
  <c r="K697" i="10"/>
  <c r="K710" i="10"/>
  <c r="K694" i="10"/>
  <c r="K689" i="10"/>
  <c r="K681" i="10"/>
  <c r="K673" i="10"/>
  <c r="K707" i="10"/>
  <c r="K691" i="10"/>
  <c r="K686" i="10"/>
  <c r="K678" i="10"/>
  <c r="K670" i="10"/>
  <c r="K704" i="10"/>
  <c r="K683" i="10"/>
  <c r="K675" i="10"/>
  <c r="K701" i="10"/>
  <c r="K688" i="10"/>
  <c r="K680" i="10"/>
  <c r="K716" i="10"/>
  <c r="K699" i="10"/>
  <c r="K682" i="10"/>
  <c r="K674" i="10"/>
  <c r="K712" i="10"/>
  <c r="K693" i="10"/>
  <c r="K672" i="10"/>
  <c r="K696" i="10"/>
  <c r="K687" i="10"/>
  <c r="K685" i="10"/>
  <c r="K669" i="10"/>
  <c r="K679" i="10"/>
  <c r="K677" i="10"/>
  <c r="K684" i="10"/>
  <c r="K671" i="10"/>
  <c r="K709" i="10"/>
  <c r="K676" i="10"/>
  <c r="K668" i="10"/>
  <c r="K702" i="10"/>
  <c r="K715" i="10" l="1"/>
  <c r="M674" i="10"/>
  <c r="Y740" i="10" s="1"/>
  <c r="M681" i="10"/>
  <c r="Y747" i="10" s="1"/>
  <c r="M696" i="10"/>
  <c r="Y762" i="10" s="1"/>
  <c r="M700" i="10"/>
  <c r="Y766" i="10" s="1"/>
  <c r="M707" i="10"/>
  <c r="Y773" i="10" s="1"/>
  <c r="M684" i="10"/>
  <c r="Y750" i="10" s="1"/>
  <c r="M671" i="10"/>
  <c r="Y737" i="10" s="1"/>
  <c r="M672" i="10"/>
  <c r="Y738" i="10" s="1"/>
  <c r="M678" i="10"/>
  <c r="Y744" i="10" s="1"/>
  <c r="M705" i="10"/>
  <c r="Y771" i="10" s="1"/>
  <c r="M708" i="10"/>
  <c r="Y774" i="10" s="1"/>
  <c r="M693" i="10"/>
  <c r="Y759" i="10" s="1"/>
  <c r="M680" i="10"/>
  <c r="Y746" i="10" s="1"/>
  <c r="M686" i="10"/>
  <c r="Y752" i="10" s="1"/>
  <c r="M713" i="10"/>
  <c r="Y779" i="10" s="1"/>
  <c r="M701" i="10"/>
  <c r="Y767" i="10" s="1"/>
  <c r="M706" i="10"/>
  <c r="Y772" i="10" s="1"/>
  <c r="M679" i="10"/>
  <c r="Y745" i="10" s="1"/>
  <c r="L715" i="10"/>
  <c r="M668" i="10"/>
  <c r="M673" i="10"/>
  <c r="Y739" i="10" s="1"/>
  <c r="M687" i="10"/>
  <c r="Y753" i="10" s="1"/>
  <c r="M688" i="10"/>
  <c r="Y754" i="10" s="1"/>
  <c r="M691" i="10"/>
  <c r="Y757" i="10" s="1"/>
  <c r="M692" i="10"/>
  <c r="Y758" i="10" s="1"/>
  <c r="M699" i="10"/>
  <c r="Y765" i="10" s="1"/>
  <c r="M675" i="10"/>
  <c r="Y741" i="10" s="1"/>
  <c r="M690" i="10"/>
  <c r="Y756" i="10" s="1"/>
  <c r="M689" i="10"/>
  <c r="Y755" i="10" s="1"/>
  <c r="M677" i="10"/>
  <c r="Y743" i="10" s="1"/>
  <c r="M683" i="10"/>
  <c r="Y749" i="10" s="1"/>
  <c r="M702" i="10"/>
  <c r="Y768" i="10" s="1"/>
  <c r="M695" i="10"/>
  <c r="Y761" i="10" s="1"/>
  <c r="M712" i="10"/>
  <c r="Y778" i="10" s="1"/>
  <c r="M694" i="10"/>
  <c r="Y760" i="10" s="1"/>
  <c r="M709" i="10"/>
  <c r="Y775" i="10" s="1"/>
  <c r="M685" i="10"/>
  <c r="Y751" i="10" s="1"/>
  <c r="M704" i="10"/>
  <c r="Y770" i="10" s="1"/>
  <c r="M710" i="10"/>
  <c r="Y776" i="10" s="1"/>
  <c r="M703" i="10"/>
  <c r="Y769" i="10" s="1"/>
  <c r="M676" i="10"/>
  <c r="Y742" i="10" s="1"/>
  <c r="M682" i="10"/>
  <c r="Y748" i="10" s="1"/>
  <c r="M669" i="10"/>
  <c r="Y735" i="10" s="1"/>
  <c r="M698" i="10"/>
  <c r="Y764" i="10" s="1"/>
  <c r="M670" i="10"/>
  <c r="Y736" i="10" s="1"/>
  <c r="M697" i="10"/>
  <c r="Y763" i="10" s="1"/>
  <c r="M711" i="10"/>
  <c r="Y777" i="10" s="1"/>
  <c r="Y734" i="10" l="1"/>
  <c r="Y815" i="10" s="1"/>
  <c r="M715" i="10"/>
  <c r="F493" i="1" l="1"/>
  <c r="D493" i="1"/>
  <c r="B493" i="1"/>
  <c r="B575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CE68" i="1"/>
  <c r="I370" i="9" s="1"/>
  <c r="D75" i="1"/>
  <c r="AR75" i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C470" i="1" s="1"/>
  <c r="E198" i="1"/>
  <c r="E199" i="1"/>
  <c r="E200" i="1"/>
  <c r="F12" i="6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X48" i="1"/>
  <c r="X62" i="1" s="1"/>
  <c r="H48" i="1"/>
  <c r="H62" i="1" s="1"/>
  <c r="D436" i="1"/>
  <c r="C34" i="5"/>
  <c r="D366" i="9"/>
  <c r="CE64" i="1"/>
  <c r="F612" i="1" s="1"/>
  <c r="D368" i="9"/>
  <c r="C276" i="9"/>
  <c r="CE70" i="1"/>
  <c r="C458" i="1" s="1"/>
  <c r="CE76" i="1"/>
  <c r="CF76" i="1" s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BZ48" i="1"/>
  <c r="BZ62" i="1" s="1"/>
  <c r="G48" i="1"/>
  <c r="G62" i="1" s="1"/>
  <c r="G12" i="9" s="1"/>
  <c r="BS48" i="1"/>
  <c r="BS62" i="1" s="1"/>
  <c r="M48" i="1"/>
  <c r="M62" i="1" s="1"/>
  <c r="O48" i="1"/>
  <c r="O62" i="1" s="1"/>
  <c r="AM48" i="1"/>
  <c r="AM62" i="1" s="1"/>
  <c r="CD71" i="1"/>
  <c r="C575" i="1" s="1"/>
  <c r="BA48" i="1"/>
  <c r="BA62" i="1" s="1"/>
  <c r="AK48" i="1"/>
  <c r="AK62" i="1" s="1"/>
  <c r="BU48" i="1"/>
  <c r="BU62" i="1" s="1"/>
  <c r="C332" i="9" s="1"/>
  <c r="BM48" i="1"/>
  <c r="BM62" i="1" s="1"/>
  <c r="I268" i="9" s="1"/>
  <c r="AO48" i="1"/>
  <c r="AO62" i="1" s="1"/>
  <c r="AG48" i="1"/>
  <c r="AG62" i="1" s="1"/>
  <c r="I48" i="1"/>
  <c r="I62" i="1" s="1"/>
  <c r="CC48" i="1"/>
  <c r="CC62" i="1" s="1"/>
  <c r="BG48" i="1"/>
  <c r="BG62" i="1" s="1"/>
  <c r="C268" i="9" s="1"/>
  <c r="AY48" i="1"/>
  <c r="AY62" i="1" s="1"/>
  <c r="AA48" i="1"/>
  <c r="AA62" i="1" s="1"/>
  <c r="F108" i="9" s="1"/>
  <c r="S48" i="1"/>
  <c r="S62" i="1" s="1"/>
  <c r="C615" i="1"/>
  <c r="CB48" i="1"/>
  <c r="CB62" i="1" s="1"/>
  <c r="C364" i="9" s="1"/>
  <c r="E372" i="9"/>
  <c r="CA48" i="1"/>
  <c r="CA62" i="1" s="1"/>
  <c r="I332" i="9" s="1"/>
  <c r="BY48" i="1"/>
  <c r="BY62" i="1" s="1"/>
  <c r="BT48" i="1"/>
  <c r="BT62" i="1" s="1"/>
  <c r="BR48" i="1"/>
  <c r="BR62" i="1" s="1"/>
  <c r="BL48" i="1"/>
  <c r="BL62" i="1" s="1"/>
  <c r="H268" i="9" s="1"/>
  <c r="BJ48" i="1"/>
  <c r="BJ62" i="1" s="1"/>
  <c r="BD48" i="1"/>
  <c r="BD62" i="1" s="1"/>
  <c r="BB48" i="1"/>
  <c r="BB62" i="1" s="1"/>
  <c r="AV48" i="1"/>
  <c r="AV62" i="1" s="1"/>
  <c r="AT48" i="1"/>
  <c r="AT62" i="1" s="1"/>
  <c r="AN48" i="1"/>
  <c r="AN62" i="1" s="1"/>
  <c r="E172" i="9" s="1"/>
  <c r="AL48" i="1"/>
  <c r="AL62" i="1" s="1"/>
  <c r="AF48" i="1"/>
  <c r="AF62" i="1" s="1"/>
  <c r="AD48" i="1"/>
  <c r="AD62" i="1" s="1"/>
  <c r="R48" i="1"/>
  <c r="R62" i="1" s="1"/>
  <c r="N48" i="1"/>
  <c r="N62" i="1" s="1"/>
  <c r="B10" i="4"/>
  <c r="F10" i="4"/>
  <c r="C469" i="1" l="1"/>
  <c r="B440" i="1"/>
  <c r="S60" i="12"/>
  <c r="I368" i="9"/>
  <c r="K60" i="12"/>
  <c r="K61" i="12" s="1"/>
  <c r="I612" i="1"/>
  <c r="AB48" i="1"/>
  <c r="AB62" i="1" s="1"/>
  <c r="G108" i="9" s="1"/>
  <c r="F48" i="1"/>
  <c r="F62" i="1" s="1"/>
  <c r="F12" i="9" s="1"/>
  <c r="AP48" i="1"/>
  <c r="AP62" i="1" s="1"/>
  <c r="G172" i="9" s="1"/>
  <c r="BF48" i="1"/>
  <c r="BF62" i="1" s="1"/>
  <c r="Q48" i="1"/>
  <c r="Q62" i="1" s="1"/>
  <c r="E48" i="1"/>
  <c r="E62" i="1" s="1"/>
  <c r="C427" i="1"/>
  <c r="BC48" i="1"/>
  <c r="BC62" i="1" s="1"/>
  <c r="F236" i="9" s="1"/>
  <c r="AU48" i="1"/>
  <c r="AU62" i="1" s="1"/>
  <c r="E204" i="9" s="1"/>
  <c r="P48" i="1"/>
  <c r="P62" i="1" s="1"/>
  <c r="I44" i="9" s="1"/>
  <c r="I363" i="9"/>
  <c r="C27" i="5"/>
  <c r="C112" i="8"/>
  <c r="C434" i="1"/>
  <c r="L48" i="1"/>
  <c r="L62" i="1" s="1"/>
  <c r="E44" i="9" s="1"/>
  <c r="V48" i="1"/>
  <c r="V62" i="1" s="1"/>
  <c r="H76" i="9" s="1"/>
  <c r="AH48" i="1"/>
  <c r="AH62" i="1" s="1"/>
  <c r="F140" i="9" s="1"/>
  <c r="AX48" i="1"/>
  <c r="AX62" i="1" s="1"/>
  <c r="H204" i="9" s="1"/>
  <c r="BN48" i="1"/>
  <c r="BN62" i="1" s="1"/>
  <c r="BV48" i="1"/>
  <c r="BV62" i="1" s="1"/>
  <c r="D332" i="9" s="1"/>
  <c r="C48" i="1"/>
  <c r="C62" i="1" s="1"/>
  <c r="C12" i="9" s="1"/>
  <c r="AI48" i="1"/>
  <c r="AI62" i="1" s="1"/>
  <c r="BO48" i="1"/>
  <c r="BO62" i="1" s="1"/>
  <c r="D300" i="9" s="1"/>
  <c r="AW48" i="1"/>
  <c r="AW62" i="1" s="1"/>
  <c r="BQ48" i="1"/>
  <c r="BQ62" i="1" s="1"/>
  <c r="F300" i="9" s="1"/>
  <c r="J48" i="1"/>
  <c r="J62" i="1" s="1"/>
  <c r="C44" i="9" s="1"/>
  <c r="Z48" i="1"/>
  <c r="Z62" i="1" s="1"/>
  <c r="E108" i="9" s="1"/>
  <c r="AJ48" i="1"/>
  <c r="AJ62" i="1" s="1"/>
  <c r="AR48" i="1"/>
  <c r="AR62" i="1" s="1"/>
  <c r="AZ48" i="1"/>
  <c r="AZ62" i="1" s="1"/>
  <c r="C236" i="9" s="1"/>
  <c r="BH48" i="1"/>
  <c r="BH62" i="1" s="1"/>
  <c r="BP48" i="1"/>
  <c r="BP62" i="1" s="1"/>
  <c r="BX48" i="1"/>
  <c r="BX62" i="1" s="1"/>
  <c r="F332" i="9" s="1"/>
  <c r="K48" i="1"/>
  <c r="K62" i="1" s="1"/>
  <c r="AQ48" i="1"/>
  <c r="AQ62" i="1" s="1"/>
  <c r="BW48" i="1"/>
  <c r="BW62" i="1" s="1"/>
  <c r="Y48" i="1"/>
  <c r="Y62" i="1" s="1"/>
  <c r="BE48" i="1"/>
  <c r="BE62" i="1" s="1"/>
  <c r="U48" i="1"/>
  <c r="U62" i="1" s="1"/>
  <c r="G76" i="9" s="1"/>
  <c r="BI48" i="1"/>
  <c r="BI62" i="1" s="1"/>
  <c r="E268" i="9" s="1"/>
  <c r="AE48" i="1"/>
  <c r="AE62" i="1" s="1"/>
  <c r="C140" i="9" s="1"/>
  <c r="AC48" i="1"/>
  <c r="AC62" i="1" s="1"/>
  <c r="H108" i="9" s="1"/>
  <c r="D48" i="1"/>
  <c r="D62" i="1" s="1"/>
  <c r="T48" i="1"/>
  <c r="T62" i="1" s="1"/>
  <c r="C33" i="8"/>
  <c r="B476" i="1"/>
  <c r="I371" i="9"/>
  <c r="S61" i="12"/>
  <c r="I26" i="9"/>
  <c r="G122" i="9"/>
  <c r="C440" i="1"/>
  <c r="AS48" i="1"/>
  <c r="AS62" i="1" s="1"/>
  <c r="C204" i="9" s="1"/>
  <c r="D368" i="1"/>
  <c r="C120" i="8" s="1"/>
  <c r="W48" i="1"/>
  <c r="W62" i="1" s="1"/>
  <c r="I76" i="9" s="1"/>
  <c r="D186" i="9"/>
  <c r="C218" i="9"/>
  <c r="O52" i="1"/>
  <c r="O67" i="1" s="1"/>
  <c r="V52" i="1"/>
  <c r="V67" i="1" s="1"/>
  <c r="BJ52" i="1"/>
  <c r="BJ67" i="1" s="1"/>
  <c r="BK52" i="1"/>
  <c r="BK67" i="1" s="1"/>
  <c r="BK71" i="1" s="1"/>
  <c r="N52" i="1"/>
  <c r="N67" i="1" s="1"/>
  <c r="P52" i="1"/>
  <c r="P67" i="1" s="1"/>
  <c r="P71" i="1" s="1"/>
  <c r="I53" i="9" s="1"/>
  <c r="BB52" i="1"/>
  <c r="BB67" i="1" s="1"/>
  <c r="AS52" i="1"/>
  <c r="AS67" i="1" s="1"/>
  <c r="C209" i="9" s="1"/>
  <c r="CA52" i="1"/>
  <c r="CA67" i="1" s="1"/>
  <c r="Y52" i="1"/>
  <c r="Y67" i="1" s="1"/>
  <c r="Y71" i="1" s="1"/>
  <c r="BU52" i="1"/>
  <c r="BU67" i="1" s="1"/>
  <c r="AN52" i="1"/>
  <c r="AN67" i="1" s="1"/>
  <c r="J52" i="1"/>
  <c r="J67" i="1" s="1"/>
  <c r="C49" i="9" s="1"/>
  <c r="C52" i="1"/>
  <c r="C67" i="1" s="1"/>
  <c r="C71" i="1" s="1"/>
  <c r="C496" i="1" s="1"/>
  <c r="G496" i="1" s="1"/>
  <c r="BH52" i="1"/>
  <c r="BH67" i="1" s="1"/>
  <c r="AH52" i="1"/>
  <c r="AH67" i="1" s="1"/>
  <c r="F145" i="9" s="1"/>
  <c r="AZ52" i="1"/>
  <c r="AZ67" i="1" s="1"/>
  <c r="Q52" i="1"/>
  <c r="Q67" i="1" s="1"/>
  <c r="I52" i="1"/>
  <c r="I67" i="1" s="1"/>
  <c r="AG52" i="1"/>
  <c r="AG67" i="1" s="1"/>
  <c r="BT52" i="1"/>
  <c r="BT67" i="1" s="1"/>
  <c r="AL52" i="1"/>
  <c r="AL67" i="1" s="1"/>
  <c r="C177" i="9" s="1"/>
  <c r="S52" i="1"/>
  <c r="S67" i="1" s="1"/>
  <c r="S71" i="1" s="1"/>
  <c r="H52" i="1"/>
  <c r="H67" i="1" s="1"/>
  <c r="H71" i="1" s="1"/>
  <c r="D612" i="1"/>
  <c r="AQ52" i="1"/>
  <c r="AQ67" i="1" s="1"/>
  <c r="H177" i="9" s="1"/>
  <c r="AF52" i="1"/>
  <c r="AF67" i="1" s="1"/>
  <c r="D145" i="9" s="1"/>
  <c r="BA52" i="1"/>
  <c r="BA67" i="1" s="1"/>
  <c r="AR52" i="1"/>
  <c r="AR67" i="1" s="1"/>
  <c r="AR71" i="1" s="1"/>
  <c r="C709" i="1" s="1"/>
  <c r="BO52" i="1"/>
  <c r="BO67" i="1" s="1"/>
  <c r="BI52" i="1"/>
  <c r="BI67" i="1" s="1"/>
  <c r="AE52" i="1"/>
  <c r="AE67" i="1" s="1"/>
  <c r="C145" i="9" s="1"/>
  <c r="W52" i="1"/>
  <c r="W67" i="1" s="1"/>
  <c r="U52" i="1"/>
  <c r="U67" i="1" s="1"/>
  <c r="G81" i="9" s="1"/>
  <c r="AU52" i="1"/>
  <c r="AU67" i="1" s="1"/>
  <c r="AI52" i="1"/>
  <c r="AI67" i="1" s="1"/>
  <c r="K52" i="1"/>
  <c r="K67" i="1" s="1"/>
  <c r="BL52" i="1"/>
  <c r="BL67" i="1" s="1"/>
  <c r="AV52" i="1"/>
  <c r="AV67" i="1" s="1"/>
  <c r="F209" i="9" s="1"/>
  <c r="BC52" i="1"/>
  <c r="BC67" i="1" s="1"/>
  <c r="I380" i="9"/>
  <c r="AB52" i="1"/>
  <c r="AB67" i="1" s="1"/>
  <c r="BZ52" i="1"/>
  <c r="BZ67" i="1" s="1"/>
  <c r="H337" i="9" s="1"/>
  <c r="BW52" i="1"/>
  <c r="BW67" i="1" s="1"/>
  <c r="BG52" i="1"/>
  <c r="BG67" i="1" s="1"/>
  <c r="BG71" i="1" s="1"/>
  <c r="AJ52" i="1"/>
  <c r="AJ67" i="1" s="1"/>
  <c r="H145" i="9" s="1"/>
  <c r="E52" i="1"/>
  <c r="E67" i="1" s="1"/>
  <c r="L52" i="1"/>
  <c r="L67" i="1" s="1"/>
  <c r="AD52" i="1"/>
  <c r="AD67" i="1" s="1"/>
  <c r="AD71" i="1" s="1"/>
  <c r="BP52" i="1"/>
  <c r="BP67" i="1" s="1"/>
  <c r="AC52" i="1"/>
  <c r="AC67" i="1" s="1"/>
  <c r="AC71" i="1" s="1"/>
  <c r="BX52" i="1"/>
  <c r="BX67" i="1" s="1"/>
  <c r="F337" i="9" s="1"/>
  <c r="CC52" i="1"/>
  <c r="CC67" i="1" s="1"/>
  <c r="D369" i="9" s="1"/>
  <c r="Z52" i="1"/>
  <c r="Z67" i="1" s="1"/>
  <c r="X52" i="1"/>
  <c r="X67" i="1" s="1"/>
  <c r="X71" i="1" s="1"/>
  <c r="C117" i="9" s="1"/>
  <c r="R52" i="1"/>
  <c r="R67" i="1" s="1"/>
  <c r="D81" i="9" s="1"/>
  <c r="AT52" i="1"/>
  <c r="AT67" i="1" s="1"/>
  <c r="D209" i="9" s="1"/>
  <c r="AO52" i="1"/>
  <c r="AO67" i="1" s="1"/>
  <c r="F177" i="9" s="1"/>
  <c r="AP52" i="1"/>
  <c r="AP67" i="1" s="1"/>
  <c r="BS52" i="1"/>
  <c r="BS67" i="1" s="1"/>
  <c r="H305" i="9" s="1"/>
  <c r="C464" i="1"/>
  <c r="G186" i="9"/>
  <c r="I90" i="9"/>
  <c r="F154" i="9"/>
  <c r="I186" i="9"/>
  <c r="I372" i="9"/>
  <c r="I71" i="1"/>
  <c r="C674" i="1" s="1"/>
  <c r="E373" i="9"/>
  <c r="C432" i="1"/>
  <c r="E432" i="1" s="1"/>
  <c r="I366" i="9"/>
  <c r="C430" i="1"/>
  <c r="I365" i="9"/>
  <c r="I300" i="9"/>
  <c r="D172" i="9"/>
  <c r="E140" i="9"/>
  <c r="I172" i="9"/>
  <c r="E76" i="9"/>
  <c r="I140" i="9"/>
  <c r="I362" i="9"/>
  <c r="H332" i="9"/>
  <c r="E300" i="9"/>
  <c r="D236" i="9"/>
  <c r="H300" i="9"/>
  <c r="F204" i="9"/>
  <c r="I12" i="9"/>
  <c r="G236" i="9"/>
  <c r="D140" i="9"/>
  <c r="D76" i="9"/>
  <c r="F172" i="9"/>
  <c r="H236" i="9"/>
  <c r="H12" i="9"/>
  <c r="I381" i="9"/>
  <c r="G612" i="1"/>
  <c r="D32" i="6"/>
  <c r="C473" i="1"/>
  <c r="F13" i="6"/>
  <c r="C415" i="1"/>
  <c r="G28" i="4"/>
  <c r="D463" i="1"/>
  <c r="E19" i="4"/>
  <c r="G19" i="4"/>
  <c r="F28" i="4"/>
  <c r="C421" i="1"/>
  <c r="D428" i="1"/>
  <c r="C141" i="8"/>
  <c r="D5" i="7"/>
  <c r="D13" i="7"/>
  <c r="G10" i="4"/>
  <c r="E10" i="4"/>
  <c r="D330" i="1"/>
  <c r="D12" i="9"/>
  <c r="I108" i="9"/>
  <c r="D204" i="9"/>
  <c r="F268" i="9"/>
  <c r="G332" i="9"/>
  <c r="C300" i="9"/>
  <c r="I236" i="9"/>
  <c r="G44" i="9"/>
  <c r="C172" i="9"/>
  <c r="E236" i="9"/>
  <c r="G300" i="9"/>
  <c r="F44" i="9"/>
  <c r="H44" i="9"/>
  <c r="B446" i="1"/>
  <c r="D242" i="1"/>
  <c r="C418" i="1"/>
  <c r="D438" i="1"/>
  <c r="C108" i="9"/>
  <c r="F14" i="6"/>
  <c r="C471" i="1"/>
  <c r="F10" i="6"/>
  <c r="D26" i="9"/>
  <c r="CE75" i="1"/>
  <c r="D108" i="9"/>
  <c r="F7" i="6"/>
  <c r="E204" i="1"/>
  <c r="C468" i="1"/>
  <c r="I383" i="9"/>
  <c r="D22" i="7"/>
  <c r="C40" i="5"/>
  <c r="C420" i="1"/>
  <c r="B28" i="4"/>
  <c r="F186" i="9"/>
  <c r="I204" i="9"/>
  <c r="BD52" i="1"/>
  <c r="BD67" i="1" s="1"/>
  <c r="BD71" i="1" s="1"/>
  <c r="AM52" i="1"/>
  <c r="AM67" i="1" s="1"/>
  <c r="AM71" i="1" s="1"/>
  <c r="C704" i="1" s="1"/>
  <c r="BF52" i="1"/>
  <c r="BF67" i="1" s="1"/>
  <c r="BF71" i="1" s="1"/>
  <c r="BQ52" i="1"/>
  <c r="BQ67" i="1" s="1"/>
  <c r="BQ71" i="1" s="1"/>
  <c r="F52" i="1"/>
  <c r="F67" i="1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T52" i="1"/>
  <c r="T67" i="1" s="1"/>
  <c r="BN52" i="1"/>
  <c r="BN67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D52" i="1"/>
  <c r="D67" i="1" s="1"/>
  <c r="AA52" i="1"/>
  <c r="AA67" i="1" s="1"/>
  <c r="AA71" i="1" s="1"/>
  <c r="BE52" i="1"/>
  <c r="BE67" i="1" s="1"/>
  <c r="AX52" i="1"/>
  <c r="AX67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AB71" i="1" l="1"/>
  <c r="G117" i="9" s="1"/>
  <c r="D44" i="9"/>
  <c r="AW71" i="1"/>
  <c r="G213" i="9" s="1"/>
  <c r="E332" i="9"/>
  <c r="H140" i="9"/>
  <c r="BV71" i="1"/>
  <c r="D341" i="9" s="1"/>
  <c r="T71" i="1"/>
  <c r="C513" i="1" s="1"/>
  <c r="G513" i="1" s="1"/>
  <c r="E12" i="9"/>
  <c r="F76" i="9"/>
  <c r="BP71" i="1"/>
  <c r="C561" i="1" s="1"/>
  <c r="G204" i="9"/>
  <c r="G140" i="9"/>
  <c r="L71" i="1"/>
  <c r="C505" i="1" s="1"/>
  <c r="G505" i="1" s="1"/>
  <c r="AX71" i="1"/>
  <c r="H213" i="9" s="1"/>
  <c r="BE71" i="1"/>
  <c r="H245" i="9" s="1"/>
  <c r="G49" i="9"/>
  <c r="C76" i="9"/>
  <c r="D268" i="9"/>
  <c r="BO71" i="1"/>
  <c r="C627" i="1" s="1"/>
  <c r="F71" i="1"/>
  <c r="F21" i="9" s="1"/>
  <c r="C241" i="9"/>
  <c r="AZ71" i="1"/>
  <c r="C628" i="1" s="1"/>
  <c r="D373" i="1"/>
  <c r="C126" i="8" s="1"/>
  <c r="D71" i="1"/>
  <c r="D21" i="9" s="1"/>
  <c r="BN71" i="1"/>
  <c r="C309" i="9" s="1"/>
  <c r="H172" i="9"/>
  <c r="Z71" i="1"/>
  <c r="C519" i="1" s="1"/>
  <c r="G519" i="1" s="1"/>
  <c r="AU71" i="1"/>
  <c r="C540" i="1" s="1"/>
  <c r="G540" i="1" s="1"/>
  <c r="C86" i="8"/>
  <c r="D339" i="1"/>
  <c r="C102" i="8" s="1"/>
  <c r="N71" i="1"/>
  <c r="C507" i="1" s="1"/>
  <c r="G507" i="1" s="1"/>
  <c r="C17" i="9"/>
  <c r="E145" i="9"/>
  <c r="BA71" i="1"/>
  <c r="D245" i="9" s="1"/>
  <c r="G273" i="9"/>
  <c r="CE62" i="1"/>
  <c r="I364" i="9" s="1"/>
  <c r="CE48" i="1"/>
  <c r="D273" i="9"/>
  <c r="BU71" i="1"/>
  <c r="C341" i="9" s="1"/>
  <c r="AF71" i="1"/>
  <c r="D149" i="9" s="1"/>
  <c r="AV71" i="1"/>
  <c r="F213" i="9" s="1"/>
  <c r="BZ71" i="1"/>
  <c r="H341" i="9" s="1"/>
  <c r="AJ71" i="1"/>
  <c r="H149" i="9" s="1"/>
  <c r="CC71" i="1"/>
  <c r="D373" i="9" s="1"/>
  <c r="C668" i="1"/>
  <c r="H81" i="9"/>
  <c r="AL71" i="1"/>
  <c r="C531" i="1" s="1"/>
  <c r="G531" i="1" s="1"/>
  <c r="G113" i="9"/>
  <c r="C21" i="9"/>
  <c r="CE52" i="1"/>
  <c r="D241" i="9"/>
  <c r="AE71" i="1"/>
  <c r="C524" i="1" s="1"/>
  <c r="G524" i="1" s="1"/>
  <c r="AH71" i="1"/>
  <c r="C527" i="1" s="1"/>
  <c r="G527" i="1" s="1"/>
  <c r="CE67" i="1"/>
  <c r="AS71" i="1"/>
  <c r="C538" i="1" s="1"/>
  <c r="G538" i="1" s="1"/>
  <c r="AG71" i="1"/>
  <c r="C698" i="1" s="1"/>
  <c r="C712" i="1"/>
  <c r="C518" i="1"/>
  <c r="G518" i="1" s="1"/>
  <c r="C690" i="1"/>
  <c r="D117" i="9"/>
  <c r="H273" i="9"/>
  <c r="BJ71" i="1"/>
  <c r="C555" i="1" s="1"/>
  <c r="E305" i="9"/>
  <c r="C337" i="9"/>
  <c r="U71" i="1"/>
  <c r="C686" i="1" s="1"/>
  <c r="C81" i="9"/>
  <c r="E241" i="9"/>
  <c r="Q71" i="1"/>
  <c r="C682" i="1" s="1"/>
  <c r="BH71" i="1"/>
  <c r="C553" i="1" s="1"/>
  <c r="I17" i="9"/>
  <c r="E273" i="9"/>
  <c r="BI71" i="1"/>
  <c r="E277" i="9" s="1"/>
  <c r="AO71" i="1"/>
  <c r="F181" i="9" s="1"/>
  <c r="AQ71" i="1"/>
  <c r="C536" i="1" s="1"/>
  <c r="G536" i="1" s="1"/>
  <c r="F273" i="9"/>
  <c r="BB71" i="1"/>
  <c r="E245" i="9" s="1"/>
  <c r="V71" i="1"/>
  <c r="C515" i="1" s="1"/>
  <c r="G515" i="1" s="1"/>
  <c r="AT71" i="1"/>
  <c r="D213" i="9" s="1"/>
  <c r="BL71" i="1"/>
  <c r="C637" i="1" s="1"/>
  <c r="H49" i="9"/>
  <c r="E337" i="9"/>
  <c r="E49" i="9"/>
  <c r="BS71" i="1"/>
  <c r="C639" i="1" s="1"/>
  <c r="BX71" i="1"/>
  <c r="C644" i="1" s="1"/>
  <c r="R71" i="1"/>
  <c r="C683" i="1" s="1"/>
  <c r="G177" i="9"/>
  <c r="E177" i="9"/>
  <c r="E71" i="1"/>
  <c r="C498" i="1" s="1"/>
  <c r="G498" i="1" s="1"/>
  <c r="O71" i="1"/>
  <c r="C508" i="1" s="1"/>
  <c r="G508" i="1" s="1"/>
  <c r="J71" i="1"/>
  <c r="C503" i="1" s="1"/>
  <c r="G503" i="1" s="1"/>
  <c r="I81" i="9"/>
  <c r="K71" i="1"/>
  <c r="D53" i="9" s="1"/>
  <c r="BT71" i="1"/>
  <c r="E113" i="9"/>
  <c r="E209" i="9"/>
  <c r="E81" i="9"/>
  <c r="BW71" i="1"/>
  <c r="C643" i="1" s="1"/>
  <c r="I337" i="9"/>
  <c r="C113" i="9"/>
  <c r="H113" i="9"/>
  <c r="F241" i="9"/>
  <c r="G145" i="9"/>
  <c r="H17" i="9"/>
  <c r="E17" i="9"/>
  <c r="W71" i="1"/>
  <c r="I85" i="9" s="1"/>
  <c r="I305" i="9"/>
  <c r="AI71" i="1"/>
  <c r="C700" i="1" s="1"/>
  <c r="I177" i="9"/>
  <c r="AP71" i="1"/>
  <c r="G181" i="9" s="1"/>
  <c r="AN71" i="1"/>
  <c r="C533" i="1" s="1"/>
  <c r="G533" i="1" s="1"/>
  <c r="CA71" i="1"/>
  <c r="C647" i="1" s="1"/>
  <c r="D49" i="9"/>
  <c r="BC71" i="1"/>
  <c r="C633" i="1" s="1"/>
  <c r="I113" i="9"/>
  <c r="C273" i="9"/>
  <c r="D305" i="9"/>
  <c r="D113" i="9"/>
  <c r="I49" i="9"/>
  <c r="C565" i="1"/>
  <c r="F309" i="9"/>
  <c r="C562" i="1"/>
  <c r="C689" i="1"/>
  <c r="C502" i="1"/>
  <c r="G502" i="1" s="1"/>
  <c r="C517" i="1"/>
  <c r="G517" i="1" s="1"/>
  <c r="I149" i="9"/>
  <c r="C702" i="1"/>
  <c r="I21" i="9"/>
  <c r="C521" i="1"/>
  <c r="G521" i="1" s="1"/>
  <c r="C693" i="1"/>
  <c r="C623" i="1"/>
  <c r="I181" i="9"/>
  <c r="C537" i="1"/>
  <c r="G537" i="1" s="1"/>
  <c r="C532" i="1"/>
  <c r="G532" i="1" s="1"/>
  <c r="D181" i="9"/>
  <c r="C681" i="1"/>
  <c r="C624" i="1"/>
  <c r="C549" i="1"/>
  <c r="I277" i="9"/>
  <c r="C509" i="1"/>
  <c r="G509" i="1" s="1"/>
  <c r="C558" i="1"/>
  <c r="G245" i="9"/>
  <c r="C618" i="1"/>
  <c r="C552" i="1"/>
  <c r="C277" i="9"/>
  <c r="E85" i="9"/>
  <c r="C512" i="1"/>
  <c r="G512" i="1" s="1"/>
  <c r="C684" i="1"/>
  <c r="C701" i="1"/>
  <c r="G277" i="9"/>
  <c r="C635" i="1"/>
  <c r="C556" i="1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C497" i="1"/>
  <c r="G497" i="1" s="1"/>
  <c r="D341" i="1"/>
  <c r="C481" i="1" s="1"/>
  <c r="C50" i="8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C520" i="1"/>
  <c r="G520" i="1" s="1"/>
  <c r="C692" i="1"/>
  <c r="F117" i="9"/>
  <c r="C559" i="1"/>
  <c r="F32" i="6"/>
  <c r="C478" i="1"/>
  <c r="C305" i="9"/>
  <c r="C501" i="1"/>
  <c r="G501" i="1" s="1"/>
  <c r="H21" i="9"/>
  <c r="C673" i="1"/>
  <c r="H241" i="9"/>
  <c r="I145" i="9"/>
  <c r="G209" i="9"/>
  <c r="G337" i="9"/>
  <c r="D177" i="9"/>
  <c r="C476" i="1"/>
  <c r="F16" i="6"/>
  <c r="C672" i="1"/>
  <c r="C500" i="1"/>
  <c r="G500" i="1" s="1"/>
  <c r="G21" i="9"/>
  <c r="C563" i="1"/>
  <c r="G309" i="9"/>
  <c r="C626" i="1"/>
  <c r="C642" i="1"/>
  <c r="I245" i="9"/>
  <c r="C629" i="1"/>
  <c r="C551" i="1"/>
  <c r="G341" i="9"/>
  <c r="C570" i="1"/>
  <c r="C645" i="1"/>
  <c r="D17" i="9"/>
  <c r="F305" i="9"/>
  <c r="C622" i="1"/>
  <c r="C373" i="9"/>
  <c r="C573" i="1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C523" i="1"/>
  <c r="G523" i="1" s="1"/>
  <c r="C695" i="1"/>
  <c r="I117" i="9"/>
  <c r="D391" i="1" l="1"/>
  <c r="D393" i="1" s="1"/>
  <c r="G53" i="9"/>
  <c r="C619" i="1"/>
  <c r="E53" i="9"/>
  <c r="C621" i="1"/>
  <c r="C671" i="1"/>
  <c r="E213" i="9"/>
  <c r="C677" i="1"/>
  <c r="F85" i="9"/>
  <c r="E309" i="9"/>
  <c r="C499" i="1"/>
  <c r="G499" i="1" s="1"/>
  <c r="C679" i="1"/>
  <c r="C685" i="1"/>
  <c r="C567" i="1"/>
  <c r="C691" i="1"/>
  <c r="C631" i="1"/>
  <c r="C542" i="1"/>
  <c r="C616" i="1"/>
  <c r="C614" i="1"/>
  <c r="D615" i="1" s="1"/>
  <c r="D680" i="1" s="1"/>
  <c r="C550" i="1"/>
  <c r="G550" i="1" s="1"/>
  <c r="C543" i="1"/>
  <c r="D309" i="9"/>
  <c r="C669" i="1"/>
  <c r="C560" i="1"/>
  <c r="E117" i="9"/>
  <c r="C482" i="1"/>
  <c r="C545" i="1"/>
  <c r="G545" i="1" s="1"/>
  <c r="C245" i="9"/>
  <c r="C566" i="1"/>
  <c r="C641" i="1"/>
  <c r="C529" i="1"/>
  <c r="G529" i="1" s="1"/>
  <c r="C710" i="1"/>
  <c r="C554" i="1"/>
  <c r="C546" i="1"/>
  <c r="G546" i="1" s="1"/>
  <c r="C574" i="1"/>
  <c r="C630" i="1"/>
  <c r="C697" i="1"/>
  <c r="C646" i="1"/>
  <c r="C428" i="1"/>
  <c r="C571" i="1"/>
  <c r="C703" i="1"/>
  <c r="C711" i="1"/>
  <c r="C713" i="1"/>
  <c r="C541" i="1"/>
  <c r="C525" i="1"/>
  <c r="G525" i="1" s="1"/>
  <c r="CE71" i="1"/>
  <c r="I373" i="9" s="1"/>
  <c r="C564" i="1"/>
  <c r="C181" i="9"/>
  <c r="C539" i="1"/>
  <c r="G539" i="1" s="1"/>
  <c r="C620" i="1"/>
  <c r="C213" i="9"/>
  <c r="C510" i="1"/>
  <c r="G510" i="1" s="1"/>
  <c r="F341" i="9"/>
  <c r="C687" i="1"/>
  <c r="C547" i="1"/>
  <c r="C680" i="1"/>
  <c r="C670" i="1"/>
  <c r="F149" i="9"/>
  <c r="E149" i="9"/>
  <c r="C511" i="1"/>
  <c r="G511" i="1" s="1"/>
  <c r="C149" i="9"/>
  <c r="C568" i="1"/>
  <c r="C504" i="1"/>
  <c r="G504" i="1" s="1"/>
  <c r="C676" i="1"/>
  <c r="C688" i="1"/>
  <c r="H277" i="9"/>
  <c r="E341" i="9"/>
  <c r="C699" i="1"/>
  <c r="C632" i="1"/>
  <c r="C516" i="1"/>
  <c r="G516" i="1" s="1"/>
  <c r="E21" i="9"/>
  <c r="H181" i="9"/>
  <c r="C636" i="1"/>
  <c r="D85" i="9"/>
  <c r="C534" i="1"/>
  <c r="G534" i="1" s="1"/>
  <c r="C526" i="1"/>
  <c r="G526" i="1" s="1"/>
  <c r="C707" i="1"/>
  <c r="C53" i="9"/>
  <c r="C696" i="1"/>
  <c r="D277" i="9"/>
  <c r="C706" i="1"/>
  <c r="F277" i="9"/>
  <c r="H53" i="9"/>
  <c r="C433" i="1"/>
  <c r="E181" i="9"/>
  <c r="C617" i="1"/>
  <c r="H85" i="9"/>
  <c r="I369" i="9"/>
  <c r="C705" i="1"/>
  <c r="C514" i="1"/>
  <c r="G514" i="1" s="1"/>
  <c r="G85" i="9"/>
  <c r="H309" i="9"/>
  <c r="C548" i="1"/>
  <c r="C535" i="1"/>
  <c r="G535" i="1" s="1"/>
  <c r="C708" i="1"/>
  <c r="C634" i="1"/>
  <c r="F245" i="9"/>
  <c r="C528" i="1"/>
  <c r="G528" i="1" s="1"/>
  <c r="C557" i="1"/>
  <c r="C675" i="1"/>
  <c r="C85" i="9"/>
  <c r="G149" i="9"/>
  <c r="I341" i="9"/>
  <c r="C572" i="1"/>
  <c r="C640" i="1"/>
  <c r="I309" i="9"/>
  <c r="C569" i="1"/>
  <c r="F498" i="1"/>
  <c r="H498" i="1" s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H512" i="1" s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H513" i="1"/>
  <c r="C142" i="8"/>
  <c r="F534" i="1"/>
  <c r="H534" i="1"/>
  <c r="H502" i="1"/>
  <c r="F502" i="1"/>
  <c r="F512" i="1"/>
  <c r="F526" i="1"/>
  <c r="F518" i="1"/>
  <c r="H518" i="1" s="1"/>
  <c r="F506" i="1"/>
  <c r="H506" i="1"/>
  <c r="F509" i="1"/>
  <c r="H509" i="1" s="1"/>
  <c r="C716" i="1" l="1"/>
  <c r="C441" i="1"/>
  <c r="H508" i="1"/>
  <c r="C715" i="1"/>
  <c r="H526" i="1"/>
  <c r="D673" i="1"/>
  <c r="C648" i="1"/>
  <c r="M716" i="1" s="1"/>
  <c r="D699" i="1"/>
  <c r="D630" i="1"/>
  <c r="D640" i="1"/>
  <c r="D617" i="1"/>
  <c r="D622" i="1"/>
  <c r="D629" i="1"/>
  <c r="D701" i="1"/>
  <c r="D694" i="1"/>
  <c r="D623" i="1"/>
  <c r="D669" i="1"/>
  <c r="D635" i="1"/>
  <c r="D707" i="1"/>
  <c r="D695" i="1"/>
  <c r="D685" i="1"/>
  <c r="D679" i="1"/>
  <c r="D619" i="1"/>
  <c r="D644" i="1"/>
  <c r="D704" i="1"/>
  <c r="D628" i="1"/>
  <c r="D711" i="1"/>
  <c r="D706" i="1"/>
  <c r="D671" i="1"/>
  <c r="D638" i="1"/>
  <c r="D670" i="1"/>
  <c r="D621" i="1"/>
  <c r="D678" i="1"/>
  <c r="D684" i="1"/>
  <c r="D674" i="1"/>
  <c r="D709" i="1"/>
  <c r="D702" i="1"/>
  <c r="D698" i="1"/>
  <c r="D626" i="1"/>
  <c r="D618" i="1"/>
  <c r="D624" i="1"/>
  <c r="D683" i="1"/>
  <c r="D692" i="1"/>
  <c r="D700" i="1"/>
  <c r="D686" i="1"/>
  <c r="D675" i="1"/>
  <c r="D682" i="1"/>
  <c r="D620" i="1"/>
  <c r="D691" i="1"/>
  <c r="D677" i="1"/>
  <c r="D689" i="1"/>
  <c r="D696" i="1"/>
  <c r="D632" i="1"/>
  <c r="D697" i="1"/>
  <c r="D690" i="1"/>
  <c r="D637" i="1"/>
  <c r="D647" i="1"/>
  <c r="D633" i="1"/>
  <c r="D668" i="1"/>
  <c r="D681" i="1"/>
  <c r="D625" i="1"/>
  <c r="D645" i="1"/>
  <c r="D639" i="1"/>
  <c r="D705" i="1"/>
  <c r="D631" i="1"/>
  <c r="D676" i="1"/>
  <c r="D634" i="1"/>
  <c r="D703" i="1"/>
  <c r="D627" i="1"/>
  <c r="D712" i="1"/>
  <c r="D642" i="1"/>
  <c r="D716" i="1"/>
  <c r="D636" i="1"/>
  <c r="D713" i="1"/>
  <c r="D616" i="1"/>
  <c r="D708" i="1"/>
  <c r="D643" i="1"/>
  <c r="D710" i="1"/>
  <c r="D687" i="1"/>
  <c r="D641" i="1"/>
  <c r="D688" i="1"/>
  <c r="D646" i="1"/>
  <c r="D672" i="1"/>
  <c r="D693" i="1"/>
  <c r="H503" i="1"/>
  <c r="F500" i="1"/>
  <c r="F507" i="1"/>
  <c r="H538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 s="1"/>
  <c r="F511" i="1"/>
  <c r="H511" i="1" s="1"/>
  <c r="F517" i="1"/>
  <c r="H517" i="1"/>
  <c r="H514" i="1"/>
  <c r="F530" i="1"/>
  <c r="H530" i="1" s="1"/>
  <c r="F524" i="1"/>
  <c r="H524" i="1" s="1"/>
  <c r="H497" i="1"/>
  <c r="F497" i="1"/>
  <c r="H528" i="1"/>
  <c r="F528" i="1"/>
  <c r="H532" i="1"/>
  <c r="F532" i="1"/>
  <c r="F520" i="1"/>
  <c r="H520" i="1" s="1"/>
  <c r="F550" i="1"/>
  <c r="H550" i="1" s="1"/>
  <c r="F544" i="1"/>
  <c r="H544" i="1"/>
  <c r="F545" i="1"/>
  <c r="H545" i="1" s="1"/>
  <c r="H525" i="1"/>
  <c r="F525" i="1"/>
  <c r="H529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D715" i="1" l="1"/>
  <c r="E623" i="1"/>
  <c r="E612" i="1"/>
  <c r="F496" i="1"/>
  <c r="H496" i="1"/>
  <c r="E639" i="1" l="1"/>
  <c r="E716" i="1"/>
  <c r="E713" i="1"/>
  <c r="E683" i="1"/>
  <c r="E686" i="1"/>
  <c r="E669" i="1"/>
  <c r="E670" i="1"/>
  <c r="E636" i="1"/>
  <c r="E629" i="1"/>
  <c r="E679" i="1"/>
  <c r="E693" i="1"/>
  <c r="E707" i="1"/>
  <c r="E624" i="1"/>
  <c r="E701" i="1"/>
  <c r="E631" i="1"/>
  <c r="E706" i="1"/>
  <c r="E674" i="1"/>
  <c r="E634" i="1"/>
  <c r="E690" i="1"/>
  <c r="E691" i="1"/>
  <c r="E698" i="1"/>
  <c r="E626" i="1"/>
  <c r="E680" i="1"/>
  <c r="E711" i="1"/>
  <c r="E676" i="1"/>
  <c r="E671" i="1"/>
  <c r="E647" i="1"/>
  <c r="E681" i="1"/>
  <c r="E688" i="1"/>
  <c r="E692" i="1"/>
  <c r="E695" i="1"/>
  <c r="E633" i="1"/>
  <c r="E632" i="1"/>
  <c r="E684" i="1"/>
  <c r="E640" i="1"/>
  <c r="E643" i="1"/>
  <c r="E630" i="1"/>
  <c r="E697" i="1"/>
  <c r="E637" i="1"/>
  <c r="E699" i="1"/>
  <c r="E672" i="1"/>
  <c r="E644" i="1"/>
  <c r="E709" i="1"/>
  <c r="E627" i="1"/>
  <c r="E700" i="1"/>
  <c r="E625" i="1"/>
  <c r="E710" i="1"/>
  <c r="E687" i="1"/>
  <c r="E641" i="1"/>
  <c r="E696" i="1"/>
  <c r="E705" i="1"/>
  <c r="E668" i="1"/>
  <c r="E694" i="1"/>
  <c r="E628" i="1"/>
  <c r="E673" i="1"/>
  <c r="E646" i="1"/>
  <c r="E712" i="1"/>
  <c r="E642" i="1"/>
  <c r="E678" i="1"/>
  <c r="E704" i="1"/>
  <c r="E638" i="1"/>
  <c r="E685" i="1"/>
  <c r="E682" i="1"/>
  <c r="E708" i="1"/>
  <c r="E675" i="1"/>
  <c r="E702" i="1"/>
  <c r="E703" i="1"/>
  <c r="E677" i="1"/>
  <c r="E635" i="1"/>
  <c r="E645" i="1"/>
  <c r="E689" i="1"/>
  <c r="F624" i="1" l="1"/>
  <c r="E715" i="1"/>
  <c r="F689" i="1" l="1"/>
  <c r="F686" i="1"/>
  <c r="F636" i="1"/>
  <c r="F668" i="1"/>
  <c r="F690" i="1"/>
  <c r="F698" i="1"/>
  <c r="F631" i="1"/>
  <c r="F674" i="1"/>
  <c r="F697" i="1"/>
  <c r="F678" i="1"/>
  <c r="F691" i="1"/>
  <c r="F642" i="1"/>
  <c r="F699" i="1"/>
  <c r="F671" i="1"/>
  <c r="F707" i="1"/>
  <c r="F708" i="1"/>
  <c r="F672" i="1"/>
  <c r="F702" i="1"/>
  <c r="F633" i="1"/>
  <c r="F682" i="1"/>
  <c r="F645" i="1"/>
  <c r="F630" i="1"/>
  <c r="F673" i="1"/>
  <c r="F677" i="1"/>
  <c r="F640" i="1"/>
  <c r="F688" i="1"/>
  <c r="F709" i="1"/>
  <c r="F704" i="1"/>
  <c r="F669" i="1"/>
  <c r="F638" i="1"/>
  <c r="F643" i="1"/>
  <c r="F632" i="1"/>
  <c r="F700" i="1"/>
  <c r="F680" i="1"/>
  <c r="F701" i="1"/>
  <c r="F644" i="1"/>
  <c r="F629" i="1"/>
  <c r="F681" i="1"/>
  <c r="F641" i="1"/>
  <c r="F625" i="1"/>
  <c r="F635" i="1"/>
  <c r="F670" i="1"/>
  <c r="F705" i="1"/>
  <c r="F634" i="1"/>
  <c r="F694" i="1"/>
  <c r="F696" i="1"/>
  <c r="F626" i="1"/>
  <c r="F693" i="1"/>
  <c r="F637" i="1"/>
  <c r="F692" i="1"/>
  <c r="F676" i="1"/>
  <c r="F685" i="1"/>
  <c r="F639" i="1"/>
  <c r="F647" i="1"/>
  <c r="F695" i="1"/>
  <c r="F646" i="1"/>
  <c r="F711" i="1"/>
  <c r="F627" i="1"/>
  <c r="F706" i="1"/>
  <c r="F628" i="1"/>
  <c r="F716" i="1"/>
  <c r="F710" i="1"/>
  <c r="F713" i="1"/>
  <c r="F684" i="1"/>
  <c r="F712" i="1"/>
  <c r="F683" i="1"/>
  <c r="F703" i="1"/>
  <c r="F687" i="1"/>
  <c r="F675" i="1"/>
  <c r="F679" i="1"/>
  <c r="F715" i="1" l="1"/>
  <c r="G625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711" i="1"/>
  <c r="G695" i="1"/>
  <c r="G646" i="1"/>
  <c r="G634" i="1"/>
  <c r="G638" i="1"/>
  <c r="G669" i="1"/>
  <c r="G640" i="1"/>
  <c r="G689" i="1"/>
  <c r="G702" i="1"/>
  <c r="G626" i="1"/>
  <c r="G688" i="1"/>
  <c r="G690" i="1"/>
  <c r="G710" i="1"/>
  <c r="G636" i="1"/>
  <c r="G706" i="1"/>
  <c r="G644" i="1"/>
  <c r="G645" i="1"/>
  <c r="G715" i="1" l="1"/>
  <c r="H628" i="1"/>
  <c r="H681" i="1" l="1"/>
  <c r="H679" i="1"/>
  <c r="H708" i="1"/>
  <c r="H686" i="1"/>
  <c r="H693" i="1"/>
  <c r="H632" i="1"/>
  <c r="H692" i="1"/>
  <c r="H676" i="1"/>
  <c r="H716" i="1"/>
  <c r="H683" i="1"/>
  <c r="H712" i="1"/>
  <c r="H633" i="1"/>
  <c r="H636" i="1"/>
  <c r="H672" i="1"/>
  <c r="H697" i="1"/>
  <c r="H694" i="1"/>
  <c r="H670" i="1"/>
  <c r="H675" i="1"/>
  <c r="H674" i="1"/>
  <c r="H704" i="1"/>
  <c r="H644" i="1"/>
  <c r="H635" i="1"/>
  <c r="H709" i="1"/>
  <c r="H673" i="1"/>
  <c r="H645" i="1"/>
  <c r="H643" i="1"/>
  <c r="H678" i="1"/>
  <c r="H698" i="1"/>
  <c r="H713" i="1"/>
  <c r="H642" i="1"/>
  <c r="H696" i="1"/>
  <c r="H684" i="1"/>
  <c r="H705" i="1"/>
  <c r="H690" i="1"/>
  <c r="H707" i="1"/>
  <c r="H711" i="1"/>
  <c r="H695" i="1"/>
  <c r="H668" i="1"/>
  <c r="H640" i="1"/>
  <c r="H669" i="1"/>
  <c r="H700" i="1"/>
  <c r="H646" i="1"/>
  <c r="H677" i="1"/>
  <c r="H630" i="1"/>
  <c r="H699" i="1"/>
  <c r="H702" i="1"/>
  <c r="H631" i="1"/>
  <c r="H691" i="1"/>
  <c r="H639" i="1"/>
  <c r="H688" i="1"/>
  <c r="H680" i="1"/>
  <c r="H687" i="1"/>
  <c r="H629" i="1"/>
  <c r="H647" i="1"/>
  <c r="H685" i="1"/>
  <c r="H682" i="1"/>
  <c r="H634" i="1"/>
  <c r="H638" i="1"/>
  <c r="H689" i="1"/>
  <c r="H703" i="1"/>
  <c r="H706" i="1"/>
  <c r="H701" i="1"/>
  <c r="H637" i="1"/>
  <c r="H710" i="1"/>
  <c r="H641" i="1"/>
  <c r="H671" i="1"/>
  <c r="H715" i="1" l="1"/>
  <c r="I629" i="1"/>
  <c r="I646" i="1" l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36" i="1"/>
  <c r="I677" i="1"/>
  <c r="I697" i="1"/>
  <c r="I693" i="1"/>
  <c r="I634" i="1"/>
  <c r="I702" i="1"/>
  <c r="I669" i="1"/>
  <c r="I674" i="1"/>
  <c r="I641" i="1"/>
  <c r="I712" i="1"/>
  <c r="I708" i="1"/>
  <c r="I705" i="1"/>
  <c r="I694" i="1"/>
  <c r="I716" i="1"/>
  <c r="I683" i="1"/>
  <c r="I704" i="1"/>
  <c r="I709" i="1"/>
  <c r="I630" i="1"/>
  <c r="I689" i="1"/>
  <c r="I673" i="1"/>
  <c r="I715" i="1" l="1"/>
  <c r="J630" i="1"/>
  <c r="J638" i="1" l="1"/>
  <c r="J632" i="1"/>
  <c r="J645" i="1"/>
  <c r="J688" i="1"/>
  <c r="J646" i="1"/>
  <c r="J673" i="1"/>
  <c r="J682" i="1"/>
  <c r="J692" i="1"/>
  <c r="J675" i="1"/>
  <c r="J668" i="1"/>
  <c r="J637" i="1"/>
  <c r="J703" i="1"/>
  <c r="J674" i="1"/>
  <c r="J633" i="1"/>
  <c r="J644" i="1"/>
  <c r="J705" i="1"/>
  <c r="J670" i="1"/>
  <c r="J634" i="1"/>
  <c r="J683" i="1"/>
  <c r="J684" i="1"/>
  <c r="J676" i="1"/>
  <c r="J686" i="1"/>
  <c r="J636" i="1"/>
  <c r="J680" i="1"/>
  <c r="J709" i="1"/>
  <c r="J691" i="1"/>
  <c r="J672" i="1"/>
  <c r="J677" i="1"/>
  <c r="J708" i="1"/>
  <c r="J697" i="1"/>
  <c r="J700" i="1"/>
  <c r="J713" i="1"/>
  <c r="J693" i="1"/>
  <c r="J706" i="1"/>
  <c r="J694" i="1"/>
  <c r="J689" i="1"/>
  <c r="J711" i="1"/>
  <c r="J643" i="1"/>
  <c r="J710" i="1"/>
  <c r="J678" i="1"/>
  <c r="J635" i="1"/>
  <c r="J699" i="1"/>
  <c r="J639" i="1"/>
  <c r="J640" i="1"/>
  <c r="J631" i="1"/>
  <c r="J707" i="1"/>
  <c r="J641" i="1"/>
  <c r="J695" i="1"/>
  <c r="J716" i="1"/>
  <c r="J681" i="1"/>
  <c r="J704" i="1"/>
  <c r="J696" i="1"/>
  <c r="J679" i="1"/>
  <c r="J642" i="1"/>
  <c r="J698" i="1"/>
  <c r="J685" i="1"/>
  <c r="J647" i="1"/>
  <c r="J712" i="1"/>
  <c r="J702" i="1"/>
  <c r="J687" i="1"/>
  <c r="J701" i="1"/>
  <c r="J669" i="1"/>
  <c r="J690" i="1"/>
  <c r="J671" i="1"/>
  <c r="J715" i="1" l="1"/>
  <c r="K644" i="1"/>
  <c r="K679" i="1" s="1"/>
  <c r="L647" i="1"/>
  <c r="L684" i="1" s="1"/>
  <c r="L693" i="1" l="1"/>
  <c r="L677" i="1"/>
  <c r="L675" i="1"/>
  <c r="L671" i="1"/>
  <c r="L679" i="1"/>
  <c r="M679" i="1" s="1"/>
  <c r="G55" i="9" s="1"/>
  <c r="L707" i="1"/>
  <c r="L706" i="1"/>
  <c r="L670" i="1"/>
  <c r="L694" i="1"/>
  <c r="L676" i="1"/>
  <c r="L711" i="1"/>
  <c r="K695" i="1"/>
  <c r="L697" i="1"/>
  <c r="L672" i="1"/>
  <c r="L709" i="1"/>
  <c r="L702" i="1"/>
  <c r="L705" i="1"/>
  <c r="L669" i="1"/>
  <c r="L678" i="1"/>
  <c r="L699" i="1"/>
  <c r="L690" i="1"/>
  <c r="L698" i="1"/>
  <c r="K709" i="1"/>
  <c r="K697" i="1"/>
  <c r="L701" i="1"/>
  <c r="L681" i="1"/>
  <c r="L687" i="1"/>
  <c r="L689" i="1"/>
  <c r="L688" i="1"/>
  <c r="L716" i="1"/>
  <c r="L683" i="1"/>
  <c r="L691" i="1"/>
  <c r="L710" i="1"/>
  <c r="L682" i="1"/>
  <c r="L668" i="1"/>
  <c r="L712" i="1"/>
  <c r="K701" i="1"/>
  <c r="K682" i="1"/>
  <c r="L704" i="1"/>
  <c r="L696" i="1"/>
  <c r="L708" i="1"/>
  <c r="L686" i="1"/>
  <c r="L685" i="1"/>
  <c r="L692" i="1"/>
  <c r="L674" i="1"/>
  <c r="L673" i="1"/>
  <c r="L695" i="1"/>
  <c r="L713" i="1"/>
  <c r="L680" i="1"/>
  <c r="L703" i="1"/>
  <c r="L700" i="1"/>
  <c r="K687" i="1"/>
  <c r="K705" i="1"/>
  <c r="K685" i="1"/>
  <c r="K706" i="1"/>
  <c r="M706" i="1" s="1"/>
  <c r="K698" i="1"/>
  <c r="K678" i="1"/>
  <c r="K707" i="1"/>
  <c r="K680" i="1"/>
  <c r="K692" i="1"/>
  <c r="K712" i="1"/>
  <c r="K686" i="1"/>
  <c r="K708" i="1"/>
  <c r="K703" i="1"/>
  <c r="K670" i="1"/>
  <c r="K704" i="1"/>
  <c r="K672" i="1"/>
  <c r="K677" i="1"/>
  <c r="K671" i="1"/>
  <c r="K696" i="1"/>
  <c r="K683" i="1"/>
  <c r="K710" i="1"/>
  <c r="K668" i="1"/>
  <c r="K669" i="1"/>
  <c r="K684" i="1"/>
  <c r="M684" i="1" s="1"/>
  <c r="K688" i="1"/>
  <c r="K699" i="1"/>
  <c r="K711" i="1"/>
  <c r="K716" i="1"/>
  <c r="K675" i="1"/>
  <c r="K694" i="1"/>
  <c r="M694" i="1" s="1"/>
  <c r="K700" i="1"/>
  <c r="K689" i="1"/>
  <c r="K673" i="1"/>
  <c r="K676" i="1"/>
  <c r="K674" i="1"/>
  <c r="K690" i="1"/>
  <c r="K693" i="1"/>
  <c r="K691" i="1"/>
  <c r="K702" i="1"/>
  <c r="K681" i="1"/>
  <c r="K713" i="1"/>
  <c r="M707" i="1" l="1"/>
  <c r="G183" i="9" s="1"/>
  <c r="M693" i="1"/>
  <c r="M668" i="1"/>
  <c r="C23" i="9" s="1"/>
  <c r="M676" i="1"/>
  <c r="M677" i="1"/>
  <c r="M675" i="1"/>
  <c r="C55" i="9" s="1"/>
  <c r="M711" i="1"/>
  <c r="M671" i="1"/>
  <c r="F23" i="9" s="1"/>
  <c r="M670" i="1"/>
  <c r="E23" i="9" s="1"/>
  <c r="M700" i="1"/>
  <c r="M695" i="1"/>
  <c r="M685" i="1"/>
  <c r="M704" i="1"/>
  <c r="D183" i="9" s="1"/>
  <c r="L715" i="1"/>
  <c r="M687" i="1"/>
  <c r="M678" i="1"/>
  <c r="E87" i="9"/>
  <c r="F183" i="9"/>
  <c r="H119" i="9"/>
  <c r="M709" i="1"/>
  <c r="M713" i="1"/>
  <c r="M692" i="1"/>
  <c r="M696" i="1"/>
  <c r="M712" i="1"/>
  <c r="M691" i="1"/>
  <c r="M689" i="1"/>
  <c r="M699" i="1"/>
  <c r="M702" i="1"/>
  <c r="M703" i="1"/>
  <c r="M673" i="1"/>
  <c r="M686" i="1"/>
  <c r="M682" i="1"/>
  <c r="M681" i="1"/>
  <c r="M698" i="1"/>
  <c r="M669" i="1"/>
  <c r="M672" i="1"/>
  <c r="M683" i="1"/>
  <c r="K715" i="1"/>
  <c r="M680" i="1"/>
  <c r="M674" i="1"/>
  <c r="M708" i="1"/>
  <c r="M710" i="1"/>
  <c r="M688" i="1"/>
  <c r="M701" i="1"/>
  <c r="M690" i="1"/>
  <c r="M705" i="1"/>
  <c r="M697" i="1"/>
  <c r="G119" i="9" l="1"/>
  <c r="D215" i="9"/>
  <c r="D55" i="9"/>
  <c r="I119" i="9"/>
  <c r="E55" i="9"/>
  <c r="H87" i="9"/>
  <c r="G151" i="9"/>
  <c r="F55" i="9"/>
  <c r="F87" i="9"/>
  <c r="C215" i="9"/>
  <c r="H23" i="9"/>
  <c r="M715" i="1"/>
  <c r="D151" i="9"/>
  <c r="I87" i="9"/>
  <c r="H55" i="9"/>
  <c r="D23" i="9"/>
  <c r="G87" i="9"/>
  <c r="C119" i="9"/>
  <c r="F119" i="9"/>
  <c r="E183" i="9"/>
  <c r="E151" i="9"/>
  <c r="F215" i="9"/>
  <c r="H183" i="9"/>
  <c r="D87" i="9"/>
  <c r="I55" i="9"/>
  <c r="C183" i="9"/>
  <c r="I151" i="9"/>
  <c r="E215" i="9"/>
  <c r="E119" i="9"/>
  <c r="D119" i="9"/>
  <c r="H151" i="9"/>
  <c r="I23" i="9"/>
  <c r="G23" i="9"/>
  <c r="C87" i="9"/>
  <c r="F151" i="9"/>
  <c r="C151" i="9"/>
  <c r="I183" i="9"/>
</calcChain>
</file>

<file path=xl/comments1.xml><?xml version="1.0" encoding="utf-8"?>
<comments xmlns="http://schemas.openxmlformats.org/spreadsheetml/2006/main">
  <authors>
    <author>Sevillano, Michelle (Tacoma)</author>
    <author>Catholic Health Initiatives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Can't have duplicate accts need to combine the amounts into 1 line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Move to 7490 as there is not an account on the purple sheet for 8610 for revenue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move to 7490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>Sevillano, Michelle (Tacoma):
This was reconcilled on Nhon's worksheet however on a separate tab. Need to view only not added to this worksheet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L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N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this is moved to 6170 per kara's email dated 10/17/17. In line with revenue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added new fy19 for zone 937</t>
        </r>
      </text>
    </comment>
    <comment ref="I11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moved to Dietary NOT Caferteria per Caroline's review</t>
        </r>
      </text>
    </comment>
    <comment ref="I131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New family practice residency</t>
        </r>
      </text>
    </comment>
    <comment ref="I135" authorId="1" shapeId="0">
      <text>
        <r>
          <rPr>
            <b/>
            <sz val="9"/>
            <color indexed="81"/>
            <rFont val="Tahoma"/>
            <family val="2"/>
          </rPr>
          <t>remove per Sandy</t>
        </r>
      </text>
    </comment>
    <comment ref="G164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this is moved to 6170 per kara's email dated 10/17/17. In line with revenue</t>
        </r>
      </text>
    </comment>
    <comment ref="I215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New family practice residency</t>
        </r>
      </text>
    </comment>
  </commentList>
</comments>
</file>

<file path=xl/sharedStrings.xml><?xml version="1.0" encoding="utf-8"?>
<sst xmlns="http://schemas.openxmlformats.org/spreadsheetml/2006/main" count="5168" uniqueCount="1447">
  <si>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</si>
  <si>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</si>
  <si>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</si>
  <si>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</si>
  <si>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</si>
  <si>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</si>
  <si>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</si>
  <si>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</si>
  <si>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</si>
  <si>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</si>
  <si>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</si>
  <si>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</si>
  <si>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</si>
  <si>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</si>
  <si>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</si>
  <si>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</si>
  <si>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</si>
  <si>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</si>
  <si>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</si>
  <si>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</si>
  <si>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</si>
  <si>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</si>
  <si>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</si>
  <si>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</si>
  <si>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</si>
  <si>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</si>
  <si>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</si>
  <si>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</si>
  <si>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</si>
  <si>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</si>
  <si>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</si>
  <si>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</si>
  <si>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</si>
  <si>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</si>
  <si>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</si>
  <si>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</si>
  <si>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</si>
  <si>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</si>
  <si>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</si>
  <si>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</si>
  <si>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</si>
  <si>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</si>
  <si>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</si>
  <si>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</si>
  <si>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</si>
  <si>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</si>
  <si>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</si>
  <si>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</si>
  <si>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</si>
  <si>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</si>
  <si>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</si>
  <si>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</si>
  <si>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</si>
  <si>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</si>
  <si>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</si>
  <si>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</si>
  <si>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</si>
  <si>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</si>
  <si>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</si>
  <si>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</si>
  <si>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</si>
  <si>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</si>
  <si>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</si>
  <si>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</si>
  <si>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</si>
  <si>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</si>
  <si>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</si>
  <si>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</si>
  <si>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</si>
  <si>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</si>
  <si>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</si>
  <si>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</si>
  <si>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</si>
  <si>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</si>
  <si>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</si>
  <si>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</si>
  <si>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</si>
  <si>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</si>
  <si>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</si>
  <si>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</si>
  <si>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</si>
  <si>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</si>
  <si>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</si>
  <si>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</si>
  <si>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</si>
  <si>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</si>
  <si>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</si>
  <si>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</si>
  <si>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</si>
  <si>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</si>
  <si>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</si>
  <si>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</si>
  <si>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</si>
  <si>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</si>
  <si>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</si>
  <si>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</si>
  <si>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</si>
  <si>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</si>
  <si>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</si>
  <si>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</si>
  <si>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</si>
  <si>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</si>
  <si>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</si>
  <si>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</si>
  <si>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</si>
  <si>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</si>
  <si>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</si>
  <si>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</si>
  <si>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</si>
  <si>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</si>
  <si>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</si>
  <si>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</si>
  <si>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</si>
  <si>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</si>
  <si>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</si>
  <si>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</si>
  <si>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</si>
  <si>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</si>
  <si>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</si>
  <si>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</si>
  <si>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</si>
  <si>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</si>
  <si>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</si>
  <si>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</si>
  <si>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</si>
  <si>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</si>
  <si>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</si>
  <si>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</si>
  <si>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</si>
  <si>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</si>
  <si>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</si>
  <si>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</si>
  <si>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</si>
  <si>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</si>
  <si>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</si>
  <si>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</si>
  <si>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</si>
  <si>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</si>
  <si>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</si>
  <si>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</si>
  <si>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</si>
  <si>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</si>
  <si>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</si>
  <si>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</si>
  <si>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</si>
  <si>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</si>
  <si>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</si>
  <si>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</si>
  <si>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</si>
  <si>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</si>
  <si>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</si>
  <si>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</si>
  <si>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</si>
  <si>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</si>
  <si>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</si>
  <si>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</si>
  <si>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</si>
  <si>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</si>
  <si>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</si>
  <si>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</si>
  <si>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</si>
  <si>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</si>
  <si>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</si>
  <si>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</si>
  <si>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</si>
  <si>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</si>
  <si>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</si>
  <si>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</si>
  <si>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</si>
  <si>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</si>
  <si>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</si>
  <si>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</si>
  <si>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</si>
  <si>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</si>
  <si>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</si>
  <si>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</si>
  <si>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</si>
  <si>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</si>
  <si>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</si>
  <si>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</si>
  <si>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</si>
  <si>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</si>
  <si>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</si>
  <si>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</si>
  <si>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</si>
  <si>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</si>
  <si>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</si>
  <si>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</si>
  <si>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</si>
  <si>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</si>
  <si>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</si>
  <si>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</si>
  <si>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</si>
  <si>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</si>
  <si>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</si>
  <si>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</si>
  <si>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</si>
  <si>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</si>
  <si>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</si>
  <si>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</si>
  <si>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</si>
  <si>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</si>
  <si>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</si>
  <si>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</si>
  <si>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</si>
  <si>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</si>
  <si>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</si>
  <si>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</si>
  <si>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</si>
  <si>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</si>
  <si>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</si>
  <si>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</si>
  <si>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</si>
  <si>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</si>
  <si>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</si>
  <si>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</si>
  <si>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</si>
  <si>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</si>
  <si>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</si>
  <si>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</si>
  <si>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</si>
  <si>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</si>
  <si>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</si>
  <si>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</si>
  <si>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</si>
  <si>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</si>
  <si>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</si>
  <si>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</si>
  <si>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</si>
  <si>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</si>
  <si>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</si>
  <si>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</si>
  <si>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</si>
  <si>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</si>
  <si>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</si>
  <si>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</si>
  <si>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</si>
  <si>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</si>
  <si>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</si>
  <si>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</si>
  <si>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</si>
  <si>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</si>
  <si>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</si>
  <si>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</si>
  <si>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</si>
  <si>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</si>
  <si>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</si>
  <si>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</si>
  <si>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</si>
  <si>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</si>
  <si>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</si>
  <si>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</si>
  <si>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</si>
  <si>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</si>
  <si>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</si>
  <si>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</si>
  <si>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</si>
  <si>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</si>
  <si>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</si>
  <si>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</si>
  <si>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</si>
  <si>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</si>
  <si>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</si>
  <si>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</si>
  <si>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</si>
  <si>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</si>
  <si>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</si>
  <si>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</si>
  <si>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</si>
  <si>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</si>
  <si>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</si>
  <si>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</si>
  <si>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</si>
  <si>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</si>
  <si>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</si>
  <si>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</si>
  <si>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</si>
  <si>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</si>
  <si>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</si>
  <si>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</si>
  <si>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</si>
  <si>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</si>
  <si>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</si>
  <si>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</si>
  <si>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</si>
  <si>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</si>
  <si>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</si>
  <si>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</si>
  <si>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</si>
  <si>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</si>
  <si>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</si>
  <si>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</si>
  <si>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</si>
  <si>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</si>
  <si>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</si>
  <si>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</si>
  <si>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</si>
  <si>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</si>
  <si>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</si>
  <si>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</si>
  <si>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</si>
  <si>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</si>
  <si>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</si>
  <si>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</si>
  <si>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</si>
  <si>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</si>
  <si>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</si>
  <si>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</si>
  <si>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</si>
  <si>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</si>
  <si>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</si>
  <si>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</si>
  <si>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</si>
  <si>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</si>
  <si>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</si>
  <si>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</si>
  <si>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</si>
  <si>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</si>
  <si>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</si>
  <si>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</si>
  <si>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</si>
  <si>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</si>
  <si>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</si>
  <si>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</si>
  <si>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</si>
  <si>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</si>
  <si>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</si>
  <si>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</si>
  <si>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</si>
  <si>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</si>
  <si>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</si>
  <si>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</si>
  <si>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</si>
  <si>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</si>
  <si>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</si>
  <si>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</si>
  <si>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</si>
  <si>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</si>
  <si>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</si>
  <si>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</si>
  <si>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</si>
  <si>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</si>
  <si>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</si>
  <si>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</si>
  <si>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</si>
  <si>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</si>
  <si>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</si>
  <si>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</si>
  <si>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</si>
  <si>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</si>
  <si>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</si>
  <si>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</si>
  <si>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</si>
  <si>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</si>
  <si>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</si>
  <si>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</si>
  <si>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</si>
  <si>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</si>
  <si>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</si>
  <si>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</si>
  <si>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</si>
  <si>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</si>
  <si>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</si>
  <si>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</si>
  <si>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</si>
  <si>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</si>
  <si>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</si>
  <si>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</si>
  <si>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</si>
  <si>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</si>
  <si>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</si>
  <si>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</si>
  <si>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</si>
  <si>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</si>
  <si>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</si>
  <si>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</si>
  <si>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</si>
  <si>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</si>
  <si>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</si>
  <si>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</si>
  <si>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</si>
  <si>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</si>
  <si>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</si>
  <si>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</si>
  <si>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</si>
  <si>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</si>
  <si>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</si>
  <si>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</si>
  <si>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</si>
  <si>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</si>
  <si>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</si>
  <si>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</si>
  <si>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</si>
  <si>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</si>
  <si>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</si>
  <si>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</si>
  <si>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</si>
  <si>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</si>
  <si>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</si>
  <si>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</si>
  <si>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</si>
  <si>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</si>
  <si>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</si>
  <si>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</si>
  <si>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</si>
  <si>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</si>
  <si>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</si>
  <si>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</si>
  <si>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</si>
  <si>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</si>
  <si>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</si>
  <si>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</si>
  <si>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</si>
  <si>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</si>
  <si>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</si>
  <si>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</si>
  <si>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</si>
  <si>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</si>
  <si>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</si>
  <si>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</si>
  <si>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</si>
  <si>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</si>
  <si>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</si>
  <si>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</si>
  <si>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</si>
  <si>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</si>
  <si>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</si>
  <si>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</si>
  <si>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</si>
  <si>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</si>
  <si>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</si>
  <si>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</si>
  <si>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</si>
  <si>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</si>
  <si>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</si>
  <si>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</si>
  <si>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</si>
  <si>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</si>
  <si>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</si>
  <si>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</si>
  <si>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</si>
  <si>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</si>
  <si>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</si>
  <si>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</si>
  <si>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</si>
  <si>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</si>
  <si>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</si>
  <si>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</si>
  <si>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</si>
  <si>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</si>
  <si>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</si>
  <si>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</si>
  <si>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</si>
  <si>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</si>
  <si>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</si>
  <si>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</si>
  <si>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</si>
  <si>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</si>
  <si>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</si>
  <si>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</si>
  <si>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</si>
  <si>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</si>
  <si>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</si>
  <si>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</si>
  <si>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</si>
  <si>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</si>
  <si>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</si>
  <si>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</si>
  <si>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</si>
  <si>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</si>
  <si>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</si>
  <si>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</si>
  <si>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</si>
  <si>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</si>
  <si>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</si>
  <si>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</si>
  <si>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</si>
  <si>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</si>
  <si>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</si>
  <si>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</si>
  <si>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</si>
  <si>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</si>
  <si>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</si>
  <si>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</si>
  <si>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</si>
  <si>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</si>
  <si>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</si>
  <si>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</si>
  <si>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</si>
  <si>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</si>
  <si>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</si>
  <si>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</si>
  <si>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</si>
  <si>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</si>
  <si>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</si>
  <si>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</si>
  <si>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</si>
  <si>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</si>
  <si>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</si>
  <si>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</si>
  <si>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</si>
  <si>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</si>
  <si>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</si>
  <si>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</si>
  <si>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</si>
  <si>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</si>
  <si>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</si>
  <si>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</si>
  <si>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</si>
  <si>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</si>
  <si>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</si>
  <si>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</si>
  <si>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</si>
  <si>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</si>
  <si>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</si>
  <si>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</si>
  <si>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</si>
  <si>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</si>
  <si>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</si>
  <si>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</si>
  <si>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</si>
  <si>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</si>
  <si>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</si>
  <si>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</si>
  <si>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</si>
  <si>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</si>
  <si>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</si>
  <si>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</si>
  <si>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</si>
  <si>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</si>
  <si>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</si>
  <si>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</si>
  <si>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</si>
  <si>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</si>
  <si>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</si>
  <si>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</si>
  <si>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</si>
  <si>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</si>
  <si>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</si>
  <si>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</si>
  <si>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</si>
  <si>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</si>
  <si>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</si>
  <si>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</si>
  <si>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</si>
  <si>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</si>
  <si>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</si>
  <si>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</si>
  <si>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</si>
  <si>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</si>
  <si>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</si>
  <si>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</si>
  <si>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</si>
  <si>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</si>
  <si>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</si>
  <si>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</si>
  <si>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</si>
  <si>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</si>
  <si>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</si>
  <si>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</si>
  <si>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</si>
  <si>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</si>
  <si>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</si>
  <si>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</si>
  <si>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</si>
  <si>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</si>
  <si>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</si>
  <si>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</si>
  <si>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</si>
  <si>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</si>
  <si>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</si>
  <si>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</si>
  <si>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</si>
  <si>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</si>
  <si>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</si>
  <si>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</si>
  <si>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</si>
  <si>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</si>
  <si>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</si>
  <si>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</si>
  <si>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</si>
  <si>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</si>
  <si>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</si>
  <si>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</si>
  <si>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</si>
  <si>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</si>
  <si>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</si>
  <si>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</si>
  <si>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</si>
  <si>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</si>
  <si>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</si>
  <si>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</si>
  <si>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</si>
  <si>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</si>
  <si>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</si>
  <si>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</si>
  <si>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</si>
  <si>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</si>
  <si>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</si>
  <si>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</si>
  <si>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</si>
  <si>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</si>
  <si>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</si>
  <si>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</si>
  <si>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</si>
  <si>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</si>
  <si>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</si>
  <si>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</si>
  <si>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</si>
  <si>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</si>
  <si>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</si>
  <si>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</si>
  <si>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</si>
  <si>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</si>
  <si>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</si>
  <si>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</si>
  <si>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</si>
  <si>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</si>
  <si>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</si>
  <si>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</si>
  <si>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</si>
  <si>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</si>
  <si>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</si>
  <si>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</si>
  <si>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</si>
  <si>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</si>
  <si>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</si>
  <si>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</si>
  <si>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</si>
  <si>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</si>
  <si>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</si>
  <si>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</si>
  <si>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</si>
  <si>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</si>
  <si>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</si>
  <si>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</si>
  <si>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</si>
  <si>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</si>
  <si>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</si>
  <si>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</si>
  <si>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</si>
  <si>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</si>
  <si>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</si>
  <si>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</si>
  <si>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</si>
  <si>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</si>
  <si>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</si>
  <si>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</si>
  <si>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</si>
  <si>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</si>
  <si>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</si>
  <si>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</si>
  <si>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</si>
  <si>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</si>
  <si>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</si>
  <si>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</si>
  <si>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</si>
  <si>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</si>
  <si>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</si>
  <si>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</si>
  <si>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</si>
  <si>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</si>
  <si>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</si>
  <si>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</si>
  <si>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</si>
  <si>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</si>
  <si>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</si>
  <si>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</si>
  <si>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</si>
  <si>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</si>
  <si>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</si>
  <si>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</si>
  <si>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</si>
  <si>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</si>
  <si>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</si>
  <si>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</si>
  <si>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</si>
  <si>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</si>
  <si>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</si>
  <si>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</si>
  <si>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</si>
  <si>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</si>
  <si>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</si>
  <si>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</si>
  <si>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</si>
  <si>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</si>
  <si>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</si>
  <si>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</si>
  <si>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</si>
  <si>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</si>
  <si>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</si>
  <si>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</si>
  <si>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</si>
  <si>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</si>
  <si>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</si>
  <si>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</si>
  <si>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</si>
  <si>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</si>
  <si>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</si>
  <si>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</si>
  <si>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</si>
  <si>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</si>
  <si>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</si>
  <si>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</si>
  <si>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</si>
  <si>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</si>
  <si>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</si>
  <si>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</si>
  <si>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</si>
  <si>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</si>
  <si>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</si>
  <si>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</si>
  <si>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</si>
  <si>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</si>
  <si>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</si>
  <si>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</si>
  <si>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</si>
  <si>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</si>
  <si>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</si>
  <si>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</si>
  <si>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</si>
  <si>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</si>
  <si>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</si>
  <si>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</si>
  <si>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</si>
  <si>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</si>
  <si>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</si>
  <si>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</si>
  <si>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</si>
  <si>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</si>
  <si>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</si>
  <si>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</si>
  <si>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</si>
  <si>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</si>
  <si>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</si>
  <si>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</si>
  <si>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</si>
  <si>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</si>
  <si>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</si>
  <si>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</si>
  <si>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</si>
  <si>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</si>
  <si>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</si>
  <si>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</si>
  <si>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</si>
  <si>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</si>
  <si>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</si>
  <si>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</si>
  <si>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</si>
  <si>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</si>
  <si>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</si>
  <si>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</si>
  <si>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</si>
  <si>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</si>
  <si>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</si>
  <si>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</si>
  <si>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</si>
  <si>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</si>
  <si>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</si>
  <si>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</si>
  <si>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</si>
  <si>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</si>
  <si>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</si>
  <si>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</si>
  <si>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</si>
  <si>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</si>
  <si>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</si>
  <si>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</si>
  <si>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</si>
  <si>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</si>
  <si>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</si>
  <si>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</si>
  <si>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</si>
  <si>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</si>
  <si>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</si>
  <si>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</si>
  <si>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</si>
  <si>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</si>
  <si>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</si>
  <si>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</si>
  <si>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</si>
  <si>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</si>
  <si>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</si>
  <si>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</si>
  <si>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</si>
  <si>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</si>
  <si>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</si>
  <si>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</si>
  <si>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</si>
  <si>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</si>
  <si>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</si>
  <si>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</si>
  <si>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</si>
  <si>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</si>
  <si>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</si>
  <si>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</si>
  <si>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</si>
  <si>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</si>
  <si>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</si>
  <si>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</si>
  <si>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</si>
  <si>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</si>
  <si>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</si>
  <si>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</si>
  <si>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</si>
  <si>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</si>
  <si>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</si>
  <si>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</si>
  <si>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</si>
  <si>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</si>
  <si>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</si>
  <si>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</si>
  <si>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</si>
  <si>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</si>
  <si>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</si>
  <si>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</si>
  <si>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</si>
  <si>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</si>
  <si>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</si>
  <si>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</si>
  <si>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</si>
  <si>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</si>
  <si>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</si>
  <si>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</si>
  <si>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</si>
  <si>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</si>
  <si>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</si>
  <si>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</si>
  <si>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</si>
  <si>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</si>
  <si>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</si>
  <si>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</si>
  <si>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</si>
  <si>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</si>
  <si>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</si>
  <si>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</si>
  <si>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</si>
  <si>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</si>
  <si>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</si>
  <si>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</si>
  <si>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</si>
  <si>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</si>
  <si>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</si>
  <si>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</si>
  <si>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</si>
  <si>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</si>
  <si>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</si>
  <si>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</si>
  <si>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</si>
  <si>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</si>
  <si>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</si>
  <si>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</si>
  <si>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</si>
  <si>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</si>
  <si>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</si>
  <si>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</si>
  <si>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</si>
  <si>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</si>
  <si>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</si>
  <si>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</si>
  <si>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</si>
  <si>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</si>
  <si>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</si>
  <si>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</si>
  <si>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</si>
  <si>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</si>
  <si>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</si>
  <si>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</si>
  <si>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</si>
  <si>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</si>
  <si>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</si>
  <si>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</si>
  <si>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</si>
  <si>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</si>
  <si>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</si>
  <si>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</si>
  <si>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</si>
  <si>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</si>
  <si>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</si>
  <si>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</si>
  <si>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</si>
  <si>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</si>
  <si>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</si>
  <si>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</si>
  <si>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</si>
  <si>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</si>
  <si>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</si>
  <si>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</si>
  <si>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</si>
  <si>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</si>
  <si>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</si>
  <si>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</si>
  <si>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</si>
  <si>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</si>
  <si>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</si>
  <si>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</si>
  <si>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</si>
  <si>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</si>
  <si>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</si>
  <si>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</si>
  <si>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</si>
  <si>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</si>
  <si>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</si>
  <si>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</si>
  <si>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</si>
  <si>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</si>
  <si>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</si>
  <si>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</si>
  <si>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</si>
  <si>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</si>
  <si>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</si>
  <si>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</si>
  <si>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</si>
  <si>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</si>
  <si>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</si>
  <si>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</si>
  <si>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</si>
  <si>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</si>
  <si>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</si>
  <si>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</si>
  <si>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</si>
  <si>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</si>
  <si>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</si>
  <si>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</si>
  <si>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</si>
  <si>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</si>
  <si>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</si>
  <si>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</si>
  <si>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</si>
  <si>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</si>
  <si>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</si>
  <si>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</si>
  <si>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</si>
  <si>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</si>
  <si>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</si>
  <si>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</si>
  <si>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</si>
  <si>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</si>
  <si>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</si>
  <si>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</si>
  <si>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</si>
  <si>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</si>
  <si>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</si>
  <si>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</si>
  <si>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</si>
  <si>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</si>
  <si>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</si>
  <si>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</si>
  <si>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</si>
  <si>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</si>
  <si>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</si>
  <si>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</si>
  <si>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</si>
  <si>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</si>
  <si>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</si>
  <si>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</si>
  <si>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</si>
  <si>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</si>
  <si>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</si>
  <si>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</si>
  <si>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</si>
  <si>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</si>
  <si>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</si>
  <si>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</si>
  <si>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</si>
  <si>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</si>
  <si>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</si>
  <si>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</si>
  <si>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</si>
  <si>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</si>
  <si>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</si>
  <si>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</si>
  <si>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</si>
  <si>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</si>
  <si>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</si>
  <si>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</si>
  <si>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</si>
  <si>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</si>
  <si>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</si>
  <si>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</si>
  <si>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</si>
  <si>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</si>
  <si>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</si>
  <si>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</si>
  <si>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</si>
  <si>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</si>
  <si>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</si>
  <si>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</si>
  <si>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</si>
  <si>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</si>
  <si>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</si>
  <si>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</si>
  <si>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</si>
  <si>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</si>
  <si>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</si>
  <si>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</si>
  <si>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</si>
  <si>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</si>
  <si>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</si>
  <si>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</si>
  <si>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</si>
  <si>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</si>
  <si>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</si>
  <si>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</si>
  <si>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</si>
  <si>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</si>
  <si>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</si>
  <si>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</si>
  <si>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</si>
  <si>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</si>
  <si>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</si>
  <si>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</si>
  <si>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</si>
  <si>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</si>
  <si>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</si>
  <si>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</si>
  <si>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</si>
  <si>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</si>
  <si>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</si>
  <si>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</si>
  <si>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</si>
  <si>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</si>
  <si>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</si>
  <si>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</si>
  <si>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</si>
  <si>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</si>
  <si>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</si>
  <si>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</si>
  <si>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</si>
  <si>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</si>
  <si>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</si>
  <si>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</si>
  <si>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</si>
  <si>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</si>
  <si>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</si>
  <si>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</si>
  <si>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</si>
  <si>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</si>
  <si>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</si>
  <si>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</si>
  <si>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</si>
  <si>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</si>
  <si>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</si>
  <si>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</si>
  <si>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</si>
  <si>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</si>
  <si>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</si>
  <si>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</si>
  <si>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</si>
  <si>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</si>
  <si>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</si>
  <si>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</si>
  <si>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</si>
  <si>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</si>
  <si>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</si>
  <si>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</si>
  <si>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</si>
  <si>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</si>
  <si>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</si>
  <si>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</si>
  <si>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</si>
  <si>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</si>
  <si>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</si>
  <si>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</si>
  <si>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</si>
  <si>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</si>
  <si>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</si>
  <si>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</si>
  <si>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</si>
  <si>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</si>
  <si>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</si>
  <si>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</si>
  <si>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</si>
  <si>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</si>
  <si>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</si>
  <si>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</si>
  <si>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</si>
  <si>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</si>
  <si>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</si>
  <si>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</si>
  <si>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</si>
  <si>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</si>
  <si>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</si>
  <si>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</si>
  <si>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</si>
  <si>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</si>
  <si>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</si>
  <si>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</si>
  <si>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</si>
  <si>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</si>
  <si>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</si>
  <si>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</si>
  <si>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</si>
  <si>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</si>
  <si>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</si>
  <si>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</si>
  <si>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</si>
  <si>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</si>
  <si>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</si>
  <si>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</si>
  <si>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</si>
  <si>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</si>
  <si>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</si>
  <si>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</si>
  <si>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</si>
  <si>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</si>
  <si>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</si>
  <si>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</si>
  <si>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</si>
  <si>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</si>
  <si>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</si>
  <si>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</si>
  <si>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</si>
  <si>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</si>
  <si>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</si>
  <si>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</si>
  <si>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</si>
  <si>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</si>
  <si>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</si>
  <si>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</si>
  <si>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</si>
  <si>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</si>
  <si>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</si>
  <si>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</si>
  <si>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</si>
  <si>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</si>
  <si>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</si>
  <si>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</si>
  <si>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</si>
  <si>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</si>
  <si>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</si>
  <si>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</si>
  <si>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</si>
  <si>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</si>
  <si>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</si>
  <si>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</si>
  <si>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</si>
  <si>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</si>
  <si>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</si>
  <si>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</si>
  <si>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</si>
  <si>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</si>
  <si>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</si>
  <si>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</si>
  <si>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</si>
  <si>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</si>
  <si>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</si>
  <si>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</si>
  <si>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</si>
  <si>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</si>
  <si>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</si>
  <si>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</si>
  <si>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</si>
  <si>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</si>
  <si>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</si>
  <si>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</si>
  <si>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</si>
  <si>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</si>
  <si>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</si>
  <si>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</si>
  <si>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</si>
  <si>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</si>
  <si>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</si>
  <si>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</si>
  <si>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</si>
  <si>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</si>
  <si>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</si>
  <si>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</si>
  <si>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</si>
  <si>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</si>
  <si>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</si>
  <si>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</si>
  <si>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</si>
  <si>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</si>
  <si>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</si>
  <si>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</si>
  <si>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</si>
  <si>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</si>
  <si>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</si>
  <si>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</si>
  <si>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</si>
  <si>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</si>
  <si>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</si>
  <si>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</si>
  <si>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</si>
  <si>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</si>
  <si>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</si>
  <si>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</si>
  <si>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</si>
  <si>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</si>
  <si>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</si>
  <si>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</si>
  <si>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</si>
  <si>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</si>
  <si>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</si>
  <si>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</si>
  <si>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</si>
  <si>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</si>
  <si>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</si>
  <si>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</si>
  <si>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</si>
  <si>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</si>
  <si>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</si>
  <si>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</si>
  <si>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</si>
  <si>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</si>
  <si>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</si>
  <si>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</si>
  <si>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</si>
  <si>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</si>
  <si>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</si>
  <si>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</si>
  <si>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</si>
  <si>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</si>
  <si>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</si>
  <si>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</si>
  <si>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</si>
  <si>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</si>
  <si>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</si>
  <si>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</si>
  <si>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</si>
  <si>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</si>
  <si>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</si>
  <si>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</si>
  <si>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</si>
  <si>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</si>
  <si>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</si>
  <si>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</si>
  <si>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</si>
  <si>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</si>
  <si>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</si>
  <si>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</si>
  <si>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</si>
  <si>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</si>
  <si>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</si>
  <si>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</si>
  <si>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</si>
  <si>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</si>
  <si>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</si>
  <si>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</si>
  <si>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</si>
  <si>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</si>
  <si>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</si>
  <si>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</si>
  <si>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</si>
  <si>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</si>
  <si>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</si>
  <si>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</si>
  <si>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</si>
  <si>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</si>
  <si>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</si>
  <si>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</si>
  <si>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</si>
  <si>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</si>
  <si>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</si>
  <si>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</si>
  <si>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</si>
  <si>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</si>
  <si>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</si>
  <si>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</si>
  <si>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</si>
  <si>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</si>
  <si>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</si>
  <si>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</si>
  <si>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</si>
  <si>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</si>
  <si>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2017</t>
  </si>
  <si>
    <t>06/30/2019</t>
  </si>
  <si>
    <t>Ketul Patel</t>
  </si>
  <si>
    <t>Mike Fitzgerald</t>
  </si>
  <si>
    <t>Roy Brooks</t>
  </si>
  <si>
    <t>253-588-1711</t>
  </si>
  <si>
    <t>253-588-3001</t>
  </si>
  <si>
    <t>142</t>
  </si>
  <si>
    <t>Harrison Medical Center</t>
  </si>
  <si>
    <t>2520 Cherry Avenue</t>
  </si>
  <si>
    <t>Bremerton, WA 98310</t>
  </si>
  <si>
    <t>Kitsap</t>
  </si>
  <si>
    <t>FY18 STAT MEASURE CHANGES: USING PREMIER FOR LABOR &amp; PRODUCTIVITY &amp; BENCHMARKING WHICH WAS CHI MANDATED</t>
  </si>
  <si>
    <t>FY18 CARDIAC THORACIC ANESTHESIOLOGISTS MOVED TO FRANCISCAN MEDICAL GROUP/EXCLUDED FROM HOSPITAL EXPENSE.</t>
  </si>
  <si>
    <t>FY18 STAT MEASURE CHANGES: CPT4 PROCEDURES USED INSTEAD OF APC/RVU'S WHICH LED TO NOTABLE DECREASES OF MEASURE</t>
  </si>
  <si>
    <t>FY18 MULTIPLE CLINICS MOVED TO FRANCISCAN MEDICAL GROUP/EXCLUDED FROM HOSPITAL EXPENSE.</t>
  </si>
  <si>
    <t>FY18 TOTAL LESS CAFETERIA MEALS SERVED: BREM $200K DECREASE SILVERDALE $72k DECREASE</t>
  </si>
  <si>
    <t>Row Labels</t>
  </si>
  <si>
    <t>Sum of Inpatient services gross revenue</t>
  </si>
  <si>
    <t>Sum of Outpatient care services revenue</t>
  </si>
  <si>
    <t>Sum of Physician services gross revenue</t>
  </si>
  <si>
    <t>Sum of Total Outpatient Revenue</t>
  </si>
  <si>
    <t>Sum of Gross patient services revenue</t>
  </si>
  <si>
    <t>Sum of Net patient services revenue</t>
  </si>
  <si>
    <t>Sum of Total nonpatient revenues</t>
  </si>
  <si>
    <t>Sum of Total operating revenue</t>
  </si>
  <si>
    <t>Sum of Salaries and wages</t>
  </si>
  <si>
    <t>Sum of Employee benefits</t>
  </si>
  <si>
    <t>Sum of Medical professional fees</t>
  </si>
  <si>
    <t>Sum of Purchased services</t>
  </si>
  <si>
    <t>Sum of Repairs and maintenance</t>
  </si>
  <si>
    <t>Sum of Total Purchase Service</t>
  </si>
  <si>
    <t>Sum of Supplies expense</t>
  </si>
  <si>
    <t>Sum of Utilities expense</t>
  </si>
  <si>
    <t>Sum of Depreciation and amortization</t>
  </si>
  <si>
    <t>Sum of Rentals and leases</t>
  </si>
  <si>
    <t>Sum of Other expenses</t>
  </si>
  <si>
    <t>Sum of Total operating expenses</t>
  </si>
  <si>
    <t>Sum of Nonoperating gains (losses)</t>
  </si>
  <si>
    <t>Sum of Income Statement</t>
  </si>
  <si>
    <t>6010 Intensive Care</t>
  </si>
  <si>
    <t>6070 Acute Care</t>
  </si>
  <si>
    <t>6120  Physical Rehab</t>
  </si>
  <si>
    <t>6140 Psychiatric Care</t>
  </si>
  <si>
    <t xml:space="preserve">6170 Nursery </t>
  </si>
  <si>
    <t>7020  Surgery</t>
  </si>
  <si>
    <t>7020 Surgical Services</t>
  </si>
  <si>
    <t>7030 Recovery Room</t>
  </si>
  <si>
    <t xml:space="preserve">7040 Anesthesiology </t>
  </si>
  <si>
    <t>7050  Medical Supplies</t>
  </si>
  <si>
    <t>7050 Central Services</t>
  </si>
  <si>
    <t xml:space="preserve">7070 Laboratory </t>
  </si>
  <si>
    <t>7110 Electro- diagnosis</t>
  </si>
  <si>
    <t>7120 Magnetic Res Imaging</t>
  </si>
  <si>
    <t>7140 Radiology -  Diagnostic</t>
  </si>
  <si>
    <t>7150 Radiology -  Therapeutic</t>
  </si>
  <si>
    <t>7160 Nuclear Medicine</t>
  </si>
  <si>
    <t xml:space="preserve">7170 Pharmacy </t>
  </si>
  <si>
    <t>7180 Respiratory Therapy</t>
  </si>
  <si>
    <t>7200 Physical Therapy</t>
  </si>
  <si>
    <t>7230 Emergency Room</t>
  </si>
  <si>
    <t>7310 Occupational Therapy</t>
  </si>
  <si>
    <t>7320 Speech Therapy</t>
  </si>
  <si>
    <t>7330 Recreational Therapy</t>
  </si>
  <si>
    <t>7380 Free-Standing Clinics</t>
  </si>
  <si>
    <t>7400 Home Care Services</t>
  </si>
  <si>
    <t>7490 Other Ancillary</t>
  </si>
  <si>
    <t>8200 Research/Education Costs</t>
  </si>
  <si>
    <t>8310  Printing</t>
  </si>
  <si>
    <t xml:space="preserve">8320 Dietary </t>
  </si>
  <si>
    <t>8350 Laundry &amp; Linen</t>
  </si>
  <si>
    <t>8360 Social Services</t>
  </si>
  <si>
    <t>8370 Central Transportation</t>
  </si>
  <si>
    <t xml:space="preserve">8430 Plant </t>
  </si>
  <si>
    <t xml:space="preserve">8460 Housekeeping </t>
  </si>
  <si>
    <t xml:space="preserve">8470 Communication </t>
  </si>
  <si>
    <t>8530  Patient Acctg</t>
  </si>
  <si>
    <t xml:space="preserve">8560 Admitting </t>
  </si>
  <si>
    <t>8610 Hospital Administration</t>
  </si>
  <si>
    <t>8630  Marketing</t>
  </si>
  <si>
    <t xml:space="preserve">8650 Personnel </t>
  </si>
  <si>
    <t>8660  Auxilliary</t>
  </si>
  <si>
    <t>8670  Chaplaincy</t>
  </si>
  <si>
    <t>8690 Medical Records</t>
  </si>
  <si>
    <t>8700 Medical Staff</t>
  </si>
  <si>
    <t>8710  Utilization Review</t>
  </si>
  <si>
    <t>8720 Nursing Administration</t>
  </si>
  <si>
    <t>8740  Education</t>
  </si>
  <si>
    <t>8740 Inservice Education</t>
  </si>
  <si>
    <t>8770  Comm Health</t>
  </si>
  <si>
    <t>8790  Other Admin</t>
  </si>
  <si>
    <t>8900  Unassigned</t>
  </si>
  <si>
    <t>Grand Total</t>
  </si>
  <si>
    <t xml:space="preserve">Copied directly from 2019 IS by entities inc allocation HR from Nhon (HR TOTAL) tab </t>
  </si>
  <si>
    <t>Physical Rehab</t>
  </si>
  <si>
    <t>Electro- diagnosis</t>
  </si>
  <si>
    <t>Magnetic Res Imaging</t>
  </si>
  <si>
    <t>Radiology -  Diagnostic</t>
  </si>
  <si>
    <t>Radiology -  Therapeutic</t>
  </si>
  <si>
    <t>Free-Standing Clinics</t>
  </si>
  <si>
    <t>Research/Education Costs</t>
  </si>
  <si>
    <t>Printing</t>
  </si>
  <si>
    <t>Patient Acctg</t>
  </si>
  <si>
    <t>Employee Health</t>
  </si>
  <si>
    <t>Marketing</t>
  </si>
  <si>
    <t>Auxilliary</t>
  </si>
  <si>
    <t>Utilization Review</t>
  </si>
  <si>
    <t>Comm Health</t>
  </si>
  <si>
    <t>Other Admin</t>
  </si>
  <si>
    <t>DOH Acct</t>
  </si>
  <si>
    <t>Sum of Total Outpatient Rev</t>
  </si>
  <si>
    <t>Col 3+4</t>
  </si>
  <si>
    <t>Sum of Total Purchased Service</t>
  </si>
  <si>
    <t>Sum of Interest expense</t>
  </si>
  <si>
    <t>"leave blank open column"</t>
  </si>
  <si>
    <t>Sum of Insurance expense</t>
  </si>
  <si>
    <t>Sum of Total Other Exp</t>
  </si>
  <si>
    <t>Total I/S</t>
  </si>
  <si>
    <t>Variance</t>
  </si>
  <si>
    <t>Entered into DOH category as noted</t>
  </si>
  <si>
    <t>Enter into 7490 - add this cell to current formula</t>
  </si>
  <si>
    <t>Enter in 7490-add this cell to current formula</t>
  </si>
  <si>
    <t>Manually Enter - Data Tab Cell CD70</t>
  </si>
  <si>
    <t xml:space="preserve">Enter into 8790-other admin-add this cell to current formula </t>
  </si>
  <si>
    <t>Manually Enter - Data Tab B48</t>
  </si>
  <si>
    <t>Enter into 7490-add this cell to current formula</t>
  </si>
  <si>
    <t>Enter into 8790-other admin</t>
  </si>
  <si>
    <t>Manually Enter - Data Tab Cell B52</t>
  </si>
  <si>
    <t>Manually Enter - Data Tab Cell CD69</t>
  </si>
  <si>
    <t>Enter in 8790 - other Admin</t>
  </si>
  <si>
    <t>Sum of Nurse Total</t>
  </si>
  <si>
    <t>Sum of FTE Total</t>
  </si>
  <si>
    <t>Utilization Management</t>
  </si>
  <si>
    <t>Note: Will have accts</t>
  </si>
  <si>
    <t>that are non nursing but have FTE's</t>
  </si>
  <si>
    <t>just ignore and record whatever</t>
  </si>
  <si>
    <t>accts are available on the data tab</t>
  </si>
  <si>
    <t>Ties to source doc? YES</t>
  </si>
  <si>
    <t>Square Foot</t>
  </si>
  <si>
    <t xml:space="preserve">% </t>
  </si>
  <si>
    <t>Alternative Birth Ctr</t>
  </si>
  <si>
    <t xml:space="preserve">Nursery </t>
  </si>
  <si>
    <t>Hospice Inpatient</t>
  </si>
  <si>
    <t>Labor &amp; Delivery</t>
  </si>
  <si>
    <t xml:space="preserve">Anesthesiology </t>
  </si>
  <si>
    <t xml:space="preserve">Laboratory </t>
  </si>
  <si>
    <t xml:space="preserve">Pharmacy </t>
  </si>
  <si>
    <t xml:space="preserve">Dialysis </t>
  </si>
  <si>
    <t xml:space="preserve">Ambulance </t>
  </si>
  <si>
    <t xml:space="preserve">Clinics </t>
  </si>
  <si>
    <t>Electro- myogray</t>
  </si>
  <si>
    <t xml:space="preserve">Lithotripsy </t>
  </si>
  <si>
    <t>Organ Transplants</t>
  </si>
  <si>
    <t>Outpatient Chem. Dep.</t>
  </si>
  <si>
    <t xml:space="preserve">Dietary </t>
  </si>
  <si>
    <t xml:space="preserve">Cafeteria </t>
  </si>
  <si>
    <t xml:space="preserve">Purchasing </t>
  </si>
  <si>
    <t xml:space="preserve">Plant </t>
  </si>
  <si>
    <t xml:space="preserve">Housekeeping </t>
  </si>
  <si>
    <t xml:space="preserve">Communication </t>
  </si>
  <si>
    <t xml:space="preserve">Accounting </t>
  </si>
  <si>
    <t xml:space="preserve">Admitting </t>
  </si>
  <si>
    <t>Other Fiscal Svcs</t>
  </si>
  <si>
    <t xml:space="preserve">Personnel </t>
  </si>
  <si>
    <t>Row 59 Col BE (sq feet)</t>
  </si>
  <si>
    <t>ZERO OUT PURPLE DOH# ON WORKBOOK</t>
  </si>
  <si>
    <t xml:space="preserve">TO RECALC HOUSKEEPING SINCE THESE AU'S </t>
  </si>
  <si>
    <t>HAVE SQ FT BUT NO HOUSEKEEPING. THIS</t>
  </si>
  <si>
    <t>WILL RE DISTRIBUTE SQ FOOTAGE % FOR</t>
  </si>
  <si>
    <t>HOUSKEEPING HOURS ONLY</t>
  </si>
  <si>
    <t>Used to Calc Housekeeping Hrs Only!!</t>
  </si>
  <si>
    <t>ZERO OUT PURPLE AU'S AND RECALC FOR HOUSEKEEPING ONLY!</t>
  </si>
  <si>
    <t>ALSO ROW 76 FOR EA DOH#</t>
  </si>
  <si>
    <t>Increase to UOM due to reporting change from Visits to Billable Tests. Outreach Lab - new reporting for FY19</t>
  </si>
  <si>
    <t>Expense &amp; UOM are in line with increase in revenue.</t>
  </si>
  <si>
    <t>UOM based on sq footage.  Decrease due to movement of 10K sq feet to Hosp Admin 8610 for Family Medical Residency. Expense is in line.</t>
  </si>
  <si>
    <t>Meals decreased 287K primarily in Bremerton Location. Expense calculates based on depreciation. Higher depreciation was recorded for FY19.</t>
  </si>
  <si>
    <t>7060 IVT</t>
  </si>
  <si>
    <t>Sum of Total other expenses</t>
  </si>
  <si>
    <t>IVT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</si>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</sst>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1"/>
      <name val="Aparajita"/>
      <family val="2"/>
    </font>
    <font>
      <b/>
      <sz val="12"/>
      <name val="Courier"/>
    </font>
  </fonts>
  <fills count="1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  <xf numFmtId="43" fontId="1" fillId="0" borderId="0" applyFont="0" applyFill="0" applyBorder="0" applyAlignment="0" applyProtection="0"/>
  </cellStyleXfs>
  <cellXfs count="34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3" fontId="0" fillId="0" borderId="0" xfId="1" applyFont="1"/>
    <xf numFmtId="0" fontId="15" fillId="9" borderId="12" xfId="0" applyNumberFormat="1" applyFont="1" applyFill="1" applyBorder="1" applyAlignment="1">
      <alignment wrapText="1"/>
    </xf>
    <xf numFmtId="37" fontId="15" fillId="0" borderId="12" xfId="0" applyFont="1" applyBorder="1" applyAlignment="1">
      <alignment wrapText="1"/>
    </xf>
    <xf numFmtId="37" fontId="1" fillId="0" borderId="0" xfId="0" applyFont="1"/>
    <xf numFmtId="0" fontId="1" fillId="0" borderId="0" xfId="0" applyNumberFormat="1" applyFont="1" applyAlignment="1">
      <alignment horizontal="left"/>
    </xf>
    <xf numFmtId="37" fontId="18" fillId="10" borderId="33" xfId="0" applyFont="1" applyFill="1" applyBorder="1" applyAlignment="1">
      <alignment wrapText="1"/>
    </xf>
    <xf numFmtId="1" fontId="19" fillId="0" borderId="0" xfId="1" applyNumberFormat="1" applyFont="1" applyBorder="1" applyAlignment="1">
      <alignment horizontal="center"/>
    </xf>
    <xf numFmtId="1" fontId="15" fillId="0" borderId="0" xfId="1" applyNumberFormat="1" applyFont="1" applyBorder="1" applyAlignment="1">
      <alignment horizontal="center"/>
    </xf>
    <xf numFmtId="37" fontId="18" fillId="10" borderId="33" xfId="0" applyFont="1" applyFill="1" applyBorder="1"/>
    <xf numFmtId="37" fontId="0" fillId="0" borderId="0" xfId="0" applyBorder="1"/>
    <xf numFmtId="37" fontId="1" fillId="13" borderId="0" xfId="0" applyFont="1" applyFill="1"/>
    <xf numFmtId="37" fontId="1" fillId="14" borderId="0" xfId="0" applyFont="1" applyFill="1"/>
    <xf numFmtId="43" fontId="15" fillId="11" borderId="8" xfId="1" applyFont="1" applyFill="1" applyBorder="1"/>
    <xf numFmtId="37" fontId="1" fillId="0" borderId="0" xfId="0" applyFont="1" applyAlignment="1">
      <alignment horizontal="left"/>
    </xf>
    <xf numFmtId="0" fontId="1" fillId="14" borderId="0" xfId="1" applyNumberFormat="1" applyFont="1" applyFill="1" applyBorder="1" applyAlignment="1">
      <alignment horizontal="center" wrapText="1"/>
    </xf>
    <xf numFmtId="43" fontId="1" fillId="13" borderId="0" xfId="1" applyFont="1" applyFill="1" applyBorder="1" applyAlignment="1">
      <alignment horizontal="center" wrapText="1"/>
    </xf>
    <xf numFmtId="43" fontId="1" fillId="0" borderId="0" xfId="1" applyFont="1"/>
    <xf numFmtId="43" fontId="1" fillId="14" borderId="0" xfId="1" applyFont="1" applyFill="1" applyBorder="1" applyAlignment="1">
      <alignment wrapText="1"/>
    </xf>
    <xf numFmtId="37" fontId="0" fillId="0" borderId="0" xfId="0" applyAlignment="1">
      <alignment horizontal="center"/>
    </xf>
    <xf numFmtId="0" fontId="1" fillId="0" borderId="34" xfId="0" applyNumberFormat="1" applyFont="1" applyBorder="1"/>
    <xf numFmtId="43" fontId="1" fillId="0" borderId="34" xfId="1" applyFont="1" applyBorder="1"/>
    <xf numFmtId="0" fontId="15" fillId="0" borderId="35" xfId="0" applyNumberFormat="1" applyFont="1" applyBorder="1" applyAlignment="1">
      <alignment wrapText="1"/>
    </xf>
    <xf numFmtId="37" fontId="15" fillId="0" borderId="35" xfId="0" applyFont="1" applyBorder="1" applyAlignment="1">
      <alignment wrapText="1"/>
    </xf>
    <xf numFmtId="0" fontId="15" fillId="0" borderId="36" xfId="0" applyNumberFormat="1" applyFont="1" applyBorder="1" applyAlignment="1">
      <alignment wrapText="1"/>
    </xf>
    <xf numFmtId="37" fontId="15" fillId="0" borderId="36" xfId="0" applyFont="1" applyBorder="1" applyAlignment="1">
      <alignment wrapText="1"/>
    </xf>
    <xf numFmtId="0" fontId="1" fillId="0" borderId="36" xfId="0" applyNumberFormat="1" applyFont="1" applyBorder="1"/>
    <xf numFmtId="37" fontId="1" fillId="0" borderId="36" xfId="0" applyFont="1" applyBorder="1"/>
    <xf numFmtId="37" fontId="1" fillId="15" borderId="36" xfId="0" applyFont="1" applyFill="1" applyBorder="1"/>
    <xf numFmtId="37" fontId="15" fillId="12" borderId="37" xfId="0" applyFont="1" applyFill="1" applyBorder="1"/>
    <xf numFmtId="43" fontId="1" fillId="0" borderId="38" xfId="0" applyNumberFormat="1" applyFont="1" applyBorder="1"/>
    <xf numFmtId="43" fontId="1" fillId="0" borderId="39" xfId="0" applyNumberFormat="1" applyFont="1" applyBorder="1"/>
    <xf numFmtId="2" fontId="1" fillId="15" borderId="39" xfId="0" applyNumberFormat="1" applyFont="1" applyFill="1" applyBorder="1"/>
    <xf numFmtId="43" fontId="1" fillId="0" borderId="41" xfId="0" applyNumberFormat="1" applyFont="1" applyBorder="1"/>
    <xf numFmtId="43" fontId="1" fillId="0" borderId="42" xfId="0" applyNumberFormat="1" applyFont="1" applyBorder="1"/>
    <xf numFmtId="2" fontId="1" fillId="15" borderId="42" xfId="0" applyNumberFormat="1" applyFont="1" applyFill="1" applyBorder="1"/>
    <xf numFmtId="43" fontId="1" fillId="0" borderId="43" xfId="0" applyNumberFormat="1" applyFont="1" applyBorder="1"/>
    <xf numFmtId="39" fontId="15" fillId="12" borderId="37" xfId="0" applyNumberFormat="1" applyFont="1" applyFill="1" applyBorder="1"/>
    <xf numFmtId="43" fontId="1" fillId="8" borderId="39" xfId="0" applyNumberFormat="1" applyFont="1" applyFill="1" applyBorder="1"/>
    <xf numFmtId="43" fontId="1" fillId="8" borderId="40" xfId="0" applyNumberFormat="1" applyFont="1" applyFill="1" applyBorder="1"/>
    <xf numFmtId="37" fontId="20" fillId="8" borderId="0" xfId="0" applyFont="1" applyFill="1"/>
    <xf numFmtId="43" fontId="20" fillId="8" borderId="0" xfId="1" applyFont="1" applyFill="1" applyBorder="1"/>
    <xf numFmtId="37" fontId="5" fillId="13" borderId="0" xfId="0" applyFont="1" applyFill="1"/>
    <xf numFmtId="0" fontId="1" fillId="16" borderId="36" xfId="0" applyNumberFormat="1" applyFont="1" applyFill="1" applyBorder="1"/>
    <xf numFmtId="37" fontId="5" fillId="16" borderId="0" xfId="0" applyFont="1" applyFill="1"/>
    <xf numFmtId="0" fontId="1" fillId="0" borderId="35" xfId="0" applyNumberFormat="1" applyFont="1" applyBorder="1"/>
    <xf numFmtId="165" fontId="0" fillId="8" borderId="0" xfId="7" applyNumberFormat="1" applyFont="1" applyFill="1"/>
    <xf numFmtId="165" fontId="0" fillId="17" borderId="0" xfId="7" applyNumberFormat="1" applyFont="1" applyFill="1"/>
    <xf numFmtId="9" fontId="0" fillId="0" borderId="0" xfId="3" applyFont="1"/>
    <xf numFmtId="10" fontId="0" fillId="0" borderId="0" xfId="3" applyNumberFormat="1" applyFont="1"/>
    <xf numFmtId="37" fontId="0" fillId="0" borderId="12" xfId="0" applyBorder="1"/>
    <xf numFmtId="165" fontId="0" fillId="8" borderId="12" xfId="7" applyNumberFormat="1" applyFont="1" applyFill="1" applyBorder="1"/>
    <xf numFmtId="10" fontId="0" fillId="0" borderId="12" xfId="3" applyNumberFormat="1" applyFont="1" applyBorder="1"/>
    <xf numFmtId="37" fontId="5" fillId="0" borderId="0" xfId="0" applyFont="1" applyFill="1" applyBorder="1"/>
    <xf numFmtId="37" fontId="15" fillId="12" borderId="3" xfId="0" applyFont="1" applyFill="1" applyBorder="1"/>
    <xf numFmtId="37" fontId="21" fillId="14" borderId="0" xfId="0" applyFont="1" applyFill="1"/>
    <xf numFmtId="37" fontId="1" fillId="0" borderId="0" xfId="0" applyFont="1" applyFill="1"/>
    <xf numFmtId="165" fontId="0" fillId="0" borderId="0" xfId="1" applyNumberFormat="1" applyFont="1"/>
    <xf numFmtId="165" fontId="0" fillId="18" borderId="0" xfId="7" applyNumberFormat="1" applyFont="1" applyFill="1"/>
    <xf numFmtId="37" fontId="21" fillId="0" borderId="0" xfId="0" applyFont="1" applyFill="1"/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Comma 3" xfId="7"/>
    <cellStyle name="Hyperlink" xfId="2" builtinId="8"/>
    <cellStyle name="Normal" xfId="0" builtinId="0"/>
    <cellStyle name="Normal 2" xfId="4"/>
    <cellStyle name="Normal 3 2" xfId="6"/>
    <cellStyle name="Normal 6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8" t="s">
        <v>1232</v>
      </c>
      <c r="B1" s="229"/>
      <c r="C1" s="229"/>
      <c r="D1" s="229"/>
      <c r="E1" s="229"/>
      <c r="F1" s="229"/>
    </row>
    <row r="2" spans="1:6" ht="12.75" customHeight="1">
      <c r="A2" s="229" t="s">
        <v>1233</v>
      </c>
      <c r="B2" s="229"/>
      <c r="C2" s="230"/>
      <c r="D2" s="229"/>
      <c r="E2" s="229"/>
      <c r="F2" s="229"/>
    </row>
    <row r="3" spans="1:6" ht="12.75" customHeight="1">
      <c r="A3" s="197"/>
      <c r="C3" s="231"/>
    </row>
    <row r="4" spans="1:6" ht="12.75" customHeight="1">
      <c r="C4" s="231"/>
    </row>
    <row r="5" spans="1:6" ht="12.75" customHeight="1">
      <c r="A5" s="197" t="s">
        <v>1258</v>
      </c>
      <c r="C5" s="231"/>
    </row>
    <row r="6" spans="1:6" ht="12.75" customHeight="1">
      <c r="A6" s="197" t="s">
        <v>0</v>
      </c>
      <c r="C6" s="231"/>
    </row>
    <row r="7" spans="1:6" ht="12.75" customHeight="1">
      <c r="A7" s="197" t="s">
        <v>1</v>
      </c>
      <c r="C7" s="231"/>
    </row>
    <row r="8" spans="1:6" ht="12.75" customHeight="1">
      <c r="C8" s="231"/>
    </row>
    <row r="9" spans="1:6" ht="12.75" customHeight="1">
      <c r="C9" s="231"/>
    </row>
    <row r="10" spans="1:6" ht="12.75" customHeight="1">
      <c r="A10" s="196" t="s">
        <v>1228</v>
      </c>
      <c r="C10" s="231"/>
    </row>
    <row r="11" spans="1:6" ht="12.75" customHeight="1">
      <c r="A11" s="196" t="s">
        <v>1231</v>
      </c>
      <c r="C11" s="231"/>
    </row>
    <row r="12" spans="1:6" ht="12.75" customHeight="1">
      <c r="C12" s="231"/>
    </row>
    <row r="13" spans="1:6" ht="12.75" customHeight="1">
      <c r="C13" s="231"/>
    </row>
    <row r="14" spans="1:6" ht="12.75" customHeight="1">
      <c r="A14" s="197" t="s">
        <v>2</v>
      </c>
      <c r="C14" s="231"/>
    </row>
    <row r="15" spans="1:6" ht="12.75" customHeight="1">
      <c r="A15" s="197"/>
      <c r="C15" s="231"/>
    </row>
    <row r="16" spans="1:6" ht="12.75" customHeight="1">
      <c r="A16" s="180" t="s">
        <v>1260</v>
      </c>
      <c r="C16" s="231"/>
      <c r="F16" s="277" t="s">
        <v>1259</v>
      </c>
    </row>
    <row r="17" spans="1:6" ht="12.75" customHeight="1">
      <c r="A17" s="180" t="s">
        <v>1230</v>
      </c>
      <c r="C17" s="277" t="s">
        <v>1259</v>
      </c>
    </row>
    <row r="18" spans="1:6" ht="12.75" customHeight="1">
      <c r="A18" s="223"/>
      <c r="C18" s="231"/>
    </row>
    <row r="19" spans="1:6" ht="12.75" customHeight="1">
      <c r="C19" s="231"/>
    </row>
    <row r="20" spans="1:6" ht="12.75" customHeight="1">
      <c r="A20" s="267" t="s">
        <v>1234</v>
      </c>
      <c r="B20" s="267"/>
      <c r="C20" s="278"/>
      <c r="D20" s="267"/>
      <c r="E20" s="267"/>
      <c r="F20" s="267"/>
    </row>
    <row r="21" spans="1:6" ht="22.5" customHeight="1">
      <c r="A21" s="197"/>
      <c r="C21" s="231"/>
    </row>
    <row r="22" spans="1:6" ht="12.6" customHeight="1">
      <c r="A22" s="232" t="s">
        <v>1254</v>
      </c>
      <c r="B22" s="233"/>
      <c r="C22" s="234"/>
      <c r="D22" s="232"/>
      <c r="E22" s="232"/>
    </row>
    <row r="23" spans="1:6" ht="12.6" customHeight="1">
      <c r="B23" s="197"/>
      <c r="C23" s="231"/>
    </row>
    <row r="24" spans="1:6" ht="12.6" customHeight="1">
      <c r="A24" s="235" t="s">
        <v>3</v>
      </c>
      <c r="C24" s="231"/>
    </row>
    <row r="25" spans="1:6" ht="12.6" customHeight="1">
      <c r="A25" s="196" t="s">
        <v>1235</v>
      </c>
      <c r="C25" s="231"/>
    </row>
    <row r="26" spans="1:6" ht="12.6" customHeight="1">
      <c r="A26" s="197" t="s">
        <v>4</v>
      </c>
      <c r="C26" s="231"/>
    </row>
    <row r="27" spans="1:6" ht="12.6" customHeight="1">
      <c r="A27" s="196" t="s">
        <v>1236</v>
      </c>
      <c r="C27" s="231"/>
    </row>
    <row r="28" spans="1:6" ht="12.6" customHeight="1">
      <c r="A28" s="197" t="s">
        <v>5</v>
      </c>
      <c r="C28" s="231"/>
    </row>
    <row r="29" spans="1:6" ht="12.6" customHeight="1">
      <c r="A29" s="196"/>
      <c r="C29" s="231"/>
    </row>
    <row r="30" spans="1:6" ht="12.6" customHeight="1">
      <c r="A30" s="180" t="s">
        <v>6</v>
      </c>
      <c r="C30" s="231"/>
    </row>
    <row r="31" spans="1:6" ht="12.6" customHeight="1">
      <c r="A31" s="197" t="s">
        <v>7</v>
      </c>
      <c r="C31" s="231"/>
    </row>
    <row r="32" spans="1:6" ht="12.6" customHeight="1">
      <c r="A32" s="197" t="s">
        <v>8</v>
      </c>
      <c r="C32" s="231"/>
    </row>
    <row r="33" spans="1:83" ht="12.6" customHeight="1">
      <c r="A33" s="196" t="s">
        <v>1237</v>
      </c>
      <c r="C33" s="231"/>
    </row>
    <row r="34" spans="1:83" ht="12.6" customHeight="1">
      <c r="A34" s="197" t="s">
        <v>9</v>
      </c>
      <c r="C34" s="231"/>
    </row>
    <row r="35" spans="1:83" ht="12.6" customHeight="1">
      <c r="A35" s="197"/>
      <c r="C35" s="231"/>
    </row>
    <row r="36" spans="1:83" ht="12.6" customHeight="1">
      <c r="A36" s="196" t="s">
        <v>1238</v>
      </c>
      <c r="C36" s="231"/>
    </row>
    <row r="37" spans="1:83" ht="12.6" customHeight="1">
      <c r="A37" s="197" t="s">
        <v>1229</v>
      </c>
      <c r="C37" s="231"/>
    </row>
    <row r="38" spans="1:83" ht="12" customHeight="1">
      <c r="A38" s="196"/>
      <c r="C38" s="231"/>
    </row>
    <row r="39" spans="1:83" ht="12.6" customHeight="1">
      <c r="A39" s="197"/>
      <c r="C39" s="231"/>
    </row>
    <row r="40" spans="1:83" ht="12" customHeight="1">
      <c r="A40" s="197"/>
      <c r="C40" s="231"/>
    </row>
    <row r="41" spans="1:83" ht="12" customHeight="1">
      <c r="A41" s="197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>
      <c r="A42" s="197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>
      <c r="A43" s="197"/>
      <c r="C43" s="231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>
        <f>41617708.54</f>
        <v>41617708.539999999</v>
      </c>
      <c r="C47" s="184">
        <f>IF(ISERR(VLOOKUP(VALUE(C$44),'HR DATA'!$A$4:$AA$54,9,0)="TRUE"),0,VLOOKUP(VALUE(C$44),'HR DATA'!$A$4:$AA$54,9,0))</f>
        <v>1174128.2500000002</v>
      </c>
      <c r="D47" s="184">
        <f>IF(ISERR(VLOOKUP(VALUE(D$44),'HR DATA'!$A$4:$AA$54,9,0)="TRUE"),0,VLOOKUP(VALUE(D$44),'HR DATA'!$A$4:$AA$54,9,0))</f>
        <v>0</v>
      </c>
      <c r="E47" s="184">
        <f>IF(ISERR(VLOOKUP(VALUE(E$44),'HR DATA'!$A$4:$AA$54,9,0)="TRUE"),0,VLOOKUP(VALUE(E$44),'HR DATA'!$A$4:$AA$54,9,0))</f>
        <v>7381305.6399999997</v>
      </c>
      <c r="F47" s="184">
        <f>IF(ISERR(VLOOKUP(VALUE(F$44),'HR DATA'!$A$4:$AA$54,9,0)="TRUE"),0,VLOOKUP(VALUE(F$44),'HR DATA'!$A$4:$AA$54,9,0))</f>
        <v>0</v>
      </c>
      <c r="G47" s="184">
        <f>IF(ISERR(VLOOKUP(VALUE(G$44),'HR DATA'!$A$4:$AA$54,9,0)="TRUE"),0,VLOOKUP(VALUE(G$44),'HR DATA'!$A$4:$AA$54,9,0))</f>
        <v>0</v>
      </c>
      <c r="H47" s="184">
        <f>IF(ISERR(VLOOKUP(VALUE(H$44),'HR DATA'!$A$4:$AA$54,9,0)="TRUE"),0,VLOOKUP(VALUE(H$44),'HR DATA'!$A$4:$AA$54,9,0))</f>
        <v>0</v>
      </c>
      <c r="I47" s="184">
        <f>IF(ISERR(VLOOKUP(VALUE(I$44),'HR DATA'!$A$4:$AA$54,9,0)="TRUE"),0,VLOOKUP(VALUE(I$44),'HR DATA'!$A$4:$AA$54,9,0))</f>
        <v>0</v>
      </c>
      <c r="J47" s="184">
        <f>IF(ISERR(VLOOKUP(VALUE(J$44),'HR DATA'!$A$4:$AA$54,9,0)="TRUE"),0,VLOOKUP(VALUE(J$44),'HR DATA'!$A$4:$AA$54,9,0))</f>
        <v>1563156.69</v>
      </c>
      <c r="K47" s="184">
        <f>IF(ISERR(VLOOKUP(VALUE(K$44),'HR DATA'!$A$4:$AA$54,9,0)="TRUE"),0,VLOOKUP(VALUE(K$44),'HR DATA'!$A$4:$AA$54,9,0))</f>
        <v>0</v>
      </c>
      <c r="L47" s="184">
        <f>IF(ISERR(VLOOKUP(VALUE(L$44),'HR DATA'!$A$4:$AA$54,9,0)="TRUE"),0,VLOOKUP(VALUE(L$44),'HR DATA'!$A$4:$AA$54,9,0))</f>
        <v>0</v>
      </c>
      <c r="M47" s="184">
        <f>IF(ISERR(VLOOKUP(VALUE(M$44),'HR DATA'!$A$4:$AA$54,9,0)="TRUE"),0,VLOOKUP(VALUE(M$44),'HR DATA'!$A$4:$AA$54,9,0))</f>
        <v>0</v>
      </c>
      <c r="N47" s="184">
        <f>IF(ISERR(VLOOKUP(VALUE(N$44),'HR DATA'!$A$4:$AA$54,9,0)="TRUE"),0,VLOOKUP(VALUE(N$44),'HR DATA'!$A$4:$AA$54,9,0))</f>
        <v>0</v>
      </c>
      <c r="O47" s="184">
        <f>IF(ISERR(VLOOKUP(VALUE(O$44),'HR DATA'!$A$4:$AA$54,9,0)="TRUE"),0,VLOOKUP(VALUE(O$44),'HR DATA'!$A$4:$AA$54,9,0))</f>
        <v>0</v>
      </c>
      <c r="P47" s="184">
        <f>IF(ISERR(VLOOKUP(VALUE(P$44),'HR DATA'!$A$4:$AA$54,9,0)="TRUE"),0,VLOOKUP(VALUE(P$44),'HR DATA'!$A$4:$AA$54,9,0))</f>
        <v>2079245.48</v>
      </c>
      <c r="Q47" s="184">
        <f>IF(ISERR(VLOOKUP(VALUE(Q$44),'HR DATA'!$A$4:$AA$54,9,0)="TRUE"),0,VLOOKUP(VALUE(Q$44),'HR DATA'!$A$4:$AA$54,9,0))</f>
        <v>1006385.99</v>
      </c>
      <c r="R47" s="184">
        <f>IF(ISERR(VLOOKUP(VALUE(R$44),'HR DATA'!$A$4:$AA$54,9,0)="TRUE"),0,VLOOKUP(VALUE(R$44),'HR DATA'!$A$4:$AA$54,9,0))</f>
        <v>78282.000000000015</v>
      </c>
      <c r="S47" s="184">
        <f>IF(ISERR(VLOOKUP(VALUE(S$44),'HR DATA'!$A$4:$AA$54,9,0)="TRUE"),0,VLOOKUP(VALUE(S$44),'HR DATA'!$A$4:$AA$54,9,0))</f>
        <v>629059.80999999994</v>
      </c>
      <c r="T47" s="184">
        <f>IF(ISERR(VLOOKUP(VALUE(T$44),'HR DATA'!$A$4:$AA$54,9,0)="TRUE"),0,VLOOKUP(VALUE(T$44),'HR DATA'!$A$4:$AA$54,9,0))</f>
        <v>0</v>
      </c>
      <c r="U47" s="184">
        <f>IF(ISERR(VLOOKUP(VALUE(U$44),'HR DATA'!$A$4:$AA$54,9,0)="TRUE"),0,VLOOKUP(VALUE(U$44),'HR DATA'!$A$4:$AA$54,9,0))</f>
        <v>1071197.95</v>
      </c>
      <c r="V47" s="184">
        <f>IF(ISERR(VLOOKUP(VALUE(V$44),'HR DATA'!$A$4:$AA$54,9,0)="TRUE"),0,VLOOKUP(VALUE(V$44),'HR DATA'!$A$4:$AA$54,9,0))</f>
        <v>109677.36999999998</v>
      </c>
      <c r="W47" s="184">
        <f>IF(ISERR(VLOOKUP(VALUE(W$44),'HR DATA'!$A$4:$AA$54,9,0)="TRUE"),0,VLOOKUP(VALUE(W$44),'HR DATA'!$A$4:$AA$54,9,0))</f>
        <v>108676.5</v>
      </c>
      <c r="X47" s="184">
        <f>IF(ISERR(VLOOKUP(VALUE(X$44),'HR DATA'!$A$4:$AA$54,9,0)="TRUE"),0,VLOOKUP(VALUE(X$44),'HR DATA'!$A$4:$AA$54,9,0))</f>
        <v>0</v>
      </c>
      <c r="Y47" s="184">
        <f>IF(ISERR(VLOOKUP(VALUE(Y$44),'HR DATA'!$A$4:$AA$54,9,0)="TRUE"),0,VLOOKUP(VALUE(Y$44),'HR DATA'!$A$4:$AA$54,9,0))</f>
        <v>2995965.01</v>
      </c>
      <c r="Z47" s="184">
        <f>IF(ISERR(VLOOKUP(VALUE(Z$44),'HR DATA'!$A$4:$AA$54,9,0)="TRUE"),0,VLOOKUP(VALUE(Z$44),'HR DATA'!$A$4:$AA$54,9,0))</f>
        <v>419423.05999999994</v>
      </c>
      <c r="AA47" s="184">
        <f>IF(ISERR(VLOOKUP(VALUE(AA$44),'HR DATA'!$A$4:$AA$54,9,0)="TRUE"),0,VLOOKUP(VALUE(AA$44),'HR DATA'!$A$4:$AA$54,9,0))</f>
        <v>65481.46</v>
      </c>
      <c r="AB47" s="184">
        <f>IF(ISERR(VLOOKUP(VALUE(AB$44),'HR DATA'!$A$4:$AA$54,9,0)="TRUE"),0,VLOOKUP(VALUE(AB$44),'HR DATA'!$A$4:$AA$54,9,0))</f>
        <v>1036305.4700000001</v>
      </c>
      <c r="AC47" s="184">
        <f>IF(ISERR(VLOOKUP(VALUE(AC$44),'HR DATA'!$A$4:$AA$54,9,0)="TRUE"),0,VLOOKUP(VALUE(AC$44),'HR DATA'!$A$4:$AA$54,9,0))</f>
        <v>1182423.32</v>
      </c>
      <c r="AD47" s="184">
        <f>IF(ISERR(VLOOKUP(VALUE(AD$44),'HR DATA'!$A$4:$AA$54,9,0)="TRUE"),0,VLOOKUP(VALUE(AD$44),'HR DATA'!$A$4:$AA$54,9,0))</f>
        <v>0</v>
      </c>
      <c r="AE47" s="184">
        <f>IF(ISERR(VLOOKUP(VALUE(AE$44),'HR DATA'!$A$4:$AA$54,9,0)="TRUE"),0,VLOOKUP(VALUE(AE$44),'HR DATA'!$A$4:$AA$54,9,0))</f>
        <v>740504.33</v>
      </c>
      <c r="AF47" s="184">
        <f>IF(ISERR(VLOOKUP(VALUE(AF$44),'HR DATA'!$A$4:$AA$54,9,0)="TRUE"),0,VLOOKUP(VALUE(AF$44),'HR DATA'!$A$4:$AA$54,9,0))</f>
        <v>0</v>
      </c>
      <c r="AG47" s="184">
        <f>IF(ISERR(VLOOKUP(VALUE(AG$44),'HR DATA'!$A$4:$AA$54,9,0)="TRUE"),0,VLOOKUP(VALUE(AG$44),'HR DATA'!$A$4:$AA$54,9,0))</f>
        <v>2360956.3199999998</v>
      </c>
      <c r="AH47" s="184">
        <f>IF(ISERR(VLOOKUP(VALUE(AH$44),'HR DATA'!$A$4:$AA$54,9,0)="TRUE"),0,VLOOKUP(VALUE(AH$44),'HR DATA'!$A$4:$AA$54,9,0))</f>
        <v>0</v>
      </c>
      <c r="AI47" s="184">
        <f>IF(ISERR(VLOOKUP(VALUE(AI$44),'HR DATA'!$A$4:$AA$54,9,0)="TRUE"),0,VLOOKUP(VALUE(AI$44),'HR DATA'!$A$4:$AA$54,9,0))</f>
        <v>0</v>
      </c>
      <c r="AJ47" s="184">
        <f>IF(ISERR(VLOOKUP(VALUE(AJ$44),'HR DATA'!$A$4:$AA$54,9,0)="TRUE"),0,VLOOKUP(VALUE(AJ$44),'HR DATA'!$A$4:$AA$54,9,0))</f>
        <v>10055081.51</v>
      </c>
      <c r="AK47" s="184">
        <f>IF(ISERR(VLOOKUP(VALUE(AK$44),'HR DATA'!$A$4:$AA$54,9,0)="TRUE"),0,VLOOKUP(VALUE(AK$44),'HR DATA'!$A$4:$AA$54,9,0))</f>
        <v>202552.59</v>
      </c>
      <c r="AL47" s="184">
        <f>IF(ISERR(VLOOKUP(VALUE(AL$44),'HR DATA'!$A$4:$AA$54,9,0)="TRUE"),0,VLOOKUP(VALUE(AL$44),'HR DATA'!$A$4:$AA$54,9,0))</f>
        <v>103033.66</v>
      </c>
      <c r="AM47" s="184">
        <f>IF(ISERR(VLOOKUP(VALUE(AM$44),'HR DATA'!$A$4:$AA$54,9,0)="TRUE"),0,VLOOKUP(VALUE(AM$44),'HR DATA'!$A$4:$AA$54,9,0))</f>
        <v>0</v>
      </c>
      <c r="AN47" s="184">
        <f>IF(ISERR(VLOOKUP(VALUE(AN$44),'HR DATA'!$A$4:$AA$54,9,0)="TRUE"),0,VLOOKUP(VALUE(AN$44),'HR DATA'!$A$4:$AA$54,9,0))</f>
        <v>0</v>
      </c>
      <c r="AO47" s="184">
        <f>IF(ISERR(VLOOKUP(VALUE(AO$44),'HR DATA'!$A$4:$AA$54,9,0)="TRUE"),0,VLOOKUP(VALUE(AO$44),'HR DATA'!$A$4:$AA$54,9,0))</f>
        <v>0</v>
      </c>
      <c r="AP47" s="184">
        <f>IF(ISERR(VLOOKUP(VALUE(AP$44),'HR DATA'!$A$4:$AA$54,9,0)="TRUE"),0,VLOOKUP(VALUE(AP$44),'HR DATA'!$A$4:$AA$54,9,0))</f>
        <v>1836035.73</v>
      </c>
      <c r="AQ47" s="184">
        <f>IF(ISERR(VLOOKUP(VALUE(AQ$44),'HR DATA'!$A$4:$AA$54,9,0)="TRUE"),0,VLOOKUP(VALUE(AQ$44),'HR DATA'!$A$4:$AA$54,9,0))</f>
        <v>0</v>
      </c>
      <c r="AR47" s="184">
        <f>IF(ISERR(VLOOKUP(VALUE(AR$44),'HR DATA'!$A$4:$AA$54,9,0)="TRUE"),0,VLOOKUP(VALUE(AR$44),'HR DATA'!$A$4:$AA$54,9,0))</f>
        <v>0</v>
      </c>
      <c r="AS47" s="184">
        <f>IF(ISERR(VLOOKUP(VALUE(AS$44),'HR DATA'!$A$4:$AA$54,9,0)="TRUE"),0,VLOOKUP(VALUE(AS$44),'HR DATA'!$A$4:$AA$54,9,0))</f>
        <v>0</v>
      </c>
      <c r="AT47" s="184">
        <f>IF(ISERR(VLOOKUP(VALUE(AT$44),'HR DATA'!$A$4:$AA$54,9,0)="TRUE"),0,VLOOKUP(VALUE(AT$44),'HR DATA'!$A$4:$AA$54,9,0))</f>
        <v>0</v>
      </c>
      <c r="AU47" s="184">
        <f>IF(ISERR(VLOOKUP(VALUE(AU$44),'HR DATA'!$A$4:$AA$54,9,0)="TRUE"),0,VLOOKUP(VALUE(AU$44),'HR DATA'!$A$4:$AA$54,9,0))</f>
        <v>0</v>
      </c>
      <c r="AV47" s="184">
        <f>IF(ISERR(VLOOKUP(VALUE(AV$44),'HR DATA'!$A$4:$AA$54,9,0)="TRUE"),0,VLOOKUP(VALUE(AV$44),'HR DATA'!$A$4:$AA$54,9,0))</f>
        <v>32107.87999999999</v>
      </c>
      <c r="AW47" s="184">
        <f>IF(ISERR(VLOOKUP(VALUE(AW$44),'HR DATA'!$A$4:$AA$54,9,0)="TRUE"),0,VLOOKUP(VALUE(AW$44),'HR DATA'!$A$4:$AA$54,9,0))</f>
        <v>247744.16999999998</v>
      </c>
      <c r="AX47" s="184">
        <f>IF(ISERR(VLOOKUP(VALUE(AX$44),'HR DATA'!$A$4:$AA$54,9,0)="TRUE"),0,VLOOKUP(VALUE(AX$44),'HR DATA'!$A$4:$AA$54,9,0))</f>
        <v>0</v>
      </c>
      <c r="AY47" s="184">
        <f>IF(ISERR(VLOOKUP(VALUE(AY$44),'HR DATA'!$A$4:$AA$54,9,0)="TRUE"),0,VLOOKUP(VALUE(AY$44),'HR DATA'!$A$4:$AA$54,9,0))</f>
        <v>1228138.27</v>
      </c>
      <c r="AZ47" s="184">
        <f>IF(ISERR(VLOOKUP(VALUE(AZ$44),'HR DATA'!$A$4:$AA$54,9,0)="TRUE"),0,VLOOKUP(VALUE(AZ$44),'HR DATA'!$A$4:$AA$54,9,0))</f>
        <v>0</v>
      </c>
      <c r="BA47" s="184">
        <f>IF(ISERR(VLOOKUP(VALUE(BA$44),'HR DATA'!$A$4:$AA$54,9,0)="TRUE"),0,VLOOKUP(VALUE(BA$44),'HR DATA'!$A$4:$AA$54,9,0))</f>
        <v>45160.17</v>
      </c>
      <c r="BB47" s="184">
        <f>IF(ISERR(VLOOKUP(VALUE(BB$44),'HR DATA'!$A$4:$AA$54,9,0)="TRUE"),0,VLOOKUP(VALUE(BB$44),'HR DATA'!$A$4:$AA$54,9,0))</f>
        <v>0</v>
      </c>
      <c r="BC47" s="184">
        <f>IF(ISERR(VLOOKUP(VALUE(BC$44),'HR DATA'!$A$4:$AA$54,9,0)="TRUE"),0,VLOOKUP(VALUE(BC$44),'HR DATA'!$A$4:$AA$54,9,0))</f>
        <v>247912.95999999999</v>
      </c>
      <c r="BD47" s="184">
        <f>IF(ISERR(VLOOKUP(VALUE(BD$44),'HR DATA'!$A$4:$AA$54,9,0)="TRUE"),0,VLOOKUP(VALUE(BD$44),'HR DATA'!$A$4:$AA$54,9,0))</f>
        <v>0</v>
      </c>
      <c r="BE47" s="184">
        <f>IF(ISERR(VLOOKUP(VALUE(BE$44),'HR DATA'!$A$4:$AA$54,9,0)="TRUE"),0,VLOOKUP(VALUE(BE$44),'HR DATA'!$A$4:$AA$54,9,0))</f>
        <v>335644.81</v>
      </c>
      <c r="BF47" s="184">
        <f>IF(ISERR(VLOOKUP(VALUE(BF$44),'HR DATA'!$A$4:$AA$54,9,0)="TRUE"),0,VLOOKUP(VALUE(BF$44),'HR DATA'!$A$4:$AA$54,9,0))</f>
        <v>1181276.9900000002</v>
      </c>
      <c r="BG47" s="184">
        <f>IF(ISERR(VLOOKUP(VALUE(BG$44),'HR DATA'!$A$4:$AA$54,9,0)="TRUE"),0,VLOOKUP(VALUE(BG$44),'HR DATA'!$A$4:$AA$54,9,0))</f>
        <v>0</v>
      </c>
      <c r="BH47" s="184">
        <f>IF(ISERR(VLOOKUP(VALUE(BH$44),'HR DATA'!$A$4:$AA$54,9,0)="TRUE"),0,VLOOKUP(VALUE(BH$44),'HR DATA'!$A$4:$AA$54,9,0))</f>
        <v>0</v>
      </c>
      <c r="BI47" s="184">
        <f>IF(ISERR(VLOOKUP(VALUE(BI$44),'HR DATA'!$A$4:$AA$54,9,0)="TRUE"),0,VLOOKUP(VALUE(BI$44),'HR DATA'!$A$4:$AA$54,9,0))</f>
        <v>0</v>
      </c>
      <c r="BJ47" s="184">
        <f>IF(ISERR(VLOOKUP(VALUE(BJ$44),'HR DATA'!$A$4:$AA$54,9,0)="TRUE"),0,VLOOKUP(VALUE(BJ$44),'HR DATA'!$A$4:$AA$54,9,0))</f>
        <v>0</v>
      </c>
      <c r="BK47" s="184">
        <f>IF(ISERR(VLOOKUP(VALUE(BK$44),'HR DATA'!$A$4:$AA$54,9,0)="TRUE"),0,VLOOKUP(VALUE(BK$44),'HR DATA'!$A$4:$AA$54,9,0))</f>
        <v>0</v>
      </c>
      <c r="BL47" s="184">
        <f>IF(ISERR(VLOOKUP(VALUE(BL$44),'HR DATA'!$A$4:$AA$54,9,0)="TRUE"),0,VLOOKUP(VALUE(BL$44),'HR DATA'!$A$4:$AA$54,9,0))</f>
        <v>3.01</v>
      </c>
      <c r="BM47" s="184">
        <f>IF(ISERR(VLOOKUP(VALUE(BM$44),'HR DATA'!$A$4:$AA$54,9,0)="TRUE"),0,VLOOKUP(VALUE(BM$44),'HR DATA'!$A$4:$AA$54,9,0))</f>
        <v>0</v>
      </c>
      <c r="BN47" s="184">
        <f>IF(ISERR(VLOOKUP(VALUE(BN$44),'HR DATA'!$A$4:$AA$54,9,0)="TRUE"),0,VLOOKUP(VALUE(BN$44),'HR DATA'!$A$4:$AA$54,9,0))</f>
        <v>1170587.4099999999</v>
      </c>
      <c r="BO47" s="184">
        <f>IF(ISERR(VLOOKUP(VALUE(BO$44),'HR DATA'!$A$4:$AA$54,9,0)="TRUE"),0,VLOOKUP(VALUE(BO$44),'HR DATA'!$A$4:$AA$54,9,0))</f>
        <v>0</v>
      </c>
      <c r="BP47" s="184">
        <f>IF(ISERR(VLOOKUP(VALUE(BP$44),'HR DATA'!$A$4:$AA$54,9,0)="TRUE"),0,VLOOKUP(VALUE(BP$44),'HR DATA'!$A$4:$AA$54,9,0))</f>
        <v>0</v>
      </c>
      <c r="BQ47" s="184">
        <f>IF(ISERR(VLOOKUP(VALUE(BQ$44),'HR DATA'!$A$4:$AA$54,9,0)="TRUE"),0,VLOOKUP(VALUE(BQ$44),'HR DATA'!$A$4:$AA$54,9,0))</f>
        <v>0</v>
      </c>
      <c r="BR47" s="184">
        <f>IF(ISERR(VLOOKUP(VALUE(BR$44),'HR DATA'!$A$4:$AA$54,9,0)="TRUE"),0,VLOOKUP(VALUE(BR$44),'HR DATA'!$A$4:$AA$54,9,0))</f>
        <v>50.960000000144987</v>
      </c>
      <c r="BS47" s="184">
        <f>IF(ISERR(VLOOKUP(VALUE(BS$44),'HR DATA'!$A$4:$AA$54,9,0)="TRUE"),0,VLOOKUP(VALUE(BS$44),'HR DATA'!$A$4:$AA$54,9,0))</f>
        <v>0</v>
      </c>
      <c r="BT47" s="184">
        <f>IF(ISERR(VLOOKUP(VALUE(BT$44),'HR DATA'!$A$4:$AA$54,9,0)="TRUE"),0,VLOOKUP(VALUE(BT$44),'HR DATA'!$A$4:$AA$54,9,0))</f>
        <v>0</v>
      </c>
      <c r="BU47" s="184">
        <f>IF(ISERR(VLOOKUP(VALUE(BU$44),'HR DATA'!$A$4:$AA$54,9,0)="TRUE"),0,VLOOKUP(VALUE(BU$44),'HR DATA'!$A$4:$AA$54,9,0))</f>
        <v>0</v>
      </c>
      <c r="BV47" s="184">
        <f>IF(ISERR(VLOOKUP(VALUE(BV$44),'HR DATA'!$A$4:$AA$54,9,0)="TRUE"),0,VLOOKUP(VALUE(BV$44),'HR DATA'!$A$4:$AA$54,9,0))</f>
        <v>0</v>
      </c>
      <c r="BW47" s="184">
        <f>IF(ISERR(VLOOKUP(VALUE(BW$44),'HR DATA'!$A$4:$AA$54,9,0)="TRUE"),0,VLOOKUP(VALUE(BW$44),'HR DATA'!$A$4:$AA$54,9,0))</f>
        <v>0</v>
      </c>
      <c r="BX47" s="184">
        <f>IF(ISERR(VLOOKUP(VALUE(BX$44),'HR DATA'!$A$4:$AA$54,9,0)="TRUE"),0,VLOOKUP(VALUE(BX$44),'HR DATA'!$A$4:$AA$54,9,0))</f>
        <v>0</v>
      </c>
      <c r="BY47" s="184">
        <f>IF(ISERR(VLOOKUP(VALUE(BY$44),'HR DATA'!$A$4:$AA$54,9,0)="TRUE"),0,VLOOKUP(VALUE(BY$44),'HR DATA'!$A$4:$AA$54,9,0))</f>
        <v>693822.04</v>
      </c>
      <c r="BZ47" s="184">
        <f>IF(ISERR(VLOOKUP(VALUE(BZ$44),'HR DATA'!$A$4:$AA$54,9,0)="TRUE"),0,VLOOKUP(VALUE(BZ$44),'HR DATA'!$A$4:$AA$54,9,0))</f>
        <v>0</v>
      </c>
      <c r="CA47" s="184">
        <f>IF(ISERR(VLOOKUP(VALUE(CA$44),'HR DATA'!$A$4:$AA$54,9,0)="TRUE"),0,VLOOKUP(VALUE(CA$44),'HR DATA'!$A$4:$AA$54,9,0))</f>
        <v>236385.43</v>
      </c>
      <c r="CB47" s="184">
        <f>IF(ISERR(VLOOKUP(VALUE(CB$44),'HR DATA'!$A$4:$AA$54,9,0)="TRUE"),0,VLOOKUP(VALUE(CB$44),'HR DATA'!$A$4:$AA$54,9,0))</f>
        <v>0</v>
      </c>
      <c r="CC47" s="184">
        <f>IF(ISERR(VLOOKUP(VALUE(CC$44),'HR DATA'!$A$4:$AA$54,9,0)="TRUE"),0,VLOOKUP(VALUE(CC$44),'HR DATA'!$A$4:$AA$54,9,0))</f>
        <v>0</v>
      </c>
      <c r="CD47" s="193"/>
      <c r="CE47" s="193">
        <f>SUM(C47:CC47)</f>
        <v>41617712.240000002</v>
      </c>
    </row>
    <row r="48" spans="1:83" ht="12.6" customHeight="1">
      <c r="A48" s="175" t="s">
        <v>205</v>
      </c>
      <c r="B48" s="183">
        <f>1947</f>
        <v>1947</v>
      </c>
      <c r="C48" s="240">
        <f>ROUND(((B48/CE61)*C61),0)</f>
        <v>58</v>
      </c>
      <c r="D48" s="240">
        <f>ROUND(((B48/CE61)*D61),0)</f>
        <v>0</v>
      </c>
      <c r="E48" s="193">
        <f>ROUND(((B48/CE61)*E61),0)</f>
        <v>331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75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99</v>
      </c>
      <c r="Q48" s="193">
        <f>ROUND(((B48/CE61)*Q61),0)</f>
        <v>46</v>
      </c>
      <c r="R48" s="193">
        <f>ROUND(((B48/CE61)*R61),0)</f>
        <v>3</v>
      </c>
      <c r="S48" s="193">
        <f>ROUND(((B48/CE61)*S61),0)</f>
        <v>21</v>
      </c>
      <c r="T48" s="193">
        <f>ROUND(((B48/CE61)*T61),0)</f>
        <v>0</v>
      </c>
      <c r="U48" s="193">
        <f>ROUND(((B48/CE61)*U61),0)</f>
        <v>46</v>
      </c>
      <c r="V48" s="193">
        <f>ROUND(((B48/CE61)*V61),0)</f>
        <v>5</v>
      </c>
      <c r="W48" s="193">
        <f>ROUND(((B48/CE61)*W61),0)</f>
        <v>5</v>
      </c>
      <c r="X48" s="193">
        <f>ROUND(((B48/CE61)*X61),0)</f>
        <v>0</v>
      </c>
      <c r="Y48" s="193">
        <f>ROUND(((B48/CE61)*Y61),0)</f>
        <v>126</v>
      </c>
      <c r="Z48" s="193">
        <f>ROUND(((B48/CE61)*Z61),0)</f>
        <v>19</v>
      </c>
      <c r="AA48" s="193">
        <f>ROUND(((B48/CE61)*AA61),0)</f>
        <v>3</v>
      </c>
      <c r="AB48" s="193">
        <f>ROUND(((B48/CE61)*AB61),0)</f>
        <v>50</v>
      </c>
      <c r="AC48" s="193">
        <f>ROUND(((B48/CE61)*AC61),0)</f>
        <v>48</v>
      </c>
      <c r="AD48" s="193">
        <f>ROUND(((B48/CE61)*AD61),0)</f>
        <v>0</v>
      </c>
      <c r="AE48" s="193">
        <f>ROUND(((B48/CE61)*AE61),0)</f>
        <v>30</v>
      </c>
      <c r="AF48" s="193">
        <f>ROUND(((B48/CE61)*AF61),0)</f>
        <v>0</v>
      </c>
      <c r="AG48" s="193">
        <f>ROUND(((B48/CE61)*AG61),0)</f>
        <v>118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582</v>
      </c>
      <c r="AK48" s="193">
        <f>ROUND(((B48/CE61)*AK61),0)</f>
        <v>9</v>
      </c>
      <c r="AL48" s="193">
        <f>ROUND(((B48/CE61)*AL61),0)</f>
        <v>5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69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2</v>
      </c>
      <c r="AW48" s="193">
        <f>ROUND(((B48/CE61)*AW61),0)</f>
        <v>9</v>
      </c>
      <c r="AX48" s="193">
        <f>ROUND(((B48/CE61)*AX61),0)</f>
        <v>0</v>
      </c>
      <c r="AY48" s="193">
        <f>ROUND(((B48/CE61)*AY61),0)</f>
        <v>33</v>
      </c>
      <c r="AZ48" s="193">
        <f>ROUND(((B48/CE61)*AZ61),0)</f>
        <v>0</v>
      </c>
      <c r="BA48" s="193">
        <f>ROUND(((B48/CE61)*BA61),0)</f>
        <v>1</v>
      </c>
      <c r="BB48" s="193">
        <f>ROUND(((B48/CE61)*BB61),0)</f>
        <v>0</v>
      </c>
      <c r="BC48" s="193">
        <f>ROUND(((B48/CE61)*BC61),0)</f>
        <v>6</v>
      </c>
      <c r="BD48" s="193">
        <f>ROUND(((B48/CE61)*BD61),0)</f>
        <v>0</v>
      </c>
      <c r="BE48" s="193">
        <f>ROUND(((B48/CE61)*BE61),0)</f>
        <v>12</v>
      </c>
      <c r="BF48" s="193">
        <f>ROUND(((B48/CE61)*BF61),0)</f>
        <v>31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59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31</v>
      </c>
      <c r="BZ48" s="193">
        <f>ROUND(((B48/CE61)*BZ61),0)</f>
        <v>0</v>
      </c>
      <c r="CA48" s="193">
        <f>ROUND(((B48/CE61)*CA61),0)</f>
        <v>10</v>
      </c>
      <c r="CB48" s="193">
        <f>ROUND(((B48/CE61)*CB61),0)</f>
        <v>0</v>
      </c>
      <c r="CC48" s="193">
        <f>ROUND(((B48/CE61)*CC61),0)</f>
        <v>3</v>
      </c>
      <c r="CD48" s="193"/>
      <c r="CE48" s="193">
        <f>SUM(C48:CD48)</f>
        <v>1945</v>
      </c>
    </row>
    <row r="49" spans="1:84" ht="12.6" customHeight="1">
      <c r="A49" s="175" t="s">
        <v>206</v>
      </c>
      <c r="B49" s="193">
        <f>B47+B48</f>
        <v>41619655.539999999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>
      <c r="A51" s="171" t="s">
        <v>207</v>
      </c>
      <c r="B51" s="184">
        <v>16809939.32</v>
      </c>
      <c r="C51" s="184">
        <f>IF(ISERR(VLOOKUP(VALUE(C$44),'HR DATA'!$A$4:$AA$54,15,0)="TRUE"),0,VLOOKUP(VALUE(C$44),'HR DATA'!$A$4:$AA$54,15,0))</f>
        <v>150414.71</v>
      </c>
      <c r="D51" s="184">
        <f>IF(ISERR(VLOOKUP(VALUE(D$44),'HR DATA'!$A$4:$AA$54,15,0)="TRUE"),0,VLOOKUP(VALUE(D$44),'HR DATA'!$A$4:$AA$54,15,0))</f>
        <v>0</v>
      </c>
      <c r="E51" s="184">
        <f>IF(ISERR(VLOOKUP(VALUE(E$44),'HR DATA'!$A$4:$AA$54,15,0)="TRUE"),0,VLOOKUP(VALUE(E$44),'HR DATA'!$A$4:$AA$54,15,0))</f>
        <v>231847.16</v>
      </c>
      <c r="F51" s="184">
        <f>IF(ISERR(VLOOKUP(VALUE(F$44),'HR DATA'!$A$4:$AA$54,15,0)="TRUE"),0,VLOOKUP(VALUE(F$44),'HR DATA'!$A$4:$AA$54,15,0))</f>
        <v>0</v>
      </c>
      <c r="G51" s="184">
        <f>IF(ISERR(VLOOKUP(VALUE(G$44),'HR DATA'!$A$4:$AA$54,15,0)="TRUE"),0,VLOOKUP(VALUE(G$44),'HR DATA'!$A$4:$AA$54,15,0))</f>
        <v>0</v>
      </c>
      <c r="H51" s="184">
        <f>IF(ISERR(VLOOKUP(VALUE(H$44),'HR DATA'!$A$4:$AA$54,15,0)="TRUE"),0,VLOOKUP(VALUE(H$44),'HR DATA'!$A$4:$AA$54,15,0))</f>
        <v>0</v>
      </c>
      <c r="I51" s="184">
        <f>IF(ISERR(VLOOKUP(VALUE(I$44),'HR DATA'!$A$4:$AA$54,15,0)="TRUE"),0,VLOOKUP(VALUE(I$44),'HR DATA'!$A$4:$AA$54,15,0))</f>
        <v>0</v>
      </c>
      <c r="J51" s="184">
        <f>IF(ISERR(VLOOKUP(VALUE(J$44),'HR DATA'!$A$4:$AA$54,15,0)="TRUE"),0,VLOOKUP(VALUE(J$44),'HR DATA'!$A$4:$AA$54,15,0))</f>
        <v>229836.4</v>
      </c>
      <c r="K51" s="184">
        <f>IF(ISERR(VLOOKUP(VALUE(K$44),'HR DATA'!$A$4:$AA$54,15,0)="TRUE"),0,VLOOKUP(VALUE(K$44),'HR DATA'!$A$4:$AA$54,15,0))</f>
        <v>0</v>
      </c>
      <c r="L51" s="184">
        <f>IF(ISERR(VLOOKUP(VALUE(L$44),'HR DATA'!$A$4:$AA$54,15,0)="TRUE"),0,VLOOKUP(VALUE(L$44),'HR DATA'!$A$4:$AA$54,15,0))</f>
        <v>0</v>
      </c>
      <c r="M51" s="184">
        <f>IF(ISERR(VLOOKUP(VALUE(M$44),'HR DATA'!$A$4:$AA$54,15,0)="TRUE"),0,VLOOKUP(VALUE(M$44),'HR DATA'!$A$4:$AA$54,15,0))</f>
        <v>0</v>
      </c>
      <c r="N51" s="184">
        <f>IF(ISERR(VLOOKUP(VALUE(N$44),'HR DATA'!$A$4:$AA$54,15,0)="TRUE"),0,VLOOKUP(VALUE(N$44),'HR DATA'!$A$4:$AA$54,15,0))</f>
        <v>0</v>
      </c>
      <c r="O51" s="184">
        <f>IF(ISERR(VLOOKUP(VALUE(O$44),'HR DATA'!$A$4:$AA$54,15,0)="TRUE"),0,VLOOKUP(VALUE(O$44),'HR DATA'!$A$4:$AA$54,15,0))</f>
        <v>0</v>
      </c>
      <c r="P51" s="184">
        <f>IF(ISERR(VLOOKUP(VALUE(P$44),'HR DATA'!$A$4:$AA$54,15,0)="TRUE"),0,VLOOKUP(VALUE(P$44),'HR DATA'!$A$4:$AA$54,15,0))</f>
        <v>4541946.32</v>
      </c>
      <c r="Q51" s="184">
        <f>IF(ISERR(VLOOKUP(VALUE(Q$44),'HR DATA'!$A$4:$AA$54,15,0)="TRUE"),0,VLOOKUP(VALUE(Q$44),'HR DATA'!$A$4:$AA$54,15,0))</f>
        <v>9408.7800000000007</v>
      </c>
      <c r="R51" s="184">
        <f>IF(ISERR(VLOOKUP(VALUE(R$44),'HR DATA'!$A$4:$AA$54,15,0)="TRUE"),0,VLOOKUP(VALUE(R$44),'HR DATA'!$A$4:$AA$54,15,0))</f>
        <v>0</v>
      </c>
      <c r="S51" s="184">
        <f>IF(ISERR(VLOOKUP(VALUE(S$44),'HR DATA'!$A$4:$AA$54,15,0)="TRUE"),0,VLOOKUP(VALUE(S$44),'HR DATA'!$A$4:$AA$54,15,0))</f>
        <v>206248.56</v>
      </c>
      <c r="T51" s="184">
        <f>IF(ISERR(VLOOKUP(VALUE(T$44),'HR DATA'!$A$4:$AA$54,15,0)="TRUE"),0,VLOOKUP(VALUE(T$44),'HR DATA'!$A$4:$AA$54,15,0))</f>
        <v>0</v>
      </c>
      <c r="U51" s="184">
        <f>IF(ISERR(VLOOKUP(VALUE(U$44),'HR DATA'!$A$4:$AA$54,15,0)="TRUE"),0,VLOOKUP(VALUE(U$44),'HR DATA'!$A$4:$AA$54,15,0))</f>
        <v>81539.820000000007</v>
      </c>
      <c r="V51" s="184">
        <f>IF(ISERR(VLOOKUP(VALUE(V$44),'HR DATA'!$A$4:$AA$54,15,0)="TRUE"),0,VLOOKUP(VALUE(V$44),'HR DATA'!$A$4:$AA$54,15,0))</f>
        <v>164028.62</v>
      </c>
      <c r="W51" s="184">
        <f>IF(ISERR(VLOOKUP(VALUE(W$44),'HR DATA'!$A$4:$AA$54,15,0)="TRUE"),0,VLOOKUP(VALUE(W$44),'HR DATA'!$A$4:$AA$54,15,0))</f>
        <v>7428.58</v>
      </c>
      <c r="X51" s="184">
        <f>IF(ISERR(VLOOKUP(VALUE(X$44),'HR DATA'!$A$4:$AA$54,15,0)="TRUE"),0,VLOOKUP(VALUE(X$44),'HR DATA'!$A$4:$AA$54,15,0))</f>
        <v>0</v>
      </c>
      <c r="Y51" s="184">
        <f>IF(ISERR(VLOOKUP(VALUE(Y$44),'HR DATA'!$A$4:$AA$54,15,0)="TRUE"),0,VLOOKUP(VALUE(Y$44),'HR DATA'!$A$4:$AA$54,15,0))</f>
        <v>1705522.2500000005</v>
      </c>
      <c r="Z51" s="184">
        <f>IF(ISERR(VLOOKUP(VALUE(Z$44),'HR DATA'!$A$4:$AA$54,15,0)="TRUE"),0,VLOOKUP(VALUE(Z$44),'HR DATA'!$A$4:$AA$54,15,0))</f>
        <v>115591.27</v>
      </c>
      <c r="AA51" s="184">
        <f>IF(ISERR(VLOOKUP(VALUE(AA$44),'HR DATA'!$A$4:$AA$54,15,0)="TRUE"),0,VLOOKUP(VALUE(AA$44),'HR DATA'!$A$4:$AA$54,15,0))</f>
        <v>135303.47</v>
      </c>
      <c r="AB51" s="184">
        <f>IF(ISERR(VLOOKUP(VALUE(AB$44),'HR DATA'!$A$4:$AA$54,15,0)="TRUE"),0,VLOOKUP(VALUE(AB$44),'HR DATA'!$A$4:$AA$54,15,0))</f>
        <v>297687.03000000003</v>
      </c>
      <c r="AC51" s="184">
        <f>IF(ISERR(VLOOKUP(VALUE(AC$44),'HR DATA'!$A$4:$AA$54,15,0)="TRUE"),0,VLOOKUP(VALUE(AC$44),'HR DATA'!$A$4:$AA$54,15,0))</f>
        <v>199965.62999999995</v>
      </c>
      <c r="AD51" s="184">
        <f>IF(ISERR(VLOOKUP(VALUE(AD$44),'HR DATA'!$A$4:$AA$54,15,0)="TRUE"),0,VLOOKUP(VALUE(AD$44),'HR DATA'!$A$4:$AA$54,15,0))</f>
        <v>0</v>
      </c>
      <c r="AE51" s="184">
        <f>IF(ISERR(VLOOKUP(VALUE(AE$44),'HR DATA'!$A$4:$AA$54,15,0)="TRUE"),0,VLOOKUP(VALUE(AE$44),'HR DATA'!$A$4:$AA$54,15,0))</f>
        <v>158427.04</v>
      </c>
      <c r="AF51" s="184">
        <f>IF(ISERR(VLOOKUP(VALUE(AF$44),'HR DATA'!$A$4:$AA$54,15,0)="TRUE"),0,VLOOKUP(VALUE(AF$44),'HR DATA'!$A$4:$AA$54,15,0))</f>
        <v>0</v>
      </c>
      <c r="AG51" s="184">
        <f>IF(ISERR(VLOOKUP(VALUE(AG$44),'HR DATA'!$A$4:$AA$54,15,0)="TRUE"),0,VLOOKUP(VALUE(AG$44),'HR DATA'!$A$4:$AA$54,15,0))</f>
        <v>216836.53999999998</v>
      </c>
      <c r="AH51" s="184">
        <f>IF(ISERR(VLOOKUP(VALUE(AH$44),'HR DATA'!$A$4:$AA$54,15,0)="TRUE"),0,VLOOKUP(VALUE(AH$44),'HR DATA'!$A$4:$AA$54,15,0))</f>
        <v>0</v>
      </c>
      <c r="AI51" s="184">
        <f>IF(ISERR(VLOOKUP(VALUE(AI$44),'HR DATA'!$A$4:$AA$54,15,0)="TRUE"),0,VLOOKUP(VALUE(AI$44),'HR DATA'!$A$4:$AA$54,15,0))</f>
        <v>0</v>
      </c>
      <c r="AJ51" s="184">
        <f>IF(ISERR(VLOOKUP(VALUE(AJ$44),'HR DATA'!$A$4:$AA$54,15,0)="TRUE"),0,VLOOKUP(VALUE(AJ$44),'HR DATA'!$A$4:$AA$54,15,0))</f>
        <v>6289601.5700000003</v>
      </c>
      <c r="AK51" s="184">
        <f>IF(ISERR(VLOOKUP(VALUE(AK$44),'HR DATA'!$A$4:$AA$54,15,0)="TRUE"),0,VLOOKUP(VALUE(AK$44),'HR DATA'!$A$4:$AA$54,15,0))</f>
        <v>0</v>
      </c>
      <c r="AL51" s="184">
        <f>IF(ISERR(VLOOKUP(VALUE(AL$44),'HR DATA'!$A$4:$AA$54,15,0)="TRUE"),0,VLOOKUP(VALUE(AL$44),'HR DATA'!$A$4:$AA$54,15,0))</f>
        <v>0</v>
      </c>
      <c r="AM51" s="184">
        <f>IF(ISERR(VLOOKUP(VALUE(AM$44),'HR DATA'!$A$4:$AA$54,15,0)="TRUE"),0,VLOOKUP(VALUE(AM$44),'HR DATA'!$A$4:$AA$54,15,0))</f>
        <v>0</v>
      </c>
      <c r="AN51" s="184">
        <f>IF(ISERR(VLOOKUP(VALUE(AN$44),'HR DATA'!$A$4:$AA$54,15,0)="TRUE"),0,VLOOKUP(VALUE(AN$44),'HR DATA'!$A$4:$AA$54,15,0))</f>
        <v>0</v>
      </c>
      <c r="AO51" s="184">
        <f>IF(ISERR(VLOOKUP(VALUE(AO$44),'HR DATA'!$A$4:$AA$54,15,0)="TRUE"),0,VLOOKUP(VALUE(AO$44),'HR DATA'!$A$4:$AA$54,15,0))</f>
        <v>0</v>
      </c>
      <c r="AP51" s="184">
        <f>IF(ISERR(VLOOKUP(VALUE(AP$44),'HR DATA'!$A$4:$AA$54,15,0)="TRUE"),0,VLOOKUP(VALUE(AP$44),'HR DATA'!$A$4:$AA$54,15,0))</f>
        <v>828749.06999999983</v>
      </c>
      <c r="AQ51" s="184">
        <f>IF(ISERR(VLOOKUP(VALUE(AQ$44),'HR DATA'!$A$4:$AA$54,15,0)="TRUE"),0,VLOOKUP(VALUE(AQ$44),'HR DATA'!$A$4:$AA$54,15,0))</f>
        <v>0</v>
      </c>
      <c r="AR51" s="184">
        <f>IF(ISERR(VLOOKUP(VALUE(AR$44),'HR DATA'!$A$4:$AA$54,15,0)="TRUE"),0,VLOOKUP(VALUE(AR$44),'HR DATA'!$A$4:$AA$54,15,0))</f>
        <v>0</v>
      </c>
      <c r="AS51" s="184">
        <f>IF(ISERR(VLOOKUP(VALUE(AS$44),'HR DATA'!$A$4:$AA$54,15,0)="TRUE"),0,VLOOKUP(VALUE(AS$44),'HR DATA'!$A$4:$AA$54,15,0))</f>
        <v>0</v>
      </c>
      <c r="AT51" s="184">
        <f>IF(ISERR(VLOOKUP(VALUE(AT$44),'HR DATA'!$A$4:$AA$54,15,0)="TRUE"),0,VLOOKUP(VALUE(AT$44),'HR DATA'!$A$4:$AA$54,15,0))</f>
        <v>0</v>
      </c>
      <c r="AU51" s="184">
        <f>IF(ISERR(VLOOKUP(VALUE(AU$44),'HR DATA'!$A$4:$AA$54,15,0)="TRUE"),0,VLOOKUP(VALUE(AU$44),'HR DATA'!$A$4:$AA$54,15,0))</f>
        <v>0</v>
      </c>
      <c r="AV51" s="184">
        <f>IF(ISERR(VLOOKUP(VALUE(AV$44),'HR DATA'!$A$4:$AA$54,15,0)="TRUE"),0,VLOOKUP(VALUE(AV$44),'HR DATA'!$A$4:$AA$54,15,0))</f>
        <v>0</v>
      </c>
      <c r="AW51" s="184">
        <f>IF(ISERR(VLOOKUP(VALUE(AW$44),'HR DATA'!$A$4:$AA$54,15,0)="TRUE"),0,VLOOKUP(VALUE(AW$44),'HR DATA'!$A$4:$AA$54,15,0))</f>
        <v>0</v>
      </c>
      <c r="AX51" s="184">
        <f>IF(ISERR(VLOOKUP(VALUE(AX$44),'HR DATA'!$A$4:$AA$54,15,0)="TRUE"),0,VLOOKUP(VALUE(AX$44),'HR DATA'!$A$4:$AA$54,15,0))</f>
        <v>0</v>
      </c>
      <c r="AY51" s="184">
        <f>IF(ISERR(VLOOKUP(VALUE(AY$44),'HR DATA'!$A$4:$AA$54,15,0)="TRUE"),0,VLOOKUP(VALUE(AY$44),'HR DATA'!$A$4:$AA$54,15,0))</f>
        <v>187724.98</v>
      </c>
      <c r="AZ51" s="184">
        <f>IF(ISERR(VLOOKUP(VALUE(AZ$44),'HR DATA'!$A$4:$AA$54,15,0)="TRUE"),0,VLOOKUP(VALUE(AZ$44),'HR DATA'!$A$4:$AA$54,15,0))</f>
        <v>0</v>
      </c>
      <c r="BA51" s="184">
        <f>IF(ISERR(VLOOKUP(VALUE(BA$44),'HR DATA'!$A$4:$AA$54,15,0)="TRUE"),0,VLOOKUP(VALUE(BA$44),'HR DATA'!$A$4:$AA$54,15,0))</f>
        <v>0</v>
      </c>
      <c r="BB51" s="184">
        <f>IF(ISERR(VLOOKUP(VALUE(BB$44),'HR DATA'!$A$4:$AA$54,15,0)="TRUE"),0,VLOOKUP(VALUE(BB$44),'HR DATA'!$A$4:$AA$54,15,0))</f>
        <v>0</v>
      </c>
      <c r="BC51" s="184">
        <f>IF(ISERR(VLOOKUP(VALUE(BC$44),'HR DATA'!$A$4:$AA$54,15,0)="TRUE"),0,VLOOKUP(VALUE(BC$44),'HR DATA'!$A$4:$AA$54,15,0))</f>
        <v>6602.56</v>
      </c>
      <c r="BD51" s="184">
        <f>IF(ISERR(VLOOKUP(VALUE(BD$44),'HR DATA'!$A$4:$AA$54,15,0)="TRUE"),0,VLOOKUP(VALUE(BD$44),'HR DATA'!$A$4:$AA$54,15,0))</f>
        <v>0</v>
      </c>
      <c r="BE51" s="184">
        <f>IF(ISERR(VLOOKUP(VALUE(BE$44),'HR DATA'!$A$4:$AA$54,15,0)="TRUE"),0,VLOOKUP(VALUE(BE$44),'HR DATA'!$A$4:$AA$54,15,0))</f>
        <v>549848.1100000001</v>
      </c>
      <c r="BF51" s="184">
        <f>IF(ISERR(VLOOKUP(VALUE(BF$44),'HR DATA'!$A$4:$AA$54,15,0)="TRUE"),0,VLOOKUP(VALUE(BF$44),'HR DATA'!$A$4:$AA$54,15,0))</f>
        <v>2775.13</v>
      </c>
      <c r="BG51" s="184">
        <f>IF(ISERR(VLOOKUP(VALUE(BG$44),'HR DATA'!$A$4:$AA$54,15,0)="TRUE"),0,VLOOKUP(VALUE(BG$44),'HR DATA'!$A$4:$AA$54,15,0))</f>
        <v>87460.71</v>
      </c>
      <c r="BH51" s="184">
        <f>IF(ISERR(VLOOKUP(VALUE(BH$44),'HR DATA'!$A$4:$AA$54,15,0)="TRUE"),0,VLOOKUP(VALUE(BH$44),'HR DATA'!$A$4:$AA$54,15,0))</f>
        <v>0</v>
      </c>
      <c r="BI51" s="184">
        <f>IF(ISERR(VLOOKUP(VALUE(BI$44),'HR DATA'!$A$4:$AA$54,15,0)="TRUE"),0,VLOOKUP(VALUE(BI$44),'HR DATA'!$A$4:$AA$54,15,0))</f>
        <v>0</v>
      </c>
      <c r="BJ51" s="184">
        <f>IF(ISERR(VLOOKUP(VALUE(BJ$44),'HR DATA'!$A$4:$AA$54,15,0)="TRUE"),0,VLOOKUP(VALUE(BJ$44),'HR DATA'!$A$4:$AA$54,15,0))</f>
        <v>0</v>
      </c>
      <c r="BK51" s="184">
        <f>IF(ISERR(VLOOKUP(VALUE(BK$44),'HR DATA'!$A$4:$AA$54,15,0)="TRUE"),0,VLOOKUP(VALUE(BK$44),'HR DATA'!$A$4:$AA$54,15,0))</f>
        <v>4311.7700000000004</v>
      </c>
      <c r="BL51" s="184">
        <f>IF(ISERR(VLOOKUP(VALUE(BL$44),'HR DATA'!$A$4:$AA$54,15,0)="TRUE"),0,VLOOKUP(VALUE(BL$44),'HR DATA'!$A$4:$AA$54,15,0))</f>
        <v>0</v>
      </c>
      <c r="BM51" s="184">
        <f>IF(ISERR(VLOOKUP(VALUE(BM$44),'HR DATA'!$A$4:$AA$54,15,0)="TRUE"),0,VLOOKUP(VALUE(BM$44),'HR DATA'!$A$4:$AA$54,15,0))</f>
        <v>0</v>
      </c>
      <c r="BN51" s="184">
        <f>IF(ISERR(VLOOKUP(VALUE(BN$44),'HR DATA'!$A$4:$AA$54,15,0)="TRUE"),0,VLOOKUP(VALUE(BN$44),'HR DATA'!$A$4:$AA$54,15,0))</f>
        <v>115310.54999999999</v>
      </c>
      <c r="BO51" s="184">
        <f>IF(ISERR(VLOOKUP(VALUE(BO$44),'HR DATA'!$A$4:$AA$54,15,0)="TRUE"),0,VLOOKUP(VALUE(BO$44),'HR DATA'!$A$4:$AA$54,15,0))</f>
        <v>0</v>
      </c>
      <c r="BP51" s="184">
        <f>IF(ISERR(VLOOKUP(VALUE(BP$44),'HR DATA'!$A$4:$AA$54,15,0)="TRUE"),0,VLOOKUP(VALUE(BP$44),'HR DATA'!$A$4:$AA$54,15,0))</f>
        <v>0</v>
      </c>
      <c r="BQ51" s="184">
        <f>IF(ISERR(VLOOKUP(VALUE(BQ$44),'HR DATA'!$A$4:$AA$54,15,0)="TRUE"),0,VLOOKUP(VALUE(BQ$44),'HR DATA'!$A$4:$AA$54,15,0))</f>
        <v>0</v>
      </c>
      <c r="BR51" s="184">
        <f>IF(ISERR(VLOOKUP(VALUE(BR$44),'HR DATA'!$A$4:$AA$54,15,0)="TRUE"),0,VLOOKUP(VALUE(BR$44),'HR DATA'!$A$4:$AA$54,15,0))</f>
        <v>0</v>
      </c>
      <c r="BS51" s="184">
        <f>IF(ISERR(VLOOKUP(VALUE(BS$44),'HR DATA'!$A$4:$AA$54,15,0)="TRUE"),0,VLOOKUP(VALUE(BS$44),'HR DATA'!$A$4:$AA$54,15,0))</f>
        <v>0</v>
      </c>
      <c r="BT51" s="184">
        <f>IF(ISERR(VLOOKUP(VALUE(BT$44),'HR DATA'!$A$4:$AA$54,15,0)="TRUE"),0,VLOOKUP(VALUE(BT$44),'HR DATA'!$A$4:$AA$54,15,0))</f>
        <v>0</v>
      </c>
      <c r="BU51" s="184">
        <f>IF(ISERR(VLOOKUP(VALUE(BU$44),'HR DATA'!$A$4:$AA$54,15,0)="TRUE"),0,VLOOKUP(VALUE(BU$44),'HR DATA'!$A$4:$AA$54,15,0))</f>
        <v>0</v>
      </c>
      <c r="BV51" s="184">
        <f>IF(ISERR(VLOOKUP(VALUE(BV$44),'HR DATA'!$A$4:$AA$54,15,0)="TRUE"),0,VLOOKUP(VALUE(BV$44),'HR DATA'!$A$4:$AA$54,15,0))</f>
        <v>4004.76</v>
      </c>
      <c r="BW51" s="184">
        <f>IF(ISERR(VLOOKUP(VALUE(BW$44),'HR DATA'!$A$4:$AA$54,15,0)="TRUE"),0,VLOOKUP(VALUE(BW$44),'HR DATA'!$A$4:$AA$54,15,0))</f>
        <v>0</v>
      </c>
      <c r="BX51" s="184">
        <f>IF(ISERR(VLOOKUP(VALUE(BX$44),'HR DATA'!$A$4:$AA$54,15,0)="TRUE"),0,VLOOKUP(VALUE(BX$44),'HR DATA'!$A$4:$AA$54,15,0))</f>
        <v>0</v>
      </c>
      <c r="BY51" s="184">
        <f>IF(ISERR(VLOOKUP(VALUE(BY$44),'HR DATA'!$A$4:$AA$54,15,0)="TRUE"),0,VLOOKUP(VALUE(BY$44),'HR DATA'!$A$4:$AA$54,15,0))</f>
        <v>277563.17</v>
      </c>
      <c r="BZ51" s="184">
        <f>IF(ISERR(VLOOKUP(VALUE(BZ$44),'HR DATA'!$A$4:$AA$54,15,0)="TRUE"),0,VLOOKUP(VALUE(BZ$44),'HR DATA'!$A$4:$AA$54,15,0))</f>
        <v>0</v>
      </c>
      <c r="CA51" s="184">
        <f>IF(ISERR(VLOOKUP(VALUE(CA$44),'HR DATA'!$A$4:$AA$54,15,0)="TRUE"),0,VLOOKUP(VALUE(CA$44),'HR DATA'!$A$4:$AA$54,15,0))</f>
        <v>3955.16</v>
      </c>
      <c r="CB51" s="184">
        <f>IF(ISERR(VLOOKUP(VALUE(CB$44),'HR DATA'!$A$4:$AA$54,15,0)="TRUE"),0,VLOOKUP(VALUE(CB$44),'HR DATA'!$A$4:$AA$54,15,0))</f>
        <v>0</v>
      </c>
      <c r="CC51" s="184">
        <f>IF(ISERR(VLOOKUP(VALUE(CC$44),'HR DATA'!$A$4:$AA$54,15,0)="TRUE"),0,VLOOKUP(VALUE(CC$44),'HR DATA'!$A$4:$AA$54,15,0))</f>
        <v>0</v>
      </c>
      <c r="CD51" s="193"/>
      <c r="CE51" s="193">
        <f>SUM(C51:CD51)</f>
        <v>16809939.720000003</v>
      </c>
    </row>
    <row r="52" spans="1:84" ht="12.6" customHeight="1">
      <c r="A52" s="171" t="s">
        <v>208</v>
      </c>
      <c r="B52" s="184">
        <f>29405739+20787</f>
        <v>29426526</v>
      </c>
      <c r="C52" s="193">
        <f>ROUND((B52/(CE76+CF76)*C76),0)</f>
        <v>448574</v>
      </c>
      <c r="D52" s="193">
        <f>ROUND((B52/(CE76+CF76)*D76),0)</f>
        <v>0</v>
      </c>
      <c r="E52" s="193">
        <f>ROUND((B52/(CE76+CF76)*E76),0)</f>
        <v>4602474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817680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2996680</v>
      </c>
      <c r="Q52" s="193">
        <f>ROUND((B52/(CE76+CF76)*Q76),0)</f>
        <v>439756</v>
      </c>
      <c r="R52" s="193">
        <f>ROUND((B52/(CE76+CF76)*R76),0)</f>
        <v>5913</v>
      </c>
      <c r="S52" s="193">
        <f>ROUND((B52/(CE76+CF76)*S76),0)</f>
        <v>429153</v>
      </c>
      <c r="T52" s="193">
        <f>ROUND((B52/(CE76+CF76)*T76),0)</f>
        <v>0</v>
      </c>
      <c r="U52" s="193">
        <f>ROUND((B52/(CE76+CF76)*U76),0)</f>
        <v>681731</v>
      </c>
      <c r="V52" s="193">
        <f>ROUND((B52/(CE76+CF76)*V76),0)</f>
        <v>0</v>
      </c>
      <c r="W52" s="193">
        <f>ROUND((B52/(CE76+CF76)*W76),0)</f>
        <v>111736</v>
      </c>
      <c r="X52" s="193">
        <f>ROUND((B52/(CE76+CF76)*X76),0)</f>
        <v>0</v>
      </c>
      <c r="Y52" s="193">
        <f>ROUND((B52/(CE76+CF76)*Y76),0)</f>
        <v>1176131</v>
      </c>
      <c r="Z52" s="193">
        <f>ROUND((B52/(CE76+CF76)*Z76),0)</f>
        <v>600121</v>
      </c>
      <c r="AA52" s="193">
        <f>ROUND((B52/(CE76+CF76)*AA76),0)</f>
        <v>0</v>
      </c>
      <c r="AB52" s="193">
        <f>ROUND((B52/(CE76+CF76)*AB76),0)</f>
        <v>283010</v>
      </c>
      <c r="AC52" s="193">
        <f>ROUND((B52/(CE76+CF76)*AC76),0)</f>
        <v>387864</v>
      </c>
      <c r="AD52" s="193">
        <f>ROUND((B52/(CE76+CF76)*AD76),0)</f>
        <v>41289</v>
      </c>
      <c r="AE52" s="193">
        <f>ROUND((B52/(CE76+CF76)*AE76),0)</f>
        <v>1113790</v>
      </c>
      <c r="AF52" s="193">
        <f>ROUND((B52/(CE76+CF76)*AF76),0)</f>
        <v>0</v>
      </c>
      <c r="AG52" s="193">
        <f>ROUND((B52/(CE76+CF76)*AG76),0)</f>
        <v>1453279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238611</v>
      </c>
      <c r="AL52" s="193">
        <f>ROUND((B52/(CE76+CF76)*AL76),0)</f>
        <v>78501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3235444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161538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976261</v>
      </c>
      <c r="AZ52" s="193">
        <f>ROUND((B52/(CE76+CF76)*AZ76),0)</f>
        <v>0</v>
      </c>
      <c r="BA52" s="193">
        <f>ROUND((B52/(CE76+CF76)*BA76),0)</f>
        <v>189523</v>
      </c>
      <c r="BB52" s="193">
        <f>ROUND((B52/(CE76+CF76)*BB76),0)</f>
        <v>58315</v>
      </c>
      <c r="BC52" s="193">
        <f>ROUND((B52/(CE76+CF76)*BC76),0)</f>
        <v>0</v>
      </c>
      <c r="BD52" s="193">
        <f>ROUND((B52/(CE76+CF76)*BD76),0)</f>
        <v>2681965</v>
      </c>
      <c r="BE52" s="193">
        <f>ROUND((B52/(CE76+CF76)*BE76),0)</f>
        <v>4146713</v>
      </c>
      <c r="BF52" s="193">
        <f>ROUND((B52/(CE76+CF76)*BF76),0)</f>
        <v>553174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550625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216692</v>
      </c>
      <c r="BT52" s="193">
        <f>ROUND((B52/(CE76+CF76)*BT76),0)</f>
        <v>0</v>
      </c>
      <c r="BU52" s="193">
        <f>ROUND((B52/(CE76+CF76)*BU76),0)</f>
        <v>137019</v>
      </c>
      <c r="BV52" s="193">
        <f>ROUND((B52/(CE76+CF76)*BV76),0)</f>
        <v>384092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134419</v>
      </c>
      <c r="BZ52" s="193">
        <f>ROUND((B52/(CE76+CF76)*BZ76),0)</f>
        <v>0</v>
      </c>
      <c r="CA52" s="193">
        <f>ROUND((B52/(CE76+CF76)*CA76),0)</f>
        <v>94455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29426528</v>
      </c>
    </row>
    <row r="53" spans="1:84" ht="12.6" customHeight="1">
      <c r="A53" s="175" t="s">
        <v>206</v>
      </c>
      <c r="B53" s="193">
        <f>B51+B52</f>
        <v>46236465.32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>
      <c r="A59" s="171" t="s">
        <v>233</v>
      </c>
      <c r="B59" s="175"/>
      <c r="C59" s="184">
        <v>4916</v>
      </c>
      <c r="D59" s="184">
        <v>0</v>
      </c>
      <c r="E59" s="184">
        <v>56659</v>
      </c>
      <c r="F59" s="184">
        <v>0</v>
      </c>
      <c r="G59" s="184">
        <v>0</v>
      </c>
      <c r="H59" s="184">
        <v>0</v>
      </c>
      <c r="I59" s="184">
        <v>0</v>
      </c>
      <c r="J59" s="184">
        <v>3964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1103372</v>
      </c>
      <c r="Q59" s="185">
        <v>34537</v>
      </c>
      <c r="R59" s="185">
        <v>642960</v>
      </c>
      <c r="S59" s="243"/>
      <c r="T59" s="243"/>
      <c r="U59" s="220">
        <v>1127200</v>
      </c>
      <c r="V59" s="185">
        <v>37304</v>
      </c>
      <c r="W59" s="185">
        <v>3374</v>
      </c>
      <c r="X59" s="185">
        <v>0</v>
      </c>
      <c r="Y59" s="185">
        <v>147723</v>
      </c>
      <c r="Z59" s="185">
        <v>16308</v>
      </c>
      <c r="AA59" s="185">
        <v>2899</v>
      </c>
      <c r="AB59" s="243"/>
      <c r="AC59" s="185">
        <v>84461</v>
      </c>
      <c r="AD59" s="185">
        <v>0</v>
      </c>
      <c r="AE59" s="185">
        <v>94259</v>
      </c>
      <c r="AF59" s="185">
        <v>0</v>
      </c>
      <c r="AG59" s="185">
        <v>78387</v>
      </c>
      <c r="AH59" s="185">
        <v>0</v>
      </c>
      <c r="AI59" s="185">
        <v>0</v>
      </c>
      <c r="AJ59" s="185">
        <v>512461</v>
      </c>
      <c r="AK59" s="185">
        <v>25891</v>
      </c>
      <c r="AL59" s="185">
        <v>3959</v>
      </c>
      <c r="AM59" s="185">
        <v>0</v>
      </c>
      <c r="AN59" s="185">
        <v>0</v>
      </c>
      <c r="AO59" s="185">
        <v>0</v>
      </c>
      <c r="AP59" s="185">
        <v>473447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3"/>
      <c r="AW59" s="243"/>
      <c r="AX59" s="243"/>
      <c r="AY59" s="185">
        <f>226987</f>
        <v>226987</v>
      </c>
      <c r="AZ59" s="185">
        <v>583327</v>
      </c>
      <c r="BA59" s="243"/>
      <c r="BB59" s="243"/>
      <c r="BC59" s="243"/>
      <c r="BD59" s="243"/>
      <c r="BE59" s="185">
        <v>577281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3"/>
    </row>
    <row r="60" spans="1:84" ht="12.6" customHeight="1">
      <c r="A60" s="245" t="s">
        <v>234</v>
      </c>
      <c r="B60" s="175"/>
      <c r="C60" s="184">
        <f>IF(ISERR(VLOOKUP(VALUE(C$44),'HR DATA'!$A$68:$AB$103,4,0)="TRUE"),0,VLOOKUP(VALUE(C$44),'HR DATA'!$A$68:$AB$103,4,0))</f>
        <v>53.062019230769231</v>
      </c>
      <c r="D60" s="184">
        <f>IF(ISERR(VLOOKUP(VALUE(D$44),'HR DATA'!$A$68:$AB$103,4,0)="TRUE"),0,VLOOKUP(VALUE(D$44),'HR DATA'!$A$68:$AB$103,4,0))</f>
        <v>0</v>
      </c>
      <c r="E60" s="184">
        <f>IF(ISERR(VLOOKUP(VALUE(E$44),'HR DATA'!$A$68:$AB$103,4,0)="TRUE"),0,VLOOKUP(VALUE(E$44),'HR DATA'!$A$68:$AB$103,4,0))</f>
        <v>371.74393269230768</v>
      </c>
      <c r="F60" s="184">
        <f>IF(ISERR(VLOOKUP(VALUE(F$44),'HR DATA'!$A$68:$AB$103,4,0)="TRUE"),0,VLOOKUP(VALUE(F$44),'HR DATA'!$A$68:$AB$103,4,0))</f>
        <v>0</v>
      </c>
      <c r="G60" s="184">
        <f>IF(ISERR(VLOOKUP(VALUE(G$44),'HR DATA'!$A$68:$AB$103,4,0)="TRUE"),0,VLOOKUP(VALUE(G$44),'HR DATA'!$A$68:$AB$103,4,0))</f>
        <v>0</v>
      </c>
      <c r="H60" s="184">
        <f>IF(ISERR(VLOOKUP(VALUE(H$44),'HR DATA'!$A$68:$AB$103,4,0)="TRUE"),0,VLOOKUP(VALUE(H$44),'HR DATA'!$A$68:$AB$103,4,0))</f>
        <v>0</v>
      </c>
      <c r="I60" s="184">
        <f>IF(ISERR(VLOOKUP(VALUE(I$44),'HR DATA'!$A$68:$AB$103,4,0)="TRUE"),0,VLOOKUP(VALUE(I$44),'HR DATA'!$A$68:$AB$103,4,0))</f>
        <v>0</v>
      </c>
      <c r="J60" s="184">
        <f>IF(ISERR(VLOOKUP(VALUE(J$44),'HR DATA'!$A$68:$AB$103,4,0)="TRUE"),0,VLOOKUP(VALUE(J$44),'HR DATA'!$A$68:$AB$103,4,0))</f>
        <v>72.579750000000004</v>
      </c>
      <c r="K60" s="184">
        <f>IF(ISERR(VLOOKUP(VALUE(K$44),'HR DATA'!$A$68:$AB$103,4,0)="TRUE"),0,VLOOKUP(VALUE(K$44),'HR DATA'!$A$68:$AB$103,4,0))</f>
        <v>0</v>
      </c>
      <c r="L60" s="184">
        <f>IF(ISERR(VLOOKUP(VALUE(L$44),'HR DATA'!$A$68:$AB$103,4,0)="TRUE"),0,VLOOKUP(VALUE(L$44),'HR DATA'!$A$68:$AB$103,4,0))</f>
        <v>0</v>
      </c>
      <c r="M60" s="184">
        <f>IF(ISERR(VLOOKUP(VALUE(M$44),'HR DATA'!$A$68:$AB$103,4,0)="TRUE"),0,VLOOKUP(VALUE(M$44),'HR DATA'!$A$68:$AB$103,4,0))</f>
        <v>0</v>
      </c>
      <c r="N60" s="184">
        <f>IF(ISERR(VLOOKUP(VALUE(N$44),'HR DATA'!$A$68:$AB$103,4,0)="TRUE"),0,VLOOKUP(VALUE(N$44),'HR DATA'!$A$68:$AB$103,4,0))</f>
        <v>0</v>
      </c>
      <c r="O60" s="184">
        <f>IF(ISERR(VLOOKUP(VALUE(O$44),'HR DATA'!$A$68:$AB$103,4,0)="TRUE"),0,VLOOKUP(VALUE(O$44),'HR DATA'!$A$68:$AB$103,4,0))</f>
        <v>0</v>
      </c>
      <c r="P60" s="184">
        <f>IF(ISERR(VLOOKUP(VALUE(P$44),'HR DATA'!$A$68:$AB$103,4,0)="TRUE"),0,VLOOKUP(VALUE(P$44),'HR DATA'!$A$68:$AB$103,4,0))</f>
        <v>99.332899038461534</v>
      </c>
      <c r="Q60" s="184">
        <f>IF(ISERR(VLOOKUP(VALUE(Q$44),'HR DATA'!$A$68:$AB$103,4,0)="TRUE"),0,VLOOKUP(VALUE(Q$44),'HR DATA'!$A$68:$AB$103,4,0))</f>
        <v>45.528759615384615</v>
      </c>
      <c r="R60" s="184">
        <f>IF(ISERR(VLOOKUP(VALUE(R$44),'HR DATA'!$A$68:$AB$103,4,0)="TRUE"),0,VLOOKUP(VALUE(R$44),'HR DATA'!$A$68:$AB$103,4,0))</f>
        <v>4.1215288461538471</v>
      </c>
      <c r="S60" s="184">
        <f>IF(ISERR(VLOOKUP(VALUE(S$44),'HR DATA'!$A$68:$AB$103,4,0)="TRUE"),0,VLOOKUP(VALUE(S$44),'HR DATA'!$A$68:$AB$103,4,0))</f>
        <v>36.922096153846155</v>
      </c>
      <c r="T60" s="184">
        <f>IF(ISERR(VLOOKUP(VALUE(T$44),'HR DATA'!$A$68:$AB$103,4,0)="TRUE"),0,VLOOKUP(VALUE(T$44),'HR DATA'!$A$68:$AB$103,4,0))</f>
        <v>0</v>
      </c>
      <c r="U60" s="184">
        <f>IF(ISERR(VLOOKUP(VALUE(U$44),'HR DATA'!$A$68:$AB$103,4,0)="TRUE"),0,VLOOKUP(VALUE(U$44),'HR DATA'!$A$68:$AB$103,4,0))</f>
        <v>58.532798076923079</v>
      </c>
      <c r="V60" s="184">
        <f>IF(ISERR(VLOOKUP(VALUE(V$44),'HR DATA'!$A$68:$AB$103,4,0)="TRUE"),0,VLOOKUP(VALUE(V$44),'HR DATA'!$A$68:$AB$103,4,0))</f>
        <v>5.0219567307692303</v>
      </c>
      <c r="W60" s="184">
        <f>IF(ISERR(VLOOKUP(VALUE(W$44),'HR DATA'!$A$68:$AB$103,4,0)="TRUE"),0,VLOOKUP(VALUE(W$44),'HR DATA'!$A$68:$AB$103,4,0))</f>
        <v>0</v>
      </c>
      <c r="X60" s="184">
        <f>IF(ISERR(VLOOKUP(VALUE(X$44),'HR DATA'!$A$68:$AB$103,4,0)="TRUE"),0,VLOOKUP(VALUE(X$44),'HR DATA'!$A$68:$AB$103,4,0))</f>
        <v>0</v>
      </c>
      <c r="Y60" s="184">
        <f>IF(ISERR(VLOOKUP(VALUE(Y$44),'HR DATA'!$A$68:$AB$103,4,0)="TRUE"),0,VLOOKUP(VALUE(Y$44),'HR DATA'!$A$68:$AB$103,4,0))</f>
        <v>150.90238461538462</v>
      </c>
      <c r="Z60" s="184">
        <f>IF(ISERR(VLOOKUP(VALUE(Z$44),'HR DATA'!$A$68:$AB$103,4,0)="TRUE"),0,VLOOKUP(VALUE(Z$44),'HR DATA'!$A$68:$AB$103,4,0))</f>
        <v>19.432495192307691</v>
      </c>
      <c r="AA60" s="184">
        <f>IF(ISERR(VLOOKUP(VALUE(AA$44),'HR DATA'!$A$68:$AB$103,4,0)="TRUE"),0,VLOOKUP(VALUE(AA$44),'HR DATA'!$A$68:$AB$103,4,0))</f>
        <v>2.8648221153846154</v>
      </c>
      <c r="AB60" s="184">
        <f>IF(ISERR(VLOOKUP(VALUE(AB$44),'HR DATA'!$A$68:$AB$103,4,0)="TRUE"),0,VLOOKUP(VALUE(AB$44),'HR DATA'!$A$68:$AB$103,4,0))</f>
        <v>46.242716346153856</v>
      </c>
      <c r="AC60" s="184">
        <f>IF(ISERR(VLOOKUP(VALUE(AC$44),'HR DATA'!$A$68:$AB$103,4,0)="TRUE"),0,VLOOKUP(VALUE(AC$44),'HR DATA'!$A$68:$AB$103,4,0))</f>
        <v>58.552673076923078</v>
      </c>
      <c r="AD60" s="184">
        <f>IF(ISERR(VLOOKUP(VALUE(AD$44),'HR DATA'!$A$68:$AB$103,4,0)="TRUE"),0,VLOOKUP(VALUE(AD$44),'HR DATA'!$A$68:$AB$103,4,0))</f>
        <v>0</v>
      </c>
      <c r="AE60" s="184">
        <f>IF(ISERR(VLOOKUP(VALUE(AE$44),'HR DATA'!$A$68:$AB$103,4,0)="TRUE"),0,VLOOKUP(VALUE(AE$44),'HR DATA'!$A$68:$AB$103,4,0))</f>
        <v>36.493836538461537</v>
      </c>
      <c r="AF60" s="184">
        <f>IF(ISERR(VLOOKUP(VALUE(AF$44),'HR DATA'!$A$68:$AB$103,4,0)="TRUE"),0,VLOOKUP(VALUE(AF$44),'HR DATA'!$A$68:$AB$103,4,0))</f>
        <v>0</v>
      </c>
      <c r="AG60" s="184">
        <f>IF(ISERR(VLOOKUP(VALUE(AG$44),'HR DATA'!$A$68:$AB$103,4,0)="TRUE"),0,VLOOKUP(VALUE(AG$44),'HR DATA'!$A$68:$AB$103,4,0))</f>
        <v>115.81929326923077</v>
      </c>
      <c r="AH60" s="184">
        <f>IF(ISERR(VLOOKUP(VALUE(AH$44),'HR DATA'!$A$68:$AB$103,4,0)="TRUE"),0,VLOOKUP(VALUE(AH$44),'HR DATA'!$A$68:$AB$103,4,0))</f>
        <v>0</v>
      </c>
      <c r="AI60" s="184">
        <f>IF(ISERR(VLOOKUP(VALUE(AI$44),'HR DATA'!$A$68:$AB$103,4,0)="TRUE"),0,VLOOKUP(VALUE(AI$44),'HR DATA'!$A$68:$AB$103,4,0))</f>
        <v>0</v>
      </c>
      <c r="AJ60" s="184">
        <f>IF(ISERR(VLOOKUP(VALUE(AJ$44),'HR DATA'!$A$68:$AB$103,4,0)="TRUE"),0,VLOOKUP(VALUE(AJ$44),'HR DATA'!$A$68:$AB$103,4,0))</f>
        <v>466.14</v>
      </c>
      <c r="AK60" s="184">
        <f>IF(ISERR(VLOOKUP(VALUE(AK$44),'HR DATA'!$A$68:$AB$103,4,0)="TRUE"),0,VLOOKUP(VALUE(AK$44),'HR DATA'!$A$68:$AB$103,4,0))</f>
        <v>9.1775048076923067</v>
      </c>
      <c r="AL60" s="184">
        <f>IF(ISERR(VLOOKUP(VALUE(AL$44),'HR DATA'!$A$68:$AB$103,4,0)="TRUE"),0,VLOOKUP(VALUE(AL$44),'HR DATA'!$A$68:$AB$103,4,0))</f>
        <v>4.6697163461538462</v>
      </c>
      <c r="AM60" s="184">
        <f>IF(ISERR(VLOOKUP(VALUE(AM$44),'HR DATA'!$A$68:$AB$103,4,0)="TRUE"),0,VLOOKUP(VALUE(AM$44),'HR DATA'!$A$68:$AB$103,4,0))</f>
        <v>0</v>
      </c>
      <c r="AN60" s="184">
        <f>IF(ISERR(VLOOKUP(VALUE(AN$44),'HR DATA'!$A$68:$AB$103,4,0)="TRUE"),0,VLOOKUP(VALUE(AN$44),'HR DATA'!$A$68:$AB$103,4,0))</f>
        <v>0</v>
      </c>
      <c r="AO60" s="184">
        <f>IF(ISERR(VLOOKUP(VALUE(AO$44),'HR DATA'!$A$68:$AB$103,4,0)="TRUE"),0,VLOOKUP(VALUE(AO$44),'HR DATA'!$A$68:$AB$103,4,0))</f>
        <v>0</v>
      </c>
      <c r="AP60" s="184">
        <f>IF(ISERR(VLOOKUP(VALUE(AP$44),'HR DATA'!$A$68:$AB$103,4,0)="TRUE"),0,VLOOKUP(VALUE(AP$44),'HR DATA'!$A$68:$AB$103,4,0))</f>
        <v>95.712490384615379</v>
      </c>
      <c r="AQ60" s="184">
        <f>IF(ISERR(VLOOKUP(VALUE(AQ$44),'HR DATA'!$A$68:$AB$103,4,0)="TRUE"),0,VLOOKUP(VALUE(AQ$44),'HR DATA'!$A$68:$AB$103,4,0))</f>
        <v>0</v>
      </c>
      <c r="AR60" s="184">
        <f>IF(ISERR(VLOOKUP(VALUE(AR$44),'HR DATA'!$A$68:$AB$103,4,0)="TRUE"),0,VLOOKUP(VALUE(AR$44),'HR DATA'!$A$68:$AB$103,4,0))</f>
        <v>0</v>
      </c>
      <c r="AS60" s="184">
        <f>IF(ISERR(VLOOKUP(VALUE(AS$44),'HR DATA'!$A$68:$AB$103,4,0)="TRUE"),0,VLOOKUP(VALUE(AS$44),'HR DATA'!$A$68:$AB$103,4,0))</f>
        <v>0</v>
      </c>
      <c r="AT60" s="184">
        <f>IF(ISERR(VLOOKUP(VALUE(AT$44),'HR DATA'!$A$68:$AB$103,4,0)="TRUE"),0,VLOOKUP(VALUE(AT$44),'HR DATA'!$A$68:$AB$103,4,0))</f>
        <v>0</v>
      </c>
      <c r="AU60" s="184">
        <f>IF(ISERR(VLOOKUP(VALUE(AU$44),'HR DATA'!$A$68:$AB$103,4,0)="TRUE"),0,VLOOKUP(VALUE(AU$44),'HR DATA'!$A$68:$AB$103,4,0))</f>
        <v>0</v>
      </c>
      <c r="AV60" s="184">
        <f>IF(ISERR(VLOOKUP(VALUE(AV$44),'HR DATA'!$A$68:$AB$103,4,0)="TRUE"),0,VLOOKUP(VALUE(AV$44),'HR DATA'!$A$68:$AB$103,4,0))</f>
        <v>1.2377163461538463</v>
      </c>
      <c r="AW60" s="184">
        <f>IF(ISERR(VLOOKUP(VALUE(AW$44),'HR DATA'!$A$68:$AB$103,4,0)="TRUE"),0,VLOOKUP(VALUE(AW$44),'HR DATA'!$A$68:$AB$103,4,0))</f>
        <v>13.154884615384615</v>
      </c>
      <c r="AX60" s="184">
        <f>IF(ISERR(VLOOKUP(VALUE(AX$44),'HR DATA'!$A$68:$AB$103,4,0)="TRUE"),0,VLOOKUP(VALUE(AX$44),'HR DATA'!$A$68:$AB$103,4,0))</f>
        <v>0</v>
      </c>
      <c r="AY60" s="184">
        <f>IF(ISERR(VLOOKUP(VALUE(AY$44),'HR DATA'!$A$68:$AB$103,4,0)="TRUE"),0,VLOOKUP(VALUE(AY$44),'HR DATA'!$A$68:$AB$103,4,0))</f>
        <v>76.414067307692306</v>
      </c>
      <c r="AZ60" s="184">
        <f>IF(ISERR(VLOOKUP(VALUE(AZ$44),'HR DATA'!$A$68:$AB$103,4,0)="TRUE"),0,VLOOKUP(VALUE(AZ$44),'HR DATA'!$A$68:$AB$103,4,0))</f>
        <v>0</v>
      </c>
      <c r="BA60" s="184">
        <f>IF(ISERR(VLOOKUP(VALUE(BA$44),'HR DATA'!$A$68:$AB$103,4,0)="TRUE"),0,VLOOKUP(VALUE(BA$44),'HR DATA'!$A$68:$AB$103,4,0))</f>
        <v>2.8953317307692306</v>
      </c>
      <c r="BB60" s="184">
        <f>IF(ISERR(VLOOKUP(VALUE(BB$44),'HR DATA'!$A$68:$AB$103,4,0)="TRUE"),0,VLOOKUP(VALUE(BB$44),'HR DATA'!$A$68:$AB$103,4,0))</f>
        <v>0</v>
      </c>
      <c r="BC60" s="184">
        <f>IF(ISERR(VLOOKUP(VALUE(BC$44),'HR DATA'!$A$68:$AB$103,4,0)="TRUE"),0,VLOOKUP(VALUE(BC$44),'HR DATA'!$A$68:$AB$103,4,0))</f>
        <v>15.772514423076924</v>
      </c>
      <c r="BD60" s="184">
        <f>IF(ISERR(VLOOKUP(VALUE(BD$44),'HR DATA'!$A$68:$AB$103,4,0)="TRUE"),0,VLOOKUP(VALUE(BD$44),'HR DATA'!$A$68:$AB$103,4,0))</f>
        <v>0</v>
      </c>
      <c r="BE60" s="184">
        <f>IF(ISERR(VLOOKUP(VALUE(BE$44),'HR DATA'!$A$68:$AB$103,4,0)="TRUE"),0,VLOOKUP(VALUE(BE$44),'HR DATA'!$A$68:$AB$103,4,0))</f>
        <v>16.916639423076923</v>
      </c>
      <c r="BF60" s="184">
        <f>IF(ISERR(VLOOKUP(VALUE(BF$44),'HR DATA'!$A$68:$AB$103,4,0)="TRUE"),0,VLOOKUP(VALUE(BF$44),'HR DATA'!$A$68:$AB$103,4,0))</f>
        <v>74.515725961538465</v>
      </c>
      <c r="BG60" s="184">
        <f>IF(ISERR(VLOOKUP(VALUE(BG$44),'HR DATA'!$A$68:$AB$103,4,0)="TRUE"),0,VLOOKUP(VALUE(BG$44),'HR DATA'!$A$68:$AB$103,4,0))</f>
        <v>0</v>
      </c>
      <c r="BH60" s="184">
        <f>IF(ISERR(VLOOKUP(VALUE(BH$44),'HR DATA'!$A$68:$AB$103,4,0)="TRUE"),0,VLOOKUP(VALUE(BH$44),'HR DATA'!$A$68:$AB$103,4,0))</f>
        <v>0</v>
      </c>
      <c r="BI60" s="184">
        <f>IF(ISERR(VLOOKUP(VALUE(BI$44),'HR DATA'!$A$68:$AB$103,4,0)="TRUE"),0,VLOOKUP(VALUE(BI$44),'HR DATA'!$A$68:$AB$103,4,0))</f>
        <v>0.25144230769230769</v>
      </c>
      <c r="BJ60" s="184">
        <f>IF(ISERR(VLOOKUP(VALUE(BJ$44),'HR DATA'!$A$68:$AB$103,4,0)="TRUE"),0,VLOOKUP(VALUE(BJ$44),'HR DATA'!$A$68:$AB$103,4,0))</f>
        <v>0</v>
      </c>
      <c r="BK60" s="184">
        <f>IF(ISERR(VLOOKUP(VALUE(BK$44),'HR DATA'!$A$68:$AB$103,4,0)="TRUE"),0,VLOOKUP(VALUE(BK$44),'HR DATA'!$A$68:$AB$103,4,0))</f>
        <v>1.0025048076923078</v>
      </c>
      <c r="BL60" s="184">
        <f>IF(ISERR(VLOOKUP(VALUE(BL$44),'HR DATA'!$A$68:$AB$103,4,0)="TRUE"),0,VLOOKUP(VALUE(BL$44),'HR DATA'!$A$68:$AB$103,4,0))</f>
        <v>0</v>
      </c>
      <c r="BM60" s="184">
        <f>IF(ISERR(VLOOKUP(VALUE(BM$44),'HR DATA'!$A$68:$AB$103,4,0)="TRUE"),0,VLOOKUP(VALUE(BM$44),'HR DATA'!$A$68:$AB$103,4,0))</f>
        <v>0</v>
      </c>
      <c r="BN60" s="184">
        <f>IF(ISERR(VLOOKUP(VALUE(BN$44),'HR DATA'!$A$68:$AB$103,4,0)="TRUE"),0,VLOOKUP(VALUE(BN$44),'HR DATA'!$A$68:$AB$103,4,0))</f>
        <v>53.611427884615395</v>
      </c>
      <c r="BO60" s="184">
        <f>IF(ISERR(VLOOKUP(VALUE(BO$44),'HR DATA'!$A$68:$AB$103,4,0)="TRUE"),0,VLOOKUP(VALUE(BO$44),'HR DATA'!$A$68:$AB$103,4,0))</f>
        <v>0</v>
      </c>
      <c r="BP60" s="184">
        <f>IF(ISERR(VLOOKUP(VALUE(BP$44),'HR DATA'!$A$68:$AB$103,4,0)="TRUE"),0,VLOOKUP(VALUE(BP$44),'HR DATA'!$A$68:$AB$103,4,0))</f>
        <v>0</v>
      </c>
      <c r="BQ60" s="184">
        <f>IF(ISERR(VLOOKUP(VALUE(BQ$44),'HR DATA'!$A$68:$AB$103,4,0)="TRUE"),0,VLOOKUP(VALUE(BQ$44),'HR DATA'!$A$68:$AB$103,4,0))</f>
        <v>0</v>
      </c>
      <c r="BR60" s="184">
        <f>IF(ISERR(VLOOKUP(VALUE(BR$44),'HR DATA'!$A$68:$AB$103,4,0)="TRUE"),0,VLOOKUP(VALUE(BR$44),'HR DATA'!$A$68:$AB$103,4,0))</f>
        <v>0</v>
      </c>
      <c r="BS60" s="184">
        <f>IF(ISERR(VLOOKUP(VALUE(BS$44),'HR DATA'!$A$68:$AB$103,4,0)="TRUE"),0,VLOOKUP(VALUE(BS$44),'HR DATA'!$A$68:$AB$103,4,0))</f>
        <v>0</v>
      </c>
      <c r="BT60" s="184">
        <f>IF(ISERR(VLOOKUP(VALUE(BT$44),'HR DATA'!$A$68:$AB$103,4,0)="TRUE"),0,VLOOKUP(VALUE(BT$44),'HR DATA'!$A$68:$AB$103,4,0))</f>
        <v>0</v>
      </c>
      <c r="BU60" s="184">
        <f>IF(ISERR(VLOOKUP(VALUE(BU$44),'HR DATA'!$A$68:$AB$103,4,0)="TRUE"),0,VLOOKUP(VALUE(BU$44),'HR DATA'!$A$68:$AB$103,4,0))</f>
        <v>0</v>
      </c>
      <c r="BV60" s="184">
        <f>IF(ISERR(VLOOKUP(VALUE(BV$44),'HR DATA'!$A$68:$AB$103,4,0)="TRUE"),0,VLOOKUP(VALUE(BV$44),'HR DATA'!$A$68:$AB$103,4,0))</f>
        <v>0</v>
      </c>
      <c r="BW60" s="184">
        <f>IF(ISERR(VLOOKUP(VALUE(BW$44),'HR DATA'!$A$68:$AB$103,4,0)="TRUE"),0,VLOOKUP(VALUE(BW$44),'HR DATA'!$A$68:$AB$103,4,0))</f>
        <v>0</v>
      </c>
      <c r="BX60" s="184">
        <f>IF(ISERR(VLOOKUP(VALUE(BX$44),'HR DATA'!$A$68:$AB$103,4,0)="TRUE"),0,VLOOKUP(VALUE(BX$44),'HR DATA'!$A$68:$AB$103,4,0))</f>
        <v>0</v>
      </c>
      <c r="BY60" s="184">
        <f>IF(ISERR(VLOOKUP(VALUE(BY$44),'HR DATA'!$A$68:$AB$103,4,0)="TRUE"),0,VLOOKUP(VALUE(BY$44),'HR DATA'!$A$68:$AB$103,4,0))</f>
        <v>30.74129807692308</v>
      </c>
      <c r="BZ60" s="184">
        <f>IF(ISERR(VLOOKUP(VALUE(BZ$44),'HR DATA'!$A$68:$AB$103,4,0)="TRUE"),0,VLOOKUP(VALUE(BZ$44),'HR DATA'!$A$68:$AB$103,4,0))</f>
        <v>0</v>
      </c>
      <c r="CA60" s="184">
        <f>IF(ISERR(VLOOKUP(VALUE(CA$44),'HR DATA'!$A$68:$AB$103,4,0)="TRUE"),0,VLOOKUP(VALUE(CA$44),'HR DATA'!$A$68:$AB$103,4,0))</f>
        <v>10.800697115384599</v>
      </c>
      <c r="CB60" s="184">
        <f>IF(ISERR(VLOOKUP(VALUE(CB$44),'HR DATA'!$A$68:$AB$103,4,0)="TRUE"),0,VLOOKUP(VALUE(CB$44),'HR DATA'!$A$68:$AB$103,4,0))</f>
        <v>0</v>
      </c>
      <c r="CC60" s="184">
        <f>IF(ISERR(VLOOKUP(VALUE(CC$44),'HR DATA'!$A$68:$AB$103,4,0)="TRUE"),0,VLOOKUP(VALUE(CC$44),'HR DATA'!$A$68:$AB$103,4,0))</f>
        <v>0</v>
      </c>
      <c r="CD60" s="244" t="s">
        <v>221</v>
      </c>
      <c r="CE60" s="246">
        <f t="shared" ref="CE60:CE70" si="0">SUM(C60:CD60)</f>
        <v>2050.1679230769228</v>
      </c>
    </row>
    <row r="61" spans="1:84" ht="12.6" customHeight="1">
      <c r="A61" s="171" t="s">
        <v>235</v>
      </c>
      <c r="B61" s="175"/>
      <c r="C61" s="184">
        <f>IF(ISERR(VLOOKUP(VALUE(C$44),'HR DATA'!$A$4:$AA$54,8,0)="TRUE"),0,VLOOKUP(VALUE(C$44),'HR DATA'!$A$4:$AA$54,8,0))</f>
        <v>5808922.879999999</v>
      </c>
      <c r="D61" s="184">
        <f>IF(ISERR(VLOOKUP(VALUE(D$44),'HR DATA'!$A$4:$AA$54,8,0)="TRUE"),0,VLOOKUP(VALUE(D$44),'HR DATA'!$A$4:$AA$54,8,0))</f>
        <v>0</v>
      </c>
      <c r="E61" s="184">
        <f>IF(ISERR(VLOOKUP(VALUE(E$44),'HR DATA'!$A$4:$AA$54,8,0)="TRUE"),0,VLOOKUP(VALUE(E$44),'HR DATA'!$A$4:$AA$54,8,0))</f>
        <v>32941979.420000002</v>
      </c>
      <c r="F61" s="184">
        <f>IF(ISERR(VLOOKUP(VALUE(F$44),'HR DATA'!$A$4:$AA$54,8,0)="TRUE"),0,VLOOKUP(VALUE(F$44),'HR DATA'!$A$4:$AA$54,8,0))</f>
        <v>0</v>
      </c>
      <c r="G61" s="184">
        <f>IF(ISERR(VLOOKUP(VALUE(G$44),'HR DATA'!$A$4:$AA$54,8,0)="TRUE"),0,VLOOKUP(VALUE(G$44),'HR DATA'!$A$4:$AA$54,8,0))</f>
        <v>0</v>
      </c>
      <c r="H61" s="184">
        <f>IF(ISERR(VLOOKUP(VALUE(H$44),'HR DATA'!$A$4:$AA$54,8,0)="TRUE"),0,VLOOKUP(VALUE(H$44),'HR DATA'!$A$4:$AA$54,8,0))</f>
        <v>0</v>
      </c>
      <c r="I61" s="184">
        <f>IF(ISERR(VLOOKUP(VALUE(I$44),'HR DATA'!$A$4:$AA$54,8,0)="TRUE"),0,VLOOKUP(VALUE(I$44),'HR DATA'!$A$4:$AA$54,8,0))</f>
        <v>0</v>
      </c>
      <c r="J61" s="184">
        <f>IF(ISERR(VLOOKUP(VALUE(J$44),'HR DATA'!$A$4:$AA$54,8,0)="TRUE"),0,VLOOKUP(VALUE(J$44),'HR DATA'!$A$4:$AA$54,8,0))</f>
        <v>7498846.8699999992</v>
      </c>
      <c r="K61" s="184">
        <f>IF(ISERR(VLOOKUP(VALUE(K$44),'HR DATA'!$A$4:$AA$54,8,0)="TRUE"),0,VLOOKUP(VALUE(K$44),'HR DATA'!$A$4:$AA$54,8,0))</f>
        <v>0</v>
      </c>
      <c r="L61" s="184">
        <f>IF(ISERR(VLOOKUP(VALUE(L$44),'HR DATA'!$A$4:$AA$54,8,0)="TRUE"),0,VLOOKUP(VALUE(L$44),'HR DATA'!$A$4:$AA$54,8,0))</f>
        <v>0</v>
      </c>
      <c r="M61" s="184">
        <f>IF(ISERR(VLOOKUP(VALUE(M$44),'HR DATA'!$A$4:$AA$54,8,0)="TRUE"),0,VLOOKUP(VALUE(M$44),'HR DATA'!$A$4:$AA$54,8,0))</f>
        <v>0</v>
      </c>
      <c r="N61" s="184">
        <f>IF(ISERR(VLOOKUP(VALUE(N$44),'HR DATA'!$A$4:$AA$54,8,0)="TRUE"),0,VLOOKUP(VALUE(N$44),'HR DATA'!$A$4:$AA$54,8,0))</f>
        <v>0</v>
      </c>
      <c r="O61" s="184">
        <f>IF(ISERR(VLOOKUP(VALUE(O$44),'HR DATA'!$A$4:$AA$54,8,0)="TRUE"),0,VLOOKUP(VALUE(O$44),'HR DATA'!$A$4:$AA$54,8,0))</f>
        <v>0</v>
      </c>
      <c r="P61" s="184">
        <f>IF(ISERR(VLOOKUP(VALUE(P$44),'HR DATA'!$A$4:$AA$54,8,0)="TRUE"),0,VLOOKUP(VALUE(P$44),'HR DATA'!$A$4:$AA$54,8,0))</f>
        <v>9848226.870000001</v>
      </c>
      <c r="Q61" s="184">
        <f>IF(ISERR(VLOOKUP(VALUE(Q$44),'HR DATA'!$A$4:$AA$54,8,0)="TRUE"),0,VLOOKUP(VALUE(Q$44),'HR DATA'!$A$4:$AA$54,8,0))</f>
        <v>4619032.41</v>
      </c>
      <c r="R61" s="184">
        <f>IF(ISERR(VLOOKUP(VALUE(R$44),'HR DATA'!$A$4:$AA$54,8,0)="TRUE"),0,VLOOKUP(VALUE(R$44),'HR DATA'!$A$4:$AA$54,8,0))</f>
        <v>294443.81</v>
      </c>
      <c r="S61" s="184">
        <f>IF(ISERR(VLOOKUP(VALUE(S$44),'HR DATA'!$A$4:$AA$54,8,0)="TRUE"),0,VLOOKUP(VALUE(S$44),'HR DATA'!$A$4:$AA$54,8,0))</f>
        <v>2073165.7200000002</v>
      </c>
      <c r="T61" s="184">
        <f>IF(ISERR(VLOOKUP(VALUE(T$44),'HR DATA'!$A$4:$AA$54,8,0)="TRUE"),0,VLOOKUP(VALUE(T$44),'HR DATA'!$A$4:$AA$54,8,0))</f>
        <v>0</v>
      </c>
      <c r="U61" s="184">
        <f>IF(ISERR(VLOOKUP(VALUE(U$44),'HR DATA'!$A$4:$AA$54,8,0)="TRUE"),0,VLOOKUP(VALUE(U$44),'HR DATA'!$A$4:$AA$54,8,0))</f>
        <v>4537988.0299999993</v>
      </c>
      <c r="V61" s="184">
        <f>IF(ISERR(VLOOKUP(VALUE(V$44),'HR DATA'!$A$4:$AA$54,8,0)="TRUE"),0,VLOOKUP(VALUE(V$44),'HR DATA'!$A$4:$AA$54,8,0))</f>
        <v>490154.9200000001</v>
      </c>
      <c r="W61" s="184">
        <f>IF(ISERR(VLOOKUP(VALUE(W$44),'HR DATA'!$A$4:$AA$54,8,0)="TRUE"),0,VLOOKUP(VALUE(W$44),'HR DATA'!$A$4:$AA$54,8,0))</f>
        <v>487374.59000000008</v>
      </c>
      <c r="X61" s="184">
        <f>IF(ISERR(VLOOKUP(VALUE(X$44),'HR DATA'!$A$4:$AA$54,8,0)="TRUE"),0,VLOOKUP(VALUE(X$44),'HR DATA'!$A$4:$AA$54,8,0))</f>
        <v>0</v>
      </c>
      <c r="Y61" s="184">
        <f>IF(ISERR(VLOOKUP(VALUE(Y$44),'HR DATA'!$A$4:$AA$54,8,0)="TRUE"),0,VLOOKUP(VALUE(Y$44),'HR DATA'!$A$4:$AA$54,8,0))</f>
        <v>12522593.6</v>
      </c>
      <c r="Z61" s="184">
        <f>IF(ISERR(VLOOKUP(VALUE(Z$44),'HR DATA'!$A$4:$AA$54,8,0)="TRUE"),0,VLOOKUP(VALUE(Z$44),'HR DATA'!$A$4:$AA$54,8,0))</f>
        <v>1855120.06</v>
      </c>
      <c r="AA61" s="184">
        <f>IF(ISERR(VLOOKUP(VALUE(AA$44),'HR DATA'!$A$4:$AA$54,8,0)="TRUE"),0,VLOOKUP(VALUE(AA$44),'HR DATA'!$A$4:$AA$54,8,0))</f>
        <v>307099.7</v>
      </c>
      <c r="AB61" s="184">
        <f>IF(ISERR(VLOOKUP(VALUE(AB$44),'HR DATA'!$A$4:$AA$54,8,0)="TRUE"),0,VLOOKUP(VALUE(AB$44),'HR DATA'!$A$4:$AA$54,8,0))</f>
        <v>4955303.91</v>
      </c>
      <c r="AC61" s="184">
        <f>IF(ISERR(VLOOKUP(VALUE(AC$44),'HR DATA'!$A$4:$AA$54,8,0)="TRUE"),0,VLOOKUP(VALUE(AC$44),'HR DATA'!$A$4:$AA$54,8,0))</f>
        <v>4751900.5000000009</v>
      </c>
      <c r="AD61" s="184">
        <f>IF(ISERR(VLOOKUP(VALUE(AD$44),'HR DATA'!$A$4:$AA$54,8,0)="TRUE"),0,VLOOKUP(VALUE(AD$44),'HR DATA'!$A$4:$AA$54,8,0))</f>
        <v>0</v>
      </c>
      <c r="AE61" s="184">
        <f>IF(ISERR(VLOOKUP(VALUE(AE$44),'HR DATA'!$A$4:$AA$54,8,0)="TRUE"),0,VLOOKUP(VALUE(AE$44),'HR DATA'!$A$4:$AA$54,8,0))</f>
        <v>2988700.49</v>
      </c>
      <c r="AF61" s="184">
        <f>IF(ISERR(VLOOKUP(VALUE(AF$44),'HR DATA'!$A$4:$AA$54,8,0)="TRUE"),0,VLOOKUP(VALUE(AF$44),'HR DATA'!$A$4:$AA$54,8,0))</f>
        <v>0</v>
      </c>
      <c r="AG61" s="184">
        <f>IF(ISERR(VLOOKUP(VALUE(AG$44),'HR DATA'!$A$4:$AA$54,8,0)="TRUE"),0,VLOOKUP(VALUE(AG$44),'HR DATA'!$A$4:$AA$54,8,0))</f>
        <v>11775753.16</v>
      </c>
      <c r="AH61" s="184">
        <f>IF(ISERR(VLOOKUP(VALUE(AH$44),'HR DATA'!$A$4:$AA$54,8,0)="TRUE"),0,VLOOKUP(VALUE(AH$44),'HR DATA'!$A$4:$AA$54,8,0))</f>
        <v>0</v>
      </c>
      <c r="AI61" s="184">
        <f>IF(ISERR(VLOOKUP(VALUE(AI$44),'HR DATA'!$A$4:$AA$54,8,0)="TRUE"),0,VLOOKUP(VALUE(AI$44),'HR DATA'!$A$4:$AA$54,8,0))</f>
        <v>0</v>
      </c>
      <c r="AJ61" s="184">
        <f>IF(ISERR(VLOOKUP(VALUE(AJ$44),'HR DATA'!$A$4:$AA$54,8,0)="TRUE"),0,VLOOKUP(VALUE(AJ$44),'HR DATA'!$A$4:$AA$54,8,0))</f>
        <v>57920827.82</v>
      </c>
      <c r="AK61" s="184">
        <f>IF(ISERR(VLOOKUP(VALUE(AK$44),'HR DATA'!$A$4:$AA$54,8,0)="TRUE"),0,VLOOKUP(VALUE(AK$44),'HR DATA'!$A$4:$AA$54,8,0))</f>
        <v>926052.93000000017</v>
      </c>
      <c r="AL61" s="184">
        <f>IF(ISERR(VLOOKUP(VALUE(AL$44),'HR DATA'!$A$4:$AA$54,8,0)="TRUE"),0,VLOOKUP(VALUE(AL$44),'HR DATA'!$A$4:$AA$54,8,0))</f>
        <v>455777.82</v>
      </c>
      <c r="AM61" s="184">
        <f>IF(ISERR(VLOOKUP(VALUE(AM$44),'HR DATA'!$A$4:$AA$54,8,0)="TRUE"),0,VLOOKUP(VALUE(AM$44),'HR DATA'!$A$4:$AA$54,8,0))</f>
        <v>0</v>
      </c>
      <c r="AN61" s="184">
        <f>IF(ISERR(VLOOKUP(VALUE(AN$44),'HR DATA'!$A$4:$AA$54,8,0)="TRUE"),0,VLOOKUP(VALUE(AN$44),'HR DATA'!$A$4:$AA$54,8,0))</f>
        <v>0</v>
      </c>
      <c r="AO61" s="184">
        <f>IF(ISERR(VLOOKUP(VALUE(AO$44),'HR DATA'!$A$4:$AA$54,8,0)="TRUE"),0,VLOOKUP(VALUE(AO$44),'HR DATA'!$A$4:$AA$54,8,0))</f>
        <v>0</v>
      </c>
      <c r="AP61" s="184">
        <f>IF(ISERR(VLOOKUP(VALUE(AP$44),'HR DATA'!$A$4:$AA$54,8,0)="TRUE"),0,VLOOKUP(VALUE(AP$44),'HR DATA'!$A$4:$AA$54,8,0))</f>
        <v>6834455.4799999995</v>
      </c>
      <c r="AQ61" s="184">
        <f>IF(ISERR(VLOOKUP(VALUE(AQ$44),'HR DATA'!$A$4:$AA$54,8,0)="TRUE"),0,VLOOKUP(VALUE(AQ$44),'HR DATA'!$A$4:$AA$54,8,0))</f>
        <v>0</v>
      </c>
      <c r="AR61" s="184">
        <f>IF(ISERR(VLOOKUP(VALUE(AR$44),'HR DATA'!$A$4:$AA$54,8,0)="TRUE"),0,VLOOKUP(VALUE(AR$44),'HR DATA'!$A$4:$AA$54,8,0))</f>
        <v>0</v>
      </c>
      <c r="AS61" s="184">
        <f>IF(ISERR(VLOOKUP(VALUE(AS$44),'HR DATA'!$A$4:$AA$54,8,0)="TRUE"),0,VLOOKUP(VALUE(AS$44),'HR DATA'!$A$4:$AA$54,8,0))</f>
        <v>0</v>
      </c>
      <c r="AT61" s="184">
        <f>IF(ISERR(VLOOKUP(VALUE(AT$44),'HR DATA'!$A$4:$AA$54,8,0)="TRUE"),0,VLOOKUP(VALUE(AT$44),'HR DATA'!$A$4:$AA$54,8,0))</f>
        <v>0</v>
      </c>
      <c r="AU61" s="184">
        <f>IF(ISERR(VLOOKUP(VALUE(AU$44),'HR DATA'!$A$4:$AA$54,8,0)="TRUE"),0,VLOOKUP(VALUE(AU$44),'HR DATA'!$A$4:$AA$54,8,0))</f>
        <v>0</v>
      </c>
      <c r="AV61" s="184">
        <f>IF(ISERR(VLOOKUP(VALUE(AV$44),'HR DATA'!$A$4:$AA$54,8,0)="TRUE"),0,VLOOKUP(VALUE(AV$44),'HR DATA'!$A$4:$AA$54,8,0))</f>
        <v>188233.72</v>
      </c>
      <c r="AW61" s="184">
        <f>IF(ISERR(VLOOKUP(VALUE(AW$44),'HR DATA'!$A$4:$AA$54,8,0)="TRUE"),0,VLOOKUP(VALUE(AW$44),'HR DATA'!$A$4:$AA$54,8,0))</f>
        <v>906002.85</v>
      </c>
      <c r="AX61" s="184">
        <f>IF(ISERR(VLOOKUP(VALUE(AX$44),'HR DATA'!$A$4:$AA$54,8,0)="TRUE"),0,VLOOKUP(VALUE(AX$44),'HR DATA'!$A$4:$AA$54,8,0))</f>
        <v>0</v>
      </c>
      <c r="AY61" s="184">
        <f>IF(ISERR(VLOOKUP(VALUE(AY$44),'HR DATA'!$A$4:$AA$54,8,0)="TRUE"),0,VLOOKUP(VALUE(AY$44),'HR DATA'!$A$4:$AA$54,8,0))</f>
        <v>3301658.25</v>
      </c>
      <c r="AZ61" s="184">
        <f>IF(ISERR(VLOOKUP(VALUE(AZ$44),'HR DATA'!$A$4:$AA$54,8,0)="TRUE"),0,VLOOKUP(VALUE(AZ$44),'HR DATA'!$A$4:$AA$54,8,0))</f>
        <v>0</v>
      </c>
      <c r="BA61" s="184">
        <f>IF(ISERR(VLOOKUP(VALUE(BA$44),'HR DATA'!$A$4:$AA$54,8,0)="TRUE"),0,VLOOKUP(VALUE(BA$44),'HR DATA'!$A$4:$AA$54,8,0))</f>
        <v>110174.56999999999</v>
      </c>
      <c r="BB61" s="184">
        <f>IF(ISERR(VLOOKUP(VALUE(BB$44),'HR DATA'!$A$4:$AA$54,8,0)="TRUE"),0,VLOOKUP(VALUE(BB$44),'HR DATA'!$A$4:$AA$54,8,0))</f>
        <v>0</v>
      </c>
      <c r="BC61" s="184">
        <f>IF(ISERR(VLOOKUP(VALUE(BC$44),'HR DATA'!$A$4:$AA$54,8,0)="TRUE"),0,VLOOKUP(VALUE(BC$44),'HR DATA'!$A$4:$AA$54,8,0))</f>
        <v>616027.76</v>
      </c>
      <c r="BD61" s="184">
        <f>IF(ISERR(VLOOKUP(VALUE(BD$44),'HR DATA'!$A$4:$AA$54,8,0)="TRUE"),0,VLOOKUP(VALUE(BD$44),'HR DATA'!$A$4:$AA$54,8,0))</f>
        <v>0</v>
      </c>
      <c r="BE61" s="184">
        <f>IF(ISERR(VLOOKUP(VALUE(BE$44),'HR DATA'!$A$4:$AA$54,8,0)="TRUE"),0,VLOOKUP(VALUE(BE$44),'HR DATA'!$A$4:$AA$54,8,0))</f>
        <v>1202463.32</v>
      </c>
      <c r="BF61" s="184">
        <f>IF(ISERR(VLOOKUP(VALUE(BF$44),'HR DATA'!$A$4:$AA$54,8,0)="TRUE"),0,VLOOKUP(VALUE(BF$44),'HR DATA'!$A$4:$AA$54,8,0))</f>
        <v>3068210.2700000005</v>
      </c>
      <c r="BG61" s="184">
        <f>IF(ISERR(VLOOKUP(VALUE(BG$44),'HR DATA'!$A$4:$AA$54,8,0)="TRUE"),0,VLOOKUP(VALUE(BG$44),'HR DATA'!$A$4:$AA$54,8,0))</f>
        <v>0</v>
      </c>
      <c r="BH61" s="184">
        <f>IF(ISERR(VLOOKUP(VALUE(BH$44),'HR DATA'!$A$4:$AA$54,8,0)="TRUE"),0,VLOOKUP(VALUE(BH$44),'HR DATA'!$A$4:$AA$54,8,0))</f>
        <v>0</v>
      </c>
      <c r="BI61" s="184">
        <f>IF(ISERR(VLOOKUP(VALUE(BI$44),'HR DATA'!$A$4:$AA$54,8,0)="TRUE"),0,VLOOKUP(VALUE(BI$44),'HR DATA'!$A$4:$AA$54,8,0))</f>
        <v>0</v>
      </c>
      <c r="BJ61" s="184">
        <f>IF(ISERR(VLOOKUP(VALUE(BJ$44),'HR DATA'!$A$4:$AA$54,8,0)="TRUE"),0,VLOOKUP(VALUE(BJ$44),'HR DATA'!$A$4:$AA$54,8,0))</f>
        <v>0</v>
      </c>
      <c r="BK61" s="184">
        <f>IF(ISERR(VLOOKUP(VALUE(BK$44),'HR DATA'!$A$4:$AA$54,8,0)="TRUE"),0,VLOOKUP(VALUE(BK$44),'HR DATA'!$A$4:$AA$54,8,0))</f>
        <v>0</v>
      </c>
      <c r="BL61" s="184">
        <f>IF(ISERR(VLOOKUP(VALUE(BL$44),'HR DATA'!$A$4:$AA$54,8,0)="TRUE"),0,VLOOKUP(VALUE(BL$44),'HR DATA'!$A$4:$AA$54,8,0))</f>
        <v>39.380000000000003</v>
      </c>
      <c r="BM61" s="184">
        <f>IF(ISERR(VLOOKUP(VALUE(BM$44),'HR DATA'!$A$4:$AA$54,8,0)="TRUE"),0,VLOOKUP(VALUE(BM$44),'HR DATA'!$A$4:$AA$54,8,0))</f>
        <v>0</v>
      </c>
      <c r="BN61" s="184">
        <f>IF(ISERR(VLOOKUP(VALUE(BN$44),'HR DATA'!$A$4:$AA$54,8,0)="TRUE"),0,VLOOKUP(VALUE(BN$44),'HR DATA'!$A$4:$AA$54,8,0))</f>
        <v>5901340.3299999991</v>
      </c>
      <c r="BO61" s="184">
        <f>IF(ISERR(VLOOKUP(VALUE(BO$44),'HR DATA'!$A$4:$AA$54,8,0)="TRUE"),0,VLOOKUP(VALUE(BO$44),'HR DATA'!$A$4:$AA$54,8,0))</f>
        <v>0</v>
      </c>
      <c r="BP61" s="184">
        <f>IF(ISERR(VLOOKUP(VALUE(BP$44),'HR DATA'!$A$4:$AA$54,8,0)="TRUE"),0,VLOOKUP(VALUE(BP$44),'HR DATA'!$A$4:$AA$54,8,0))</f>
        <v>0</v>
      </c>
      <c r="BQ61" s="184">
        <f>IF(ISERR(VLOOKUP(VALUE(BQ$44),'HR DATA'!$A$4:$AA$54,8,0)="TRUE"),0,VLOOKUP(VALUE(BQ$44),'HR DATA'!$A$4:$AA$54,8,0))</f>
        <v>0</v>
      </c>
      <c r="BR61" s="184">
        <f>IF(ISERR(VLOOKUP(VALUE(BR$44),'HR DATA'!$A$4:$AA$54,8,0)="TRUE"),0,VLOOKUP(VALUE(BR$44),'HR DATA'!$A$4:$AA$54,8,0))</f>
        <v>-2181.13</v>
      </c>
      <c r="BS61" s="184">
        <f>IF(ISERR(VLOOKUP(VALUE(BS$44),'HR DATA'!$A$4:$AA$54,8,0)="TRUE"),0,VLOOKUP(VALUE(BS$44),'HR DATA'!$A$4:$AA$54,8,0))</f>
        <v>0</v>
      </c>
      <c r="BT61" s="184">
        <f>IF(ISERR(VLOOKUP(VALUE(BT$44),'HR DATA'!$A$4:$AA$54,8,0)="TRUE"),0,VLOOKUP(VALUE(BT$44),'HR DATA'!$A$4:$AA$54,8,0))</f>
        <v>0</v>
      </c>
      <c r="BU61" s="184">
        <f>IF(ISERR(VLOOKUP(VALUE(BU$44),'HR DATA'!$A$4:$AA$54,8,0)="TRUE"),0,VLOOKUP(VALUE(BU$44),'HR DATA'!$A$4:$AA$54,8,0))</f>
        <v>0</v>
      </c>
      <c r="BV61" s="184">
        <f>IF(ISERR(VLOOKUP(VALUE(BV$44),'HR DATA'!$A$4:$AA$54,8,0)="TRUE"),0,VLOOKUP(VALUE(BV$44),'HR DATA'!$A$4:$AA$54,8,0))</f>
        <v>0</v>
      </c>
      <c r="BW61" s="184">
        <f>IF(ISERR(VLOOKUP(VALUE(BW$44),'HR DATA'!$A$4:$AA$54,8,0)="TRUE"),0,VLOOKUP(VALUE(BW$44),'HR DATA'!$A$4:$AA$54,8,0))</f>
        <v>0</v>
      </c>
      <c r="BX61" s="184">
        <f>IF(ISERR(VLOOKUP(VALUE(BX$44),'HR DATA'!$A$4:$AA$54,8,0)="TRUE"),0,VLOOKUP(VALUE(BX$44),'HR DATA'!$A$4:$AA$54,8,0))</f>
        <v>0</v>
      </c>
      <c r="BY61" s="184">
        <f>IF(ISERR(VLOOKUP(VALUE(BY$44),'HR DATA'!$A$4:$AA$54,8,0)="TRUE"),0,VLOOKUP(VALUE(BY$44),'HR DATA'!$A$4:$AA$54,8,0))</f>
        <v>3131040.78</v>
      </c>
      <c r="BZ61" s="184">
        <f>IF(ISERR(VLOOKUP(VALUE(BZ$44),'HR DATA'!$A$4:$AA$54,8,0)="TRUE"),0,VLOOKUP(VALUE(BZ$44),'HR DATA'!$A$4:$AA$54,8,0))</f>
        <v>0</v>
      </c>
      <c r="CA61" s="184">
        <f>IF(ISERR(VLOOKUP(VALUE(CA$44),'HR DATA'!$A$4:$AA$54,8,0)="TRUE"),0,VLOOKUP(VALUE(CA$44),'HR DATA'!$A$4:$AA$54,8,0))</f>
        <v>1029103.27</v>
      </c>
      <c r="CB61" s="184">
        <f>IF(ISERR(VLOOKUP(VALUE(CB$44),'HR DATA'!$A$4:$AA$54,8,0)="TRUE"),0,VLOOKUP(VALUE(CB$44),'HR DATA'!$A$4:$AA$54,8,0))</f>
        <v>0</v>
      </c>
      <c r="CC61" s="184">
        <f>IF(ISERR(VLOOKUP(VALUE(CC$44),'HR DATA'!$A$4:$AA$54,8,0)="TRUE"),0,VLOOKUP(VALUE(CC$44),'HR DATA'!$A$4:$AA$54,8,0))+294565+1</f>
        <v>294566</v>
      </c>
      <c r="CD61" s="244" t="s">
        <v>221</v>
      </c>
      <c r="CE61" s="193">
        <f t="shared" si="0"/>
        <v>193640400.35999998</v>
      </c>
      <c r="CF61" s="247"/>
    </row>
    <row r="62" spans="1:84" ht="12.6" customHeight="1">
      <c r="A62" s="171" t="s">
        <v>3</v>
      </c>
      <c r="B62" s="175"/>
      <c r="C62" s="193">
        <f t="shared" ref="C62:BN62" si="1">ROUND(C47+C48,0)</f>
        <v>1174186</v>
      </c>
      <c r="D62" s="193">
        <f t="shared" si="1"/>
        <v>0</v>
      </c>
      <c r="E62" s="193">
        <f t="shared" si="1"/>
        <v>7381637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1563232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2079344</v>
      </c>
      <c r="Q62" s="193">
        <f t="shared" si="1"/>
        <v>1006432</v>
      </c>
      <c r="R62" s="193">
        <f t="shared" si="1"/>
        <v>78285</v>
      </c>
      <c r="S62" s="193">
        <f t="shared" si="1"/>
        <v>629081</v>
      </c>
      <c r="T62" s="193">
        <f t="shared" si="1"/>
        <v>0</v>
      </c>
      <c r="U62" s="193">
        <f t="shared" si="1"/>
        <v>1071244</v>
      </c>
      <c r="V62" s="193">
        <f t="shared" si="1"/>
        <v>109682</v>
      </c>
      <c r="W62" s="193">
        <f t="shared" si="1"/>
        <v>108682</v>
      </c>
      <c r="X62" s="193">
        <f t="shared" si="1"/>
        <v>0</v>
      </c>
      <c r="Y62" s="193">
        <f t="shared" si="1"/>
        <v>2996091</v>
      </c>
      <c r="Z62" s="193">
        <f t="shared" si="1"/>
        <v>419442</v>
      </c>
      <c r="AA62" s="193">
        <f t="shared" si="1"/>
        <v>65484</v>
      </c>
      <c r="AB62" s="193">
        <f t="shared" si="1"/>
        <v>1036355</v>
      </c>
      <c r="AC62" s="193">
        <f t="shared" si="1"/>
        <v>1182471</v>
      </c>
      <c r="AD62" s="193">
        <f t="shared" si="1"/>
        <v>0</v>
      </c>
      <c r="AE62" s="193">
        <f t="shared" si="1"/>
        <v>740534</v>
      </c>
      <c r="AF62" s="193">
        <f t="shared" si="1"/>
        <v>0</v>
      </c>
      <c r="AG62" s="193">
        <f t="shared" si="1"/>
        <v>2361074</v>
      </c>
      <c r="AH62" s="193">
        <f t="shared" si="1"/>
        <v>0</v>
      </c>
      <c r="AI62" s="193">
        <f t="shared" si="1"/>
        <v>0</v>
      </c>
      <c r="AJ62" s="193">
        <f t="shared" si="1"/>
        <v>10055664</v>
      </c>
      <c r="AK62" s="193">
        <f t="shared" si="1"/>
        <v>202562</v>
      </c>
      <c r="AL62" s="193">
        <f t="shared" si="1"/>
        <v>103039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1836105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32110</v>
      </c>
      <c r="AW62" s="193">
        <f t="shared" si="1"/>
        <v>247753</v>
      </c>
      <c r="AX62" s="193">
        <f t="shared" si="1"/>
        <v>0</v>
      </c>
      <c r="AY62" s="193">
        <f>ROUND(AY47+AY48,0)</f>
        <v>1228171</v>
      </c>
      <c r="AZ62" s="193">
        <f>ROUND(AZ47+AZ48,0)</f>
        <v>0</v>
      </c>
      <c r="BA62" s="193">
        <f>ROUND(BA47+BA48,0)</f>
        <v>45161</v>
      </c>
      <c r="BB62" s="193">
        <f t="shared" si="1"/>
        <v>0</v>
      </c>
      <c r="BC62" s="193">
        <f t="shared" si="1"/>
        <v>247919</v>
      </c>
      <c r="BD62" s="193">
        <f t="shared" si="1"/>
        <v>0</v>
      </c>
      <c r="BE62" s="193">
        <f t="shared" si="1"/>
        <v>335657</v>
      </c>
      <c r="BF62" s="193">
        <f t="shared" si="1"/>
        <v>1181308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0</v>
      </c>
      <c r="BK62" s="193">
        <f t="shared" si="1"/>
        <v>0</v>
      </c>
      <c r="BL62" s="193">
        <f t="shared" si="1"/>
        <v>3</v>
      </c>
      <c r="BM62" s="193">
        <f t="shared" si="1"/>
        <v>0</v>
      </c>
      <c r="BN62" s="193">
        <f t="shared" si="1"/>
        <v>1170646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51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693853</v>
      </c>
      <c r="BZ62" s="193">
        <f t="shared" si="2"/>
        <v>0</v>
      </c>
      <c r="CA62" s="193">
        <f t="shared" si="2"/>
        <v>236395</v>
      </c>
      <c r="CB62" s="193">
        <f t="shared" si="2"/>
        <v>0</v>
      </c>
      <c r="CC62" s="193">
        <f t="shared" si="2"/>
        <v>3</v>
      </c>
      <c r="CD62" s="244" t="s">
        <v>221</v>
      </c>
      <c r="CE62" s="193">
        <f t="shared" si="0"/>
        <v>41619656</v>
      </c>
      <c r="CF62" s="247"/>
    </row>
    <row r="63" spans="1:84" ht="12.6" customHeight="1">
      <c r="A63" s="171" t="s">
        <v>236</v>
      </c>
      <c r="B63" s="175"/>
      <c r="C63" s="184">
        <f>IF(ISERR(VLOOKUP(VALUE(C$44),'HR DATA'!$A$4:$AA$54,10,0)="TRUE"),0,VLOOKUP(VALUE(C$44),'HR DATA'!$A$4:$AA$54,10,0))</f>
        <v>894450.26</v>
      </c>
      <c r="D63" s="184">
        <f>IF(ISERR(VLOOKUP(VALUE(D$44),'HR DATA'!$A$4:$AA$54,10,0)="TRUE"),0,VLOOKUP(VALUE(D$44),'HR DATA'!$A$4:$AA$54,10,0))</f>
        <v>0</v>
      </c>
      <c r="E63" s="184">
        <f>IF(ISERR(VLOOKUP(VALUE(E$44),'HR DATA'!$A$4:$AA$54,10,0)="TRUE"),0,VLOOKUP(VALUE(E$44),'HR DATA'!$A$4:$AA$54,10,0))</f>
        <v>5293358.7300000004</v>
      </c>
      <c r="F63" s="184">
        <f>IF(ISERR(VLOOKUP(VALUE(F$44),'HR DATA'!$A$4:$AA$54,10,0)="TRUE"),0,VLOOKUP(VALUE(F$44),'HR DATA'!$A$4:$AA$54,10,0))</f>
        <v>0</v>
      </c>
      <c r="G63" s="184">
        <f>IF(ISERR(VLOOKUP(VALUE(G$44),'HR DATA'!$A$4:$AA$54,10,0)="TRUE"),0,VLOOKUP(VALUE(G$44),'HR DATA'!$A$4:$AA$54,10,0))</f>
        <v>0</v>
      </c>
      <c r="H63" s="184">
        <f>IF(ISERR(VLOOKUP(VALUE(H$44),'HR DATA'!$A$4:$AA$54,10,0)="TRUE"),0,VLOOKUP(VALUE(H$44),'HR DATA'!$A$4:$AA$54,10,0))</f>
        <v>0</v>
      </c>
      <c r="I63" s="184">
        <f>IF(ISERR(VLOOKUP(VALUE(I$44),'HR DATA'!$A$4:$AA$54,10,0)="TRUE"),0,VLOOKUP(VALUE(I$44),'HR DATA'!$A$4:$AA$54,10,0))</f>
        <v>0</v>
      </c>
      <c r="J63" s="184">
        <f>IF(ISERR(VLOOKUP(VALUE(J$44),'HR DATA'!$A$4:$AA$54,10,0)="TRUE"),0,VLOOKUP(VALUE(J$44),'HR DATA'!$A$4:$AA$54,10,0))</f>
        <v>1519079.29</v>
      </c>
      <c r="K63" s="184">
        <f>IF(ISERR(VLOOKUP(VALUE(K$44),'HR DATA'!$A$4:$AA$54,10,0)="TRUE"),0,VLOOKUP(VALUE(K$44),'HR DATA'!$A$4:$AA$54,10,0))</f>
        <v>0</v>
      </c>
      <c r="L63" s="184">
        <f>IF(ISERR(VLOOKUP(VALUE(L$44),'HR DATA'!$A$4:$AA$54,10,0)="TRUE"),0,VLOOKUP(VALUE(L$44),'HR DATA'!$A$4:$AA$54,10,0))</f>
        <v>0</v>
      </c>
      <c r="M63" s="184">
        <f>IF(ISERR(VLOOKUP(VALUE(M$44),'HR DATA'!$A$4:$AA$54,10,0)="TRUE"),0,VLOOKUP(VALUE(M$44),'HR DATA'!$A$4:$AA$54,10,0))</f>
        <v>0</v>
      </c>
      <c r="N63" s="184">
        <f>IF(ISERR(VLOOKUP(VALUE(N$44),'HR DATA'!$A$4:$AA$54,10,0)="TRUE"),0,VLOOKUP(VALUE(N$44),'HR DATA'!$A$4:$AA$54,10,0))</f>
        <v>0</v>
      </c>
      <c r="O63" s="184">
        <f>IF(ISERR(VLOOKUP(VALUE(O$44),'HR DATA'!$A$4:$AA$54,10,0)="TRUE"),0,VLOOKUP(VALUE(O$44),'HR DATA'!$A$4:$AA$54,10,0))</f>
        <v>0</v>
      </c>
      <c r="P63" s="184">
        <f>IF(ISERR(VLOOKUP(VALUE(P$44),'HR DATA'!$A$4:$AA$54,10,0)="TRUE"),0,VLOOKUP(VALUE(P$44),'HR DATA'!$A$4:$AA$54,10,0))</f>
        <v>3632366.89</v>
      </c>
      <c r="Q63" s="184">
        <f>IF(ISERR(VLOOKUP(VALUE(Q$44),'HR DATA'!$A$4:$AA$54,10,0)="TRUE"),0,VLOOKUP(VALUE(Q$44),'HR DATA'!$A$4:$AA$54,10,0))</f>
        <v>0</v>
      </c>
      <c r="R63" s="184">
        <f>IF(ISERR(VLOOKUP(VALUE(R$44),'HR DATA'!$A$4:$AA$54,10,0)="TRUE"),0,VLOOKUP(VALUE(R$44),'HR DATA'!$A$4:$AA$54,10,0))</f>
        <v>409954.48</v>
      </c>
      <c r="S63" s="184">
        <f>IF(ISERR(VLOOKUP(VALUE(S$44),'HR DATA'!$A$4:$AA$54,10,0)="TRUE"),0,VLOOKUP(VALUE(S$44),'HR DATA'!$A$4:$AA$54,10,0))</f>
        <v>0</v>
      </c>
      <c r="T63" s="184">
        <f>IF(ISERR(VLOOKUP(VALUE(T$44),'HR DATA'!$A$4:$AA$54,10,0)="TRUE"),0,VLOOKUP(VALUE(T$44),'HR DATA'!$A$4:$AA$54,10,0))</f>
        <v>0</v>
      </c>
      <c r="U63" s="184">
        <f>IF(ISERR(VLOOKUP(VALUE(U$44),'HR DATA'!$A$4:$AA$54,10,0)="TRUE"),0,VLOOKUP(VALUE(U$44),'HR DATA'!$A$4:$AA$54,10,0))</f>
        <v>60171.49</v>
      </c>
      <c r="V63" s="184">
        <f>IF(ISERR(VLOOKUP(VALUE(V$44),'HR DATA'!$A$4:$AA$54,10,0)="TRUE"),0,VLOOKUP(VALUE(V$44),'HR DATA'!$A$4:$AA$54,10,0))</f>
        <v>135997.07</v>
      </c>
      <c r="W63" s="184">
        <f>IF(ISERR(VLOOKUP(VALUE(W$44),'HR DATA'!$A$4:$AA$54,10,0)="TRUE"),0,VLOOKUP(VALUE(W$44),'HR DATA'!$A$4:$AA$54,10,0))</f>
        <v>0</v>
      </c>
      <c r="X63" s="184">
        <f>IF(ISERR(VLOOKUP(VALUE(X$44),'HR DATA'!$A$4:$AA$54,10,0)="TRUE"),0,VLOOKUP(VALUE(X$44),'HR DATA'!$A$4:$AA$54,10,0))</f>
        <v>0</v>
      </c>
      <c r="Y63" s="184">
        <f>IF(ISERR(VLOOKUP(VALUE(Y$44),'HR DATA'!$A$4:$AA$54,10,0)="TRUE"),0,VLOOKUP(VALUE(Y$44),'HR DATA'!$A$4:$AA$54,10,0))</f>
        <v>557589.54</v>
      </c>
      <c r="Z63" s="184">
        <f>IF(ISERR(VLOOKUP(VALUE(Z$44),'HR DATA'!$A$4:$AA$54,10,0)="TRUE"),0,VLOOKUP(VALUE(Z$44),'HR DATA'!$A$4:$AA$54,10,0))</f>
        <v>36637.5</v>
      </c>
      <c r="AA63" s="184">
        <f>IF(ISERR(VLOOKUP(VALUE(AA$44),'HR DATA'!$A$4:$AA$54,10,0)="TRUE"),0,VLOOKUP(VALUE(AA$44),'HR DATA'!$A$4:$AA$54,10,0))</f>
        <v>0</v>
      </c>
      <c r="AB63" s="184">
        <f>IF(ISERR(VLOOKUP(VALUE(AB$44),'HR DATA'!$A$4:$AA$54,10,0)="TRUE"),0,VLOOKUP(VALUE(AB$44),'HR DATA'!$A$4:$AA$54,10,0))</f>
        <v>0</v>
      </c>
      <c r="AC63" s="184">
        <f>IF(ISERR(VLOOKUP(VALUE(AC$44),'HR DATA'!$A$4:$AA$54,10,0)="TRUE"),0,VLOOKUP(VALUE(AC$44),'HR DATA'!$A$4:$AA$54,10,0))</f>
        <v>66675</v>
      </c>
      <c r="AD63" s="184">
        <f>IF(ISERR(VLOOKUP(VALUE(AD$44),'HR DATA'!$A$4:$AA$54,10,0)="TRUE"),0,VLOOKUP(VALUE(AD$44),'HR DATA'!$A$4:$AA$54,10,0))</f>
        <v>0</v>
      </c>
      <c r="AE63" s="184">
        <f>IF(ISERR(VLOOKUP(VALUE(AE$44),'HR DATA'!$A$4:$AA$54,10,0)="TRUE"),0,VLOOKUP(VALUE(AE$44),'HR DATA'!$A$4:$AA$54,10,0))</f>
        <v>215086.96</v>
      </c>
      <c r="AF63" s="184">
        <f>IF(ISERR(VLOOKUP(VALUE(AF$44),'HR DATA'!$A$4:$AA$54,10,0)="TRUE"),0,VLOOKUP(VALUE(AF$44),'HR DATA'!$A$4:$AA$54,10,0))</f>
        <v>0</v>
      </c>
      <c r="AG63" s="184">
        <f>IF(ISERR(VLOOKUP(VALUE(AG$44),'HR DATA'!$A$4:$AA$54,10,0)="TRUE"),0,VLOOKUP(VALUE(AG$44),'HR DATA'!$A$4:$AA$54,10,0))</f>
        <v>4005048.29</v>
      </c>
      <c r="AH63" s="184">
        <f>IF(ISERR(VLOOKUP(VALUE(AH$44),'HR DATA'!$A$4:$AA$54,10,0)="TRUE"),0,VLOOKUP(VALUE(AH$44),'HR DATA'!$A$4:$AA$54,10,0))</f>
        <v>0</v>
      </c>
      <c r="AI63" s="184">
        <f>IF(ISERR(VLOOKUP(VALUE(AI$44),'HR DATA'!$A$4:$AA$54,10,0)="TRUE"),0,VLOOKUP(VALUE(AI$44),'HR DATA'!$A$4:$AA$54,10,0))</f>
        <v>0</v>
      </c>
      <c r="AJ63" s="184">
        <f>IF(ISERR(VLOOKUP(VALUE(AJ$44),'HR DATA'!$A$4:$AA$54,10,0)="TRUE"),0,VLOOKUP(VALUE(AJ$44),'HR DATA'!$A$4:$AA$54,10,0))</f>
        <v>23717360.199999999</v>
      </c>
      <c r="AK63" s="184">
        <f>IF(ISERR(VLOOKUP(VALUE(AK$44),'HR DATA'!$A$4:$AA$54,10,0)="TRUE"),0,VLOOKUP(VALUE(AK$44),'HR DATA'!$A$4:$AA$54,10,0))</f>
        <v>0</v>
      </c>
      <c r="AL63" s="184">
        <f>IF(ISERR(VLOOKUP(VALUE(AL$44),'HR DATA'!$A$4:$AA$54,10,0)="TRUE"),0,VLOOKUP(VALUE(AL$44),'HR DATA'!$A$4:$AA$54,10,0))</f>
        <v>0</v>
      </c>
      <c r="AM63" s="184">
        <f>IF(ISERR(VLOOKUP(VALUE(AM$44),'HR DATA'!$A$4:$AA$54,10,0)="TRUE"),0,VLOOKUP(VALUE(AM$44),'HR DATA'!$A$4:$AA$54,10,0))</f>
        <v>0</v>
      </c>
      <c r="AN63" s="184">
        <f>IF(ISERR(VLOOKUP(VALUE(AN$44),'HR DATA'!$A$4:$AA$54,10,0)="TRUE"),0,VLOOKUP(VALUE(AN$44),'HR DATA'!$A$4:$AA$54,10,0))</f>
        <v>0</v>
      </c>
      <c r="AO63" s="184">
        <f>IF(ISERR(VLOOKUP(VALUE(AO$44),'HR DATA'!$A$4:$AA$54,10,0)="TRUE"),0,VLOOKUP(VALUE(AO$44),'HR DATA'!$A$4:$AA$54,10,0))</f>
        <v>0</v>
      </c>
      <c r="AP63" s="184">
        <f>IF(ISERR(VLOOKUP(VALUE(AP$44),'HR DATA'!$A$4:$AA$54,10,0)="TRUE"),0,VLOOKUP(VALUE(AP$44),'HR DATA'!$A$4:$AA$54,10,0))</f>
        <v>34260</v>
      </c>
      <c r="AQ63" s="184">
        <f>IF(ISERR(VLOOKUP(VALUE(AQ$44),'HR DATA'!$A$4:$AA$54,10,0)="TRUE"),0,VLOOKUP(VALUE(AQ$44),'HR DATA'!$A$4:$AA$54,10,0))</f>
        <v>0</v>
      </c>
      <c r="AR63" s="184">
        <f>IF(ISERR(VLOOKUP(VALUE(AR$44),'HR DATA'!$A$4:$AA$54,10,0)="TRUE"),0,VLOOKUP(VALUE(AR$44),'HR DATA'!$A$4:$AA$54,10,0))</f>
        <v>0</v>
      </c>
      <c r="AS63" s="184">
        <f>IF(ISERR(VLOOKUP(VALUE(AS$44),'HR DATA'!$A$4:$AA$54,10,0)="TRUE"),0,VLOOKUP(VALUE(AS$44),'HR DATA'!$A$4:$AA$54,10,0))</f>
        <v>0</v>
      </c>
      <c r="AT63" s="184">
        <f>IF(ISERR(VLOOKUP(VALUE(AT$44),'HR DATA'!$A$4:$AA$54,10,0)="TRUE"),0,VLOOKUP(VALUE(AT$44),'HR DATA'!$A$4:$AA$54,10,0))</f>
        <v>0</v>
      </c>
      <c r="AU63" s="184">
        <f>IF(ISERR(VLOOKUP(VALUE(AU$44),'HR DATA'!$A$4:$AA$54,10,0)="TRUE"),0,VLOOKUP(VALUE(AU$44),'HR DATA'!$A$4:$AA$54,10,0))</f>
        <v>0</v>
      </c>
      <c r="AV63" s="184">
        <f>IF(ISERR(VLOOKUP(VALUE(AV$44),'HR DATA'!$A$4:$AA$54,10,0)="TRUE"),0,VLOOKUP(VALUE(AV$44),'HR DATA'!$A$4:$AA$54,10,0))+1494533</f>
        <v>1449748.99</v>
      </c>
      <c r="AW63" s="184">
        <f>IF(ISERR(VLOOKUP(VALUE(AW$44),'HR DATA'!$A$4:$AA$54,10,0)="TRUE"),0,VLOOKUP(VALUE(AW$44),'HR DATA'!$A$4:$AA$54,10,0))</f>
        <v>0</v>
      </c>
      <c r="AX63" s="184">
        <f>IF(ISERR(VLOOKUP(VALUE(AX$44),'HR DATA'!$A$4:$AA$54,10,0)="TRUE"),0,VLOOKUP(VALUE(AX$44),'HR DATA'!$A$4:$AA$54,10,0))</f>
        <v>0</v>
      </c>
      <c r="AY63" s="184">
        <f>IF(ISERR(VLOOKUP(VALUE(AY$44),'HR DATA'!$A$4:$AA$54,10,0)="TRUE"),0,VLOOKUP(VALUE(AY$44),'HR DATA'!$A$4:$AA$54,10,0))</f>
        <v>0</v>
      </c>
      <c r="AZ63" s="184">
        <f>IF(ISERR(VLOOKUP(VALUE(AZ$44),'HR DATA'!$A$4:$AA$54,10,0)="TRUE"),0,VLOOKUP(VALUE(AZ$44),'HR DATA'!$A$4:$AA$54,10,0))</f>
        <v>0</v>
      </c>
      <c r="BA63" s="184">
        <f>IF(ISERR(VLOOKUP(VALUE(BA$44),'HR DATA'!$A$4:$AA$54,10,0)="TRUE"),0,VLOOKUP(VALUE(BA$44),'HR DATA'!$A$4:$AA$54,10,0))</f>
        <v>0</v>
      </c>
      <c r="BB63" s="184">
        <f>IF(ISERR(VLOOKUP(VALUE(BB$44),'HR DATA'!$A$4:$AA$54,10,0)="TRUE"),0,VLOOKUP(VALUE(BB$44),'HR DATA'!$A$4:$AA$54,10,0))</f>
        <v>0</v>
      </c>
      <c r="BC63" s="184">
        <f>IF(ISERR(VLOOKUP(VALUE(BC$44),'HR DATA'!$A$4:$AA$54,10,0)="TRUE"),0,VLOOKUP(VALUE(BC$44),'HR DATA'!$A$4:$AA$54,10,0))</f>
        <v>0</v>
      </c>
      <c r="BD63" s="184">
        <f>IF(ISERR(VLOOKUP(VALUE(BD$44),'HR DATA'!$A$4:$AA$54,10,0)="TRUE"),0,VLOOKUP(VALUE(BD$44),'HR DATA'!$A$4:$AA$54,10,0))</f>
        <v>0</v>
      </c>
      <c r="BE63" s="184">
        <f>IF(ISERR(VLOOKUP(VALUE(BE$44),'HR DATA'!$A$4:$AA$54,10,0)="TRUE"),0,VLOOKUP(VALUE(BE$44),'HR DATA'!$A$4:$AA$54,10,0))</f>
        <v>0</v>
      </c>
      <c r="BF63" s="184">
        <f>IF(ISERR(VLOOKUP(VALUE(BF$44),'HR DATA'!$A$4:$AA$54,10,0)="TRUE"),0,VLOOKUP(VALUE(BF$44),'HR DATA'!$A$4:$AA$54,10,0))</f>
        <v>0</v>
      </c>
      <c r="BG63" s="184">
        <f>IF(ISERR(VLOOKUP(VALUE(BG$44),'HR DATA'!$A$4:$AA$54,10,0)="TRUE"),0,VLOOKUP(VALUE(BG$44),'HR DATA'!$A$4:$AA$54,10,0))</f>
        <v>0</v>
      </c>
      <c r="BH63" s="184">
        <f>IF(ISERR(VLOOKUP(VALUE(BH$44),'HR DATA'!$A$4:$AA$54,10,0)="TRUE"),0,VLOOKUP(VALUE(BH$44),'HR DATA'!$A$4:$AA$54,10,0))</f>
        <v>0</v>
      </c>
      <c r="BI63" s="184">
        <f>IF(ISERR(VLOOKUP(VALUE(BI$44),'HR DATA'!$A$4:$AA$54,10,0)="TRUE"),0,VLOOKUP(VALUE(BI$44),'HR DATA'!$A$4:$AA$54,10,0))</f>
        <v>0</v>
      </c>
      <c r="BJ63" s="184">
        <f>IF(ISERR(VLOOKUP(VALUE(BJ$44),'HR DATA'!$A$4:$AA$54,10,0)="TRUE"),0,VLOOKUP(VALUE(BJ$44),'HR DATA'!$A$4:$AA$54,10,0))</f>
        <v>0</v>
      </c>
      <c r="BK63" s="184">
        <f>IF(ISERR(VLOOKUP(VALUE(BK$44),'HR DATA'!$A$4:$AA$54,10,0)="TRUE"),0,VLOOKUP(VALUE(BK$44),'HR DATA'!$A$4:$AA$54,10,0))</f>
        <v>0</v>
      </c>
      <c r="BL63" s="184">
        <f>IF(ISERR(VLOOKUP(VALUE(BL$44),'HR DATA'!$A$4:$AA$54,10,0)="TRUE"),0,VLOOKUP(VALUE(BL$44),'HR DATA'!$A$4:$AA$54,10,0))</f>
        <v>0</v>
      </c>
      <c r="BM63" s="184">
        <f>IF(ISERR(VLOOKUP(VALUE(BM$44),'HR DATA'!$A$4:$AA$54,10,0)="TRUE"),0,VLOOKUP(VALUE(BM$44),'HR DATA'!$A$4:$AA$54,10,0))</f>
        <v>0</v>
      </c>
      <c r="BN63" s="184">
        <f>IF(ISERR(VLOOKUP(VALUE(BN$44),'HR DATA'!$A$4:$AA$54,10,0)="TRUE"),0,VLOOKUP(VALUE(BN$44),'HR DATA'!$A$4:$AA$54,10,0))</f>
        <v>2365</v>
      </c>
      <c r="BO63" s="184">
        <f>IF(ISERR(VLOOKUP(VALUE(BO$44),'HR DATA'!$A$4:$AA$54,10,0)="TRUE"),0,VLOOKUP(VALUE(BO$44),'HR DATA'!$A$4:$AA$54,10,0))</f>
        <v>0</v>
      </c>
      <c r="BP63" s="184">
        <f>IF(ISERR(VLOOKUP(VALUE(BP$44),'HR DATA'!$A$4:$AA$54,10,0)="TRUE"),0,VLOOKUP(VALUE(BP$44),'HR DATA'!$A$4:$AA$54,10,0))</f>
        <v>0</v>
      </c>
      <c r="BQ63" s="184">
        <f>IF(ISERR(VLOOKUP(VALUE(BQ$44),'HR DATA'!$A$4:$AA$54,10,0)="TRUE"),0,VLOOKUP(VALUE(BQ$44),'HR DATA'!$A$4:$AA$54,10,0))</f>
        <v>0</v>
      </c>
      <c r="BR63" s="184">
        <f>IF(ISERR(VLOOKUP(VALUE(BR$44),'HR DATA'!$A$4:$AA$54,10,0)="TRUE"),0,VLOOKUP(VALUE(BR$44),'HR DATA'!$A$4:$AA$54,10,0))</f>
        <v>0</v>
      </c>
      <c r="BS63" s="184">
        <f>IF(ISERR(VLOOKUP(VALUE(BS$44),'HR DATA'!$A$4:$AA$54,10,0)="TRUE"),0,VLOOKUP(VALUE(BS$44),'HR DATA'!$A$4:$AA$54,10,0))</f>
        <v>0</v>
      </c>
      <c r="BT63" s="184">
        <f>IF(ISERR(VLOOKUP(VALUE(BT$44),'HR DATA'!$A$4:$AA$54,10,0)="TRUE"),0,VLOOKUP(VALUE(BT$44),'HR DATA'!$A$4:$AA$54,10,0))</f>
        <v>0</v>
      </c>
      <c r="BU63" s="184">
        <f>IF(ISERR(VLOOKUP(VALUE(BU$44),'HR DATA'!$A$4:$AA$54,10,0)="TRUE"),0,VLOOKUP(VALUE(BU$44),'HR DATA'!$A$4:$AA$54,10,0))</f>
        <v>0</v>
      </c>
      <c r="BV63" s="184">
        <f>IF(ISERR(VLOOKUP(VALUE(BV$44),'HR DATA'!$A$4:$AA$54,10,0)="TRUE"),0,VLOOKUP(VALUE(BV$44),'HR DATA'!$A$4:$AA$54,10,0))</f>
        <v>0</v>
      </c>
      <c r="BW63" s="184">
        <f>IF(ISERR(VLOOKUP(VALUE(BW$44),'HR DATA'!$A$4:$AA$54,10,0)="TRUE"),0,VLOOKUP(VALUE(BW$44),'HR DATA'!$A$4:$AA$54,10,0))</f>
        <v>0</v>
      </c>
      <c r="BX63" s="184">
        <f>IF(ISERR(VLOOKUP(VALUE(BX$44),'HR DATA'!$A$4:$AA$54,10,0)="TRUE"),0,VLOOKUP(VALUE(BX$44),'HR DATA'!$A$4:$AA$54,10,0))</f>
        <v>18750</v>
      </c>
      <c r="BY63" s="184">
        <f>IF(ISERR(VLOOKUP(VALUE(BY$44),'HR DATA'!$A$4:$AA$54,10,0)="TRUE"),0,VLOOKUP(VALUE(BY$44),'HR DATA'!$A$4:$AA$54,10,0))</f>
        <v>0</v>
      </c>
      <c r="BZ63" s="184">
        <f>IF(ISERR(VLOOKUP(VALUE(BZ$44),'HR DATA'!$A$4:$AA$54,10,0)="TRUE"),0,VLOOKUP(VALUE(BZ$44),'HR DATA'!$A$4:$AA$54,10,0))</f>
        <v>0</v>
      </c>
      <c r="CA63" s="184">
        <f>IF(ISERR(VLOOKUP(VALUE(CA$44),'HR DATA'!$A$4:$AA$54,10,0)="TRUE"),0,VLOOKUP(VALUE(CA$44),'HR DATA'!$A$4:$AA$54,10,0))</f>
        <v>0</v>
      </c>
      <c r="CB63" s="184">
        <f>IF(ISERR(VLOOKUP(VALUE(CB$44),'HR DATA'!$A$4:$AA$54,10,0)="TRUE"),0,VLOOKUP(VALUE(CB$44),'HR DATA'!$A$4:$AA$54,10,0))</f>
        <v>0</v>
      </c>
      <c r="CC63" s="184">
        <f>IF(ISERR(VLOOKUP(VALUE(CC$44),'HR DATA'!$A$4:$AA$54,10,0)="TRUE"),0,VLOOKUP(VALUE(CC$44),'HR DATA'!$A$4:$AA$54,10,0))</f>
        <v>0</v>
      </c>
      <c r="CD63" s="244" t="s">
        <v>221</v>
      </c>
      <c r="CE63" s="193">
        <f t="shared" si="0"/>
        <v>42048899.690000005</v>
      </c>
      <c r="CF63" s="247"/>
    </row>
    <row r="64" spans="1:84" ht="12.6" customHeight="1">
      <c r="A64" s="171" t="s">
        <v>237</v>
      </c>
      <c r="B64" s="175"/>
      <c r="C64" s="184">
        <f>IF(ISERR(VLOOKUP(VALUE(C$44),'HR DATA'!$A$4:$AA$56,12,0)="TRUE"),0,VLOOKUP(VALUE(C$44),'HR DATA'!$A$4:$AA$56,12,0))</f>
        <v>708566.23999999987</v>
      </c>
      <c r="D64" s="184">
        <f>IF(ISERR(VLOOKUP(VALUE(D$44),'HR DATA'!$A$4:$AA$56,12,0)="TRUE"),0,VLOOKUP(VALUE(D$44),'HR DATA'!$A$4:$AA$56,12,0))</f>
        <v>0</v>
      </c>
      <c r="E64" s="184">
        <f>IF(ISERR(VLOOKUP(VALUE(E$44),'HR DATA'!$A$4:$AA$56,12,0)="TRUE"),0,VLOOKUP(VALUE(E$44),'HR DATA'!$A$4:$AA$56,12,0))</f>
        <v>2017672.2300000002</v>
      </c>
      <c r="F64" s="184">
        <f>IF(ISERR(VLOOKUP(VALUE(F$44),'HR DATA'!$A$4:$AA$56,12,0)="TRUE"),0,VLOOKUP(VALUE(F$44),'HR DATA'!$A$4:$AA$56,12,0))</f>
        <v>0</v>
      </c>
      <c r="G64" s="184">
        <f>IF(ISERR(VLOOKUP(VALUE(G$44),'HR DATA'!$A$4:$AA$56,12,0)="TRUE"),0,VLOOKUP(VALUE(G$44),'HR DATA'!$A$4:$AA$56,12,0))</f>
        <v>0</v>
      </c>
      <c r="H64" s="184">
        <f>IF(ISERR(VLOOKUP(VALUE(H$44),'HR DATA'!$A$4:$AA$56,12,0)="TRUE"),0,VLOOKUP(VALUE(H$44),'HR DATA'!$A$4:$AA$56,12,0))</f>
        <v>0</v>
      </c>
      <c r="I64" s="184">
        <f>IF(ISERR(VLOOKUP(VALUE(I$44),'HR DATA'!$A$4:$AA$56,12,0)="TRUE"),0,VLOOKUP(VALUE(I$44),'HR DATA'!$A$4:$AA$56,12,0))</f>
        <v>0</v>
      </c>
      <c r="J64" s="184">
        <f>IF(ISERR(VLOOKUP(VALUE(J$44),'HR DATA'!$A$4:$AA$56,12,0)="TRUE"),0,VLOOKUP(VALUE(J$44),'HR DATA'!$A$4:$AA$56,12,0))</f>
        <v>794572.83</v>
      </c>
      <c r="K64" s="184">
        <f>IF(ISERR(VLOOKUP(VALUE(K$44),'HR DATA'!$A$4:$AA$56,12,0)="TRUE"),0,VLOOKUP(VALUE(K$44),'HR DATA'!$A$4:$AA$56,12,0))</f>
        <v>0</v>
      </c>
      <c r="L64" s="184">
        <f>IF(ISERR(VLOOKUP(VALUE(L$44),'HR DATA'!$A$4:$AA$56,12,0)="TRUE"),0,VLOOKUP(VALUE(L$44),'HR DATA'!$A$4:$AA$56,12,0))</f>
        <v>0</v>
      </c>
      <c r="M64" s="184">
        <f>IF(ISERR(VLOOKUP(VALUE(M$44),'HR DATA'!$A$4:$AA$56,12,0)="TRUE"),0,VLOOKUP(VALUE(M$44),'HR DATA'!$A$4:$AA$56,12,0))</f>
        <v>0</v>
      </c>
      <c r="N64" s="184">
        <f>IF(ISERR(VLOOKUP(VALUE(N$44),'HR DATA'!$A$4:$AA$56,12,0)="TRUE"),0,VLOOKUP(VALUE(N$44),'HR DATA'!$A$4:$AA$56,12,0))</f>
        <v>0</v>
      </c>
      <c r="O64" s="184">
        <f>IF(ISERR(VLOOKUP(VALUE(O$44),'HR DATA'!$A$4:$AA$56,12,0)="TRUE"),0,VLOOKUP(VALUE(O$44),'HR DATA'!$A$4:$AA$56,12,0))</f>
        <v>0</v>
      </c>
      <c r="P64" s="184">
        <f>IF(ISERR(VLOOKUP(VALUE(P$44),'HR DATA'!$A$4:$AA$56,12,0)="TRUE"),0,VLOOKUP(VALUE(P$44),'HR DATA'!$A$4:$AA$56,12,0))</f>
        <v>21822590.370000001</v>
      </c>
      <c r="Q64" s="184">
        <f>IF(ISERR(VLOOKUP(VALUE(Q$44),'HR DATA'!$A$4:$AA$56,12,0)="TRUE"),0,VLOOKUP(VALUE(Q$44),'HR DATA'!$A$4:$AA$56,12,0))</f>
        <v>481724.90999999992</v>
      </c>
      <c r="R64" s="184">
        <f>IF(ISERR(VLOOKUP(VALUE(R$44),'HR DATA'!$A$4:$AA$56,12,0)="TRUE"),0,VLOOKUP(VALUE(R$44),'HR DATA'!$A$4:$AA$56,12,0))</f>
        <v>401212.72000000003</v>
      </c>
      <c r="S64" s="184">
        <f>IF(ISERR(VLOOKUP(VALUE(S$44),'HR DATA'!$A$4:$AA$56,12,0)="TRUE"),0,VLOOKUP(VALUE(S$44),'HR DATA'!$A$4:$AA$56,12,0))</f>
        <v>-857551.18000000052</v>
      </c>
      <c r="T64" s="184">
        <f>IF(ISERR(VLOOKUP(VALUE(T$44),'HR DATA'!$A$4:$AA$56,12,0)="TRUE"),0,VLOOKUP(VALUE(T$44),'HR DATA'!$A$4:$AA$56,12,0))</f>
        <v>0</v>
      </c>
      <c r="U64" s="184">
        <f>IF(ISERR(VLOOKUP(VALUE(U$44),'HR DATA'!$A$4:$AA$56,12,0)="TRUE"),0,VLOOKUP(VALUE(U$44),'HR DATA'!$A$4:$AA$56,12,0))</f>
        <v>4248022.34</v>
      </c>
      <c r="V64" s="184">
        <f>IF(ISERR(VLOOKUP(VALUE(V$44),'HR DATA'!$A$4:$AA$56,12,0)="TRUE"),0,VLOOKUP(VALUE(V$44),'HR DATA'!$A$4:$AA$56,12,0))</f>
        <v>11234.910000000002</v>
      </c>
      <c r="W64" s="184">
        <f>IF(ISERR(VLOOKUP(VALUE(W$44),'HR DATA'!$A$4:$AA$56,12,0)="TRUE"),0,VLOOKUP(VALUE(W$44),'HR DATA'!$A$4:$AA$56,12,0))</f>
        <v>88013.170000000013</v>
      </c>
      <c r="X64" s="184">
        <f>IF(ISERR(VLOOKUP(VALUE(X$44),'HR DATA'!$A$4:$AA$56,12,0)="TRUE"),0,VLOOKUP(VALUE(X$44),'HR DATA'!$A$4:$AA$56,12,0))</f>
        <v>0</v>
      </c>
      <c r="Y64" s="184">
        <f>IF(ISERR(VLOOKUP(VALUE(Y$44),'HR DATA'!$A$4:$AA$56,12,0)="TRUE"),0,VLOOKUP(VALUE(Y$44),'HR DATA'!$A$4:$AA$56,12,0))</f>
        <v>17447975.600000001</v>
      </c>
      <c r="Z64" s="184">
        <f>IF(ISERR(VLOOKUP(VALUE(Z$44),'HR DATA'!$A$4:$AA$56,12,0)="TRUE"),0,VLOOKUP(VALUE(Z$44),'HR DATA'!$A$4:$AA$56,12,0))</f>
        <v>47163.69</v>
      </c>
      <c r="AA64" s="184">
        <f>IF(ISERR(VLOOKUP(VALUE(AA$44),'HR DATA'!$A$4:$AA$56,12,0)="TRUE"),0,VLOOKUP(VALUE(AA$44),'HR DATA'!$A$4:$AA$56,12,0))</f>
        <v>753369.01</v>
      </c>
      <c r="AB64" s="184">
        <f>IF(ISERR(VLOOKUP(VALUE(AB$44),'HR DATA'!$A$4:$AA$56,12,0)="TRUE"),0,VLOOKUP(VALUE(AB$44),'HR DATA'!$A$4:$AA$56,12,0))</f>
        <v>11976472.909999998</v>
      </c>
      <c r="AC64" s="184">
        <f>IF(ISERR(VLOOKUP(VALUE(AC$44),'HR DATA'!$A$4:$AA$56,12,0)="TRUE"),0,VLOOKUP(VALUE(AC$44),'HR DATA'!$A$4:$AA$56,12,0))</f>
        <v>522658.87999999995</v>
      </c>
      <c r="AD64" s="184">
        <f>IF(ISERR(VLOOKUP(VALUE(AD$44),'HR DATA'!$A$4:$AA$56,12,0)="TRUE"),0,VLOOKUP(VALUE(AD$44),'HR DATA'!$A$4:$AA$56,12,0))</f>
        <v>0</v>
      </c>
      <c r="AE64" s="184">
        <f>IF(ISERR(VLOOKUP(VALUE(AE$44),'HR DATA'!$A$4:$AA$56,12,0)="TRUE"),0,VLOOKUP(VALUE(AE$44),'HR DATA'!$A$4:$AA$56,12,0))</f>
        <v>586754.39</v>
      </c>
      <c r="AF64" s="184">
        <f>IF(ISERR(VLOOKUP(VALUE(AF$44),'HR DATA'!$A$4:$AA$56,12,0)="TRUE"),0,VLOOKUP(VALUE(AF$44),'HR DATA'!$A$4:$AA$56,12,0))</f>
        <v>0</v>
      </c>
      <c r="AG64" s="184">
        <f>IF(ISERR(VLOOKUP(VALUE(AG$44),'HR DATA'!$A$4:$AA$56,12,0)="TRUE"),0,VLOOKUP(VALUE(AG$44),'HR DATA'!$A$4:$AA$56,12,0))</f>
        <v>1677276.4999999995</v>
      </c>
      <c r="AH64" s="184">
        <f>IF(ISERR(VLOOKUP(VALUE(AH$44),'HR DATA'!$A$4:$AA$56,12,0)="TRUE"),0,VLOOKUP(VALUE(AH$44),'HR DATA'!$A$4:$AA$56,12,0))</f>
        <v>0</v>
      </c>
      <c r="AI64" s="184">
        <f>IF(ISERR(VLOOKUP(VALUE(AI$44),'HR DATA'!$A$4:$AA$56,12,0)="TRUE"),0,VLOOKUP(VALUE(AI$44),'HR DATA'!$A$4:$AA$56,12,0))</f>
        <v>0</v>
      </c>
      <c r="AJ64" s="184">
        <f>IF(ISERR(VLOOKUP(VALUE(AJ$44),'HR DATA'!$A$4:$AA$56,12,0)="TRUE"),0,VLOOKUP(VALUE(AJ$44),'HR DATA'!$A$4:$AA$56,12,0))</f>
        <v>2833738.4700000011</v>
      </c>
      <c r="AK64" s="184">
        <f>IF(ISERR(VLOOKUP(VALUE(AK$44),'HR DATA'!$A$4:$AA$56,12,0)="TRUE"),0,VLOOKUP(VALUE(AK$44),'HR DATA'!$A$4:$AA$56,12,0))</f>
        <v>10168.02</v>
      </c>
      <c r="AL64" s="184">
        <f>IF(ISERR(VLOOKUP(VALUE(AL$44),'HR DATA'!$A$4:$AA$56,12,0)="TRUE"),0,VLOOKUP(VALUE(AL$44),'HR DATA'!$A$4:$AA$56,12,0))</f>
        <v>5028.4099999999989</v>
      </c>
      <c r="AM64" s="184">
        <f>IF(ISERR(VLOOKUP(VALUE(AM$44),'HR DATA'!$A$4:$AA$56,12,0)="TRUE"),0,VLOOKUP(VALUE(AM$44),'HR DATA'!$A$4:$AA$56,12,0))</f>
        <v>-44.78</v>
      </c>
      <c r="AN64" s="184">
        <f>IF(ISERR(VLOOKUP(VALUE(AN$44),'HR DATA'!$A$4:$AA$56,12,0)="TRUE"),0,VLOOKUP(VALUE(AN$44),'HR DATA'!$A$4:$AA$56,12,0))</f>
        <v>0</v>
      </c>
      <c r="AO64" s="184">
        <f>IF(ISERR(VLOOKUP(VALUE(AO$44),'HR DATA'!$A$4:$AA$56,12,0)="TRUE"),0,VLOOKUP(VALUE(AO$44),'HR DATA'!$A$4:$AA$56,12,0))</f>
        <v>0</v>
      </c>
      <c r="AP64" s="184">
        <f>IF(ISERR(VLOOKUP(VALUE(AP$44),'HR DATA'!$A$4:$AA$56,12,0)="TRUE"),0,VLOOKUP(VALUE(AP$44),'HR DATA'!$A$4:$AA$56,12,0))</f>
        <v>39078298.650000006</v>
      </c>
      <c r="AQ64" s="184">
        <f>IF(ISERR(VLOOKUP(VALUE(AQ$44),'HR DATA'!$A$4:$AA$56,12,0)="TRUE"),0,VLOOKUP(VALUE(AQ$44),'HR DATA'!$A$4:$AA$56,12,0))</f>
        <v>0</v>
      </c>
      <c r="AR64" s="184">
        <f>IF(ISERR(VLOOKUP(VALUE(AR$44),'HR DATA'!$A$4:$AA$56,12,0)="TRUE"),0,VLOOKUP(VALUE(AR$44),'HR DATA'!$A$4:$AA$56,12,0))</f>
        <v>0</v>
      </c>
      <c r="AS64" s="184">
        <f>IF(ISERR(VLOOKUP(VALUE(AS$44),'HR DATA'!$A$4:$AA$56,12,0)="TRUE"),0,VLOOKUP(VALUE(AS$44),'HR DATA'!$A$4:$AA$56,12,0))</f>
        <v>0</v>
      </c>
      <c r="AT64" s="184">
        <f>IF(ISERR(VLOOKUP(VALUE(AT$44),'HR DATA'!$A$4:$AA$56,12,0)="TRUE"),0,VLOOKUP(VALUE(AT$44),'HR DATA'!$A$4:$AA$56,12,0))</f>
        <v>0</v>
      </c>
      <c r="AU64" s="184">
        <f>IF(ISERR(VLOOKUP(VALUE(AU$44),'HR DATA'!$A$4:$AA$56,12,0)="TRUE"),0,VLOOKUP(VALUE(AU$44),'HR DATA'!$A$4:$AA$56,12,0))</f>
        <v>0</v>
      </c>
      <c r="AV64" s="184">
        <f>IF(ISERR(VLOOKUP(VALUE(AV$44),'HR DATA'!$A$4:$AA$56,12,0)="TRUE"),0,VLOOKUP(VALUE(AV$44),'HR DATA'!$A$4:$AA$56,12,0))</f>
        <v>1951.96</v>
      </c>
      <c r="AW64" s="184">
        <f>IF(ISERR(VLOOKUP(VALUE(AW$44),'HR DATA'!$A$4:$AA$56,12,0)="TRUE"),0,VLOOKUP(VALUE(AW$44),'HR DATA'!$A$4:$AA$56,12,0))</f>
        <v>9923.239999999998</v>
      </c>
      <c r="AX64" s="184">
        <f>IF(ISERR(VLOOKUP(VALUE(AX$44),'HR DATA'!$A$4:$AA$56,12,0)="TRUE"),0,VLOOKUP(VALUE(AX$44),'HR DATA'!$A$4:$AA$56,12,0))</f>
        <v>0</v>
      </c>
      <c r="AY64" s="184">
        <f>IF(ISERR(VLOOKUP(VALUE(AY$44),'HR DATA'!$A$4:$AA$56,12,0)="TRUE"),0,VLOOKUP(VALUE(AY$44),'HR DATA'!$A$4:$AA$56,12,0))</f>
        <v>1742441.79</v>
      </c>
      <c r="AZ64" s="184">
        <f>IF(ISERR(VLOOKUP(VALUE(AZ$44),'HR DATA'!$A$4:$AA$56,12,0)="TRUE"),0,VLOOKUP(VALUE(AZ$44),'HR DATA'!$A$4:$AA$56,12,0))</f>
        <v>0</v>
      </c>
      <c r="BA64" s="184">
        <f>IF(ISERR(VLOOKUP(VALUE(BA$44),'HR DATA'!$A$4:$AA$56,12,0)="TRUE"),0,VLOOKUP(VALUE(BA$44),'HR DATA'!$A$4:$AA$56,12,0))</f>
        <v>0</v>
      </c>
      <c r="BB64" s="184">
        <f>IF(ISERR(VLOOKUP(VALUE(BB$44),'HR DATA'!$A$4:$AA$56,12,0)="TRUE"),0,VLOOKUP(VALUE(BB$44),'HR DATA'!$A$4:$AA$56,12,0))</f>
        <v>3108.41</v>
      </c>
      <c r="BC64" s="184">
        <f>IF(ISERR(VLOOKUP(VALUE(BC$44),'HR DATA'!$A$4:$AA$56,12,0)="TRUE"),0,VLOOKUP(VALUE(BC$44),'HR DATA'!$A$4:$AA$56,12,0))</f>
        <v>15413.140000000003</v>
      </c>
      <c r="BD64" s="184">
        <f>IF(ISERR(VLOOKUP(VALUE(BD$44),'HR DATA'!$A$4:$AA$56,12,0)="TRUE"),0,VLOOKUP(VALUE(BD$44),'HR DATA'!$A$4:$AA$56,12,0))</f>
        <v>0</v>
      </c>
      <c r="BE64" s="184">
        <f>IF(ISERR(VLOOKUP(VALUE(BE$44),'HR DATA'!$A$4:$AA$56,12,0)="TRUE"),0,VLOOKUP(VALUE(BE$44),'HR DATA'!$A$4:$AA$56,12,0))</f>
        <v>28715.850000000002</v>
      </c>
      <c r="BF64" s="184">
        <f>IF(ISERR(VLOOKUP(VALUE(BF$44),'HR DATA'!$A$4:$AA$56,12,0)="TRUE"),0,VLOOKUP(VALUE(BF$44),'HR DATA'!$A$4:$AA$56,12,0))</f>
        <v>191132.07</v>
      </c>
      <c r="BG64" s="184">
        <f>IF(ISERR(VLOOKUP(VALUE(BG$44),'HR DATA'!$A$4:$AA$56,12,0)="TRUE"),0,VLOOKUP(VALUE(BG$44),'HR DATA'!$A$4:$AA$56,12,0))</f>
        <v>0</v>
      </c>
      <c r="BH64" s="184">
        <f>IF(ISERR(VLOOKUP(VALUE(BH$44),'HR DATA'!$A$4:$AA$56,12,0)="TRUE"),0,VLOOKUP(VALUE(BH$44),'HR DATA'!$A$4:$AA$56,12,0))</f>
        <v>0</v>
      </c>
      <c r="BI64" s="184">
        <f>IF(ISERR(VLOOKUP(VALUE(BI$44),'HR DATA'!$A$4:$AA$56,12,0)="TRUE"),0,VLOOKUP(VALUE(BI$44),'HR DATA'!$A$4:$AA$56,12,0))</f>
        <v>0</v>
      </c>
      <c r="BJ64" s="184">
        <f>IF(ISERR(VLOOKUP(VALUE(BJ$44),'HR DATA'!$A$4:$AA$56,12,0)="TRUE"),0,VLOOKUP(VALUE(BJ$44),'HR DATA'!$A$4:$AA$56,12,0))</f>
        <v>0</v>
      </c>
      <c r="BK64" s="184">
        <f>IF(ISERR(VLOOKUP(VALUE(BK$44),'HR DATA'!$A$4:$AA$56,12,0)="TRUE"),0,VLOOKUP(VALUE(BK$44),'HR DATA'!$A$4:$AA$56,12,0))</f>
        <v>292.09000000000003</v>
      </c>
      <c r="BL64" s="184">
        <f>IF(ISERR(VLOOKUP(VALUE(BL$44),'HR DATA'!$A$4:$AA$56,12,0)="TRUE"),0,VLOOKUP(VALUE(BL$44),'HR DATA'!$A$4:$AA$56,12,0))</f>
        <v>26337.99</v>
      </c>
      <c r="BM64" s="184">
        <f>IF(ISERR(VLOOKUP(VALUE(BM$44),'HR DATA'!$A$4:$AA$56,12,0)="TRUE"),0,VLOOKUP(VALUE(BM$44),'HR DATA'!$A$4:$AA$56,12,0))</f>
        <v>0</v>
      </c>
      <c r="BN64" s="184">
        <f>IF(ISERR(VLOOKUP(VALUE(BN$44),'HR DATA'!$A$4:$AA$56,12,0)="TRUE"),0,VLOOKUP(VALUE(BN$44),'HR DATA'!$A$4:$AA$56,12,0))</f>
        <v>393862.95999999996</v>
      </c>
      <c r="BO64" s="184">
        <f>IF(ISERR(VLOOKUP(VALUE(BO$44),'HR DATA'!$A$4:$AA$56,12,0)="TRUE"),0,VLOOKUP(VALUE(BO$44),'HR DATA'!$A$4:$AA$56,12,0))</f>
        <v>0</v>
      </c>
      <c r="BP64" s="184">
        <f>IF(ISERR(VLOOKUP(VALUE(BP$44),'HR DATA'!$A$4:$AA$56,12,0)="TRUE"),0,VLOOKUP(VALUE(BP$44),'HR DATA'!$A$4:$AA$56,12,0))</f>
        <v>0</v>
      </c>
      <c r="BQ64" s="184">
        <f>IF(ISERR(VLOOKUP(VALUE(BQ$44),'HR DATA'!$A$4:$AA$56,12,0)="TRUE"),0,VLOOKUP(VALUE(BQ$44),'HR DATA'!$A$4:$AA$56,12,0))</f>
        <v>0</v>
      </c>
      <c r="BR64" s="184">
        <f>IF(ISERR(VLOOKUP(VALUE(BR$44),'HR DATA'!$A$4:$AA$56,12,0)="TRUE"),0,VLOOKUP(VALUE(BR$44),'HR DATA'!$A$4:$AA$56,12,0))</f>
        <v>16481.95</v>
      </c>
      <c r="BS64" s="184">
        <f>IF(ISERR(VLOOKUP(VALUE(BS$44),'HR DATA'!$A$4:$AA$56,12,0)="TRUE"),0,VLOOKUP(VALUE(BS$44),'HR DATA'!$A$4:$AA$56,12,0))</f>
        <v>0</v>
      </c>
      <c r="BT64" s="184">
        <f>IF(ISERR(VLOOKUP(VALUE(BT$44),'HR DATA'!$A$4:$AA$56,12,0)="TRUE"),0,VLOOKUP(VALUE(BT$44),'HR DATA'!$A$4:$AA$56,12,0))</f>
        <v>18.98</v>
      </c>
      <c r="BU64" s="184">
        <f>IF(ISERR(VLOOKUP(VALUE(BU$44),'HR DATA'!$A$4:$AA$56,12,0)="TRUE"),0,VLOOKUP(VALUE(BU$44),'HR DATA'!$A$4:$AA$56,12,0))</f>
        <v>0</v>
      </c>
      <c r="BV64" s="184">
        <f>IF(ISERR(VLOOKUP(VALUE(BV$44),'HR DATA'!$A$4:$AA$56,12,0)="TRUE"),0,VLOOKUP(VALUE(BV$44),'HR DATA'!$A$4:$AA$56,12,0))</f>
        <v>5280.22</v>
      </c>
      <c r="BW64" s="184">
        <f>IF(ISERR(VLOOKUP(VALUE(BW$44),'HR DATA'!$A$4:$AA$56,12,0)="TRUE"),0,VLOOKUP(VALUE(BW$44),'HR DATA'!$A$4:$AA$56,12,0))</f>
        <v>147</v>
      </c>
      <c r="BX64" s="184">
        <f>IF(ISERR(VLOOKUP(VALUE(BX$44),'HR DATA'!$A$4:$AA$56,12,0)="TRUE"),0,VLOOKUP(VALUE(BX$44),'HR DATA'!$A$4:$AA$56,12,0))</f>
        <v>8</v>
      </c>
      <c r="BY64" s="184">
        <f>IF(ISERR(VLOOKUP(VALUE(BY$44),'HR DATA'!$A$4:$AA$56,12,0)="TRUE"),0,VLOOKUP(VALUE(BY$44),'HR DATA'!$A$4:$AA$56,12,0))</f>
        <v>20581.13</v>
      </c>
      <c r="BZ64" s="184">
        <f>IF(ISERR(VLOOKUP(VALUE(BZ$44),'HR DATA'!$A$4:$AA$56,12,0)="TRUE"),0,VLOOKUP(VALUE(BZ$44),'HR DATA'!$A$4:$AA$56,12,0))</f>
        <v>0</v>
      </c>
      <c r="CA64" s="184">
        <f>IF(ISERR(VLOOKUP(VALUE(CA$44),'HR DATA'!$A$4:$AA$56,12,0)="TRUE"),0,VLOOKUP(VALUE(CA$44),'HR DATA'!$A$4:$AA$56,12,0))</f>
        <v>39334.020000000004</v>
      </c>
      <c r="CB64" s="184">
        <f>IF(ISERR(VLOOKUP(VALUE(CB$44),'HR DATA'!$A$4:$AA$56,12,0)="TRUE"),0,VLOOKUP(VALUE(CB$44),'HR DATA'!$A$4:$AA$56,12,0))</f>
        <v>0</v>
      </c>
      <c r="CC64" s="184">
        <f>IF(ISERR(VLOOKUP(VALUE(CC$44),'HR DATA'!$A$4:$AA$56,12,0)="TRUE"),0,VLOOKUP(VALUE(CC$44),'HR DATA'!$A$4:$AA$56,12,0))+370397</f>
        <v>370461.63</v>
      </c>
      <c r="CD64" s="244" t="s">
        <v>221</v>
      </c>
      <c r="CE64" s="193">
        <f t="shared" si="0"/>
        <v>107520410.71999995</v>
      </c>
      <c r="CF64" s="247"/>
    </row>
    <row r="65" spans="1:84" ht="12.6" customHeight="1">
      <c r="A65" s="171" t="s">
        <v>238</v>
      </c>
      <c r="B65" s="175"/>
      <c r="C65" s="184">
        <f>IF(ISERR(VLOOKUP(VALUE(C$44),'HR DATA'!$A$4:$AA$54,13,0)="TRUE"),0,VLOOKUP(VALUE(C$44),'HR DATA'!$A$4:$AA$54,13,0))</f>
        <v>1049</v>
      </c>
      <c r="D65" s="184">
        <f>IF(ISERR(VLOOKUP(VALUE(D$44),'HR DATA'!$A$4:$AA$54,13,0)="TRUE"),0,VLOOKUP(VALUE(D$44),'HR DATA'!$A$4:$AA$54,13,0))</f>
        <v>0</v>
      </c>
      <c r="E65" s="184">
        <f>IF(ISERR(VLOOKUP(VALUE(E$44),'HR DATA'!$A$4:$AA$54,13,0)="TRUE"),0,VLOOKUP(VALUE(E$44),'HR DATA'!$A$4:$AA$54,13,0))</f>
        <v>7673.5700000000006</v>
      </c>
      <c r="F65" s="184">
        <f>IF(ISERR(VLOOKUP(VALUE(F$44),'HR DATA'!$A$4:$AA$54,13,0)="TRUE"),0,VLOOKUP(VALUE(F$44),'HR DATA'!$A$4:$AA$54,13,0))</f>
        <v>0</v>
      </c>
      <c r="G65" s="184">
        <f>IF(ISERR(VLOOKUP(VALUE(G$44),'HR DATA'!$A$4:$AA$54,13,0)="TRUE"),0,VLOOKUP(VALUE(G$44),'HR DATA'!$A$4:$AA$54,13,0))</f>
        <v>0</v>
      </c>
      <c r="H65" s="184">
        <f>IF(ISERR(VLOOKUP(VALUE(H$44),'HR DATA'!$A$4:$AA$54,13,0)="TRUE"),0,VLOOKUP(VALUE(H$44),'HR DATA'!$A$4:$AA$54,13,0))</f>
        <v>341.1</v>
      </c>
      <c r="I65" s="184">
        <f>IF(ISERR(VLOOKUP(VALUE(I$44),'HR DATA'!$A$4:$AA$54,13,0)="TRUE"),0,VLOOKUP(VALUE(I$44),'HR DATA'!$A$4:$AA$54,13,0))</f>
        <v>0</v>
      </c>
      <c r="J65" s="184">
        <f>IF(ISERR(VLOOKUP(VALUE(J$44),'HR DATA'!$A$4:$AA$54,13,0)="TRUE"),0,VLOOKUP(VALUE(J$44),'HR DATA'!$A$4:$AA$54,13,0))</f>
        <v>2094.2699999999995</v>
      </c>
      <c r="K65" s="184">
        <f>IF(ISERR(VLOOKUP(VALUE(K$44),'HR DATA'!$A$4:$AA$54,13,0)="TRUE"),0,VLOOKUP(VALUE(K$44),'HR DATA'!$A$4:$AA$54,13,0))</f>
        <v>0</v>
      </c>
      <c r="L65" s="184">
        <f>IF(ISERR(VLOOKUP(VALUE(L$44),'HR DATA'!$A$4:$AA$54,13,0)="TRUE"),0,VLOOKUP(VALUE(L$44),'HR DATA'!$A$4:$AA$54,13,0))</f>
        <v>0</v>
      </c>
      <c r="M65" s="184">
        <f>IF(ISERR(VLOOKUP(VALUE(M$44),'HR DATA'!$A$4:$AA$54,13,0)="TRUE"),0,VLOOKUP(VALUE(M$44),'HR DATA'!$A$4:$AA$54,13,0))</f>
        <v>0</v>
      </c>
      <c r="N65" s="184">
        <f>IF(ISERR(VLOOKUP(VALUE(N$44),'HR DATA'!$A$4:$AA$54,13,0)="TRUE"),0,VLOOKUP(VALUE(N$44),'HR DATA'!$A$4:$AA$54,13,0))</f>
        <v>0</v>
      </c>
      <c r="O65" s="184">
        <f>IF(ISERR(VLOOKUP(VALUE(O$44),'HR DATA'!$A$4:$AA$54,13,0)="TRUE"),0,VLOOKUP(VALUE(O$44),'HR DATA'!$A$4:$AA$54,13,0))</f>
        <v>0</v>
      </c>
      <c r="P65" s="184">
        <f>IF(ISERR(VLOOKUP(VALUE(P$44),'HR DATA'!$A$4:$AA$54,13,0)="TRUE"),0,VLOOKUP(VALUE(P$44),'HR DATA'!$A$4:$AA$54,13,0))</f>
        <v>3857.46</v>
      </c>
      <c r="Q65" s="184">
        <f>IF(ISERR(VLOOKUP(VALUE(Q$44),'HR DATA'!$A$4:$AA$54,13,0)="TRUE"),0,VLOOKUP(VALUE(Q$44),'HR DATA'!$A$4:$AA$54,13,0))</f>
        <v>1612.3300000000004</v>
      </c>
      <c r="R65" s="184">
        <f>IF(ISERR(VLOOKUP(VALUE(R$44),'HR DATA'!$A$4:$AA$54,13,0)="TRUE"),0,VLOOKUP(VALUE(R$44),'HR DATA'!$A$4:$AA$54,13,0))</f>
        <v>0</v>
      </c>
      <c r="S65" s="184">
        <f>IF(ISERR(VLOOKUP(VALUE(S$44),'HR DATA'!$A$4:$AA$54,13,0)="TRUE"),0,VLOOKUP(VALUE(S$44),'HR DATA'!$A$4:$AA$54,13,0))</f>
        <v>0</v>
      </c>
      <c r="T65" s="184">
        <f>IF(ISERR(VLOOKUP(VALUE(T$44),'HR DATA'!$A$4:$AA$54,13,0)="TRUE"),0,VLOOKUP(VALUE(T$44),'HR DATA'!$A$4:$AA$54,13,0))</f>
        <v>0</v>
      </c>
      <c r="U65" s="184">
        <f>IF(ISERR(VLOOKUP(VALUE(U$44),'HR DATA'!$A$4:$AA$54,13,0)="TRUE"),0,VLOOKUP(VALUE(U$44),'HR DATA'!$A$4:$AA$54,13,0))</f>
        <v>63.88</v>
      </c>
      <c r="V65" s="184">
        <f>IF(ISERR(VLOOKUP(VALUE(V$44),'HR DATA'!$A$4:$AA$54,13,0)="TRUE"),0,VLOOKUP(VALUE(V$44),'HR DATA'!$A$4:$AA$54,13,0))</f>
        <v>14.52</v>
      </c>
      <c r="W65" s="184">
        <f>IF(ISERR(VLOOKUP(VALUE(W$44),'HR DATA'!$A$4:$AA$54,13,0)="TRUE"),0,VLOOKUP(VALUE(W$44),'HR DATA'!$A$4:$AA$54,13,0))</f>
        <v>432.15</v>
      </c>
      <c r="X65" s="184">
        <f>IF(ISERR(VLOOKUP(VALUE(X$44),'HR DATA'!$A$4:$AA$54,13,0)="TRUE"),0,VLOOKUP(VALUE(X$44),'HR DATA'!$A$4:$AA$54,13,0))</f>
        <v>0</v>
      </c>
      <c r="Y65" s="184">
        <f>IF(ISERR(VLOOKUP(VALUE(Y$44),'HR DATA'!$A$4:$AA$54,13,0)="TRUE"),0,VLOOKUP(VALUE(Y$44),'HR DATA'!$A$4:$AA$54,13,0))</f>
        <v>232290.75999999998</v>
      </c>
      <c r="Z65" s="184">
        <f>IF(ISERR(VLOOKUP(VALUE(Z$44),'HR DATA'!$A$4:$AA$54,13,0)="TRUE"),0,VLOOKUP(VALUE(Z$44),'HR DATA'!$A$4:$AA$54,13,0))</f>
        <v>0</v>
      </c>
      <c r="AA65" s="184">
        <f>IF(ISERR(VLOOKUP(VALUE(AA$44),'HR DATA'!$A$4:$AA$54,13,0)="TRUE"),0,VLOOKUP(VALUE(AA$44),'HR DATA'!$A$4:$AA$54,13,0))</f>
        <v>0</v>
      </c>
      <c r="AB65" s="184">
        <f>IF(ISERR(VLOOKUP(VALUE(AB$44),'HR DATA'!$A$4:$AA$54,13,0)="TRUE"),0,VLOOKUP(VALUE(AB$44),'HR DATA'!$A$4:$AA$54,13,0))</f>
        <v>1196.4499999999998</v>
      </c>
      <c r="AC65" s="184">
        <f>IF(ISERR(VLOOKUP(VALUE(AC$44),'HR DATA'!$A$4:$AA$54,13,0)="TRUE"),0,VLOOKUP(VALUE(AC$44),'HR DATA'!$A$4:$AA$54,13,0))</f>
        <v>4573.6299999999992</v>
      </c>
      <c r="AD65" s="184">
        <f>IF(ISERR(VLOOKUP(VALUE(AD$44),'HR DATA'!$A$4:$AA$54,13,0)="TRUE"),0,VLOOKUP(VALUE(AD$44),'HR DATA'!$A$4:$AA$54,13,0))</f>
        <v>0</v>
      </c>
      <c r="AE65" s="184">
        <f>IF(ISERR(VLOOKUP(VALUE(AE$44),'HR DATA'!$A$4:$AA$54,13,0)="TRUE"),0,VLOOKUP(VALUE(AE$44),'HR DATA'!$A$4:$AA$54,13,0))</f>
        <v>14602.95</v>
      </c>
      <c r="AF65" s="184">
        <f>IF(ISERR(VLOOKUP(VALUE(AF$44),'HR DATA'!$A$4:$AA$54,13,0)="TRUE"),0,VLOOKUP(VALUE(AF$44),'HR DATA'!$A$4:$AA$54,13,0))</f>
        <v>0</v>
      </c>
      <c r="AG65" s="184">
        <f>IF(ISERR(VLOOKUP(VALUE(AG$44),'HR DATA'!$A$4:$AA$54,13,0)="TRUE"),0,VLOOKUP(VALUE(AG$44),'HR DATA'!$A$4:$AA$54,13,0))</f>
        <v>1561.73</v>
      </c>
      <c r="AH65" s="184">
        <f>IF(ISERR(VLOOKUP(VALUE(AH$44),'HR DATA'!$A$4:$AA$54,13,0)="TRUE"),0,VLOOKUP(VALUE(AH$44),'HR DATA'!$A$4:$AA$54,13,0))</f>
        <v>0</v>
      </c>
      <c r="AI65" s="184">
        <f>IF(ISERR(VLOOKUP(VALUE(AI$44),'HR DATA'!$A$4:$AA$54,13,0)="TRUE"),0,VLOOKUP(VALUE(AI$44),'HR DATA'!$A$4:$AA$54,13,0))</f>
        <v>0</v>
      </c>
      <c r="AJ65" s="184">
        <f>IF(ISERR(VLOOKUP(VALUE(AJ$44),'HR DATA'!$A$4:$AA$54,13,0)="TRUE"),0,VLOOKUP(VALUE(AJ$44),'HR DATA'!$A$4:$AA$54,13,0))</f>
        <v>897858.03</v>
      </c>
      <c r="AK65" s="184">
        <f>IF(ISERR(VLOOKUP(VALUE(AK$44),'HR DATA'!$A$4:$AA$54,13,0)="TRUE"),0,VLOOKUP(VALUE(AK$44),'HR DATA'!$A$4:$AA$54,13,0))</f>
        <v>1358.3600000000001</v>
      </c>
      <c r="AL65" s="184">
        <f>IF(ISERR(VLOOKUP(VALUE(AL$44),'HR DATA'!$A$4:$AA$54,13,0)="TRUE"),0,VLOOKUP(VALUE(AL$44),'HR DATA'!$A$4:$AA$54,13,0))</f>
        <v>188.04</v>
      </c>
      <c r="AM65" s="184">
        <f>IF(ISERR(VLOOKUP(VALUE(AM$44),'HR DATA'!$A$4:$AA$54,13,0)="TRUE"),0,VLOOKUP(VALUE(AM$44),'HR DATA'!$A$4:$AA$54,13,0))</f>
        <v>0</v>
      </c>
      <c r="AN65" s="184">
        <f>IF(ISERR(VLOOKUP(VALUE(AN$44),'HR DATA'!$A$4:$AA$54,13,0)="TRUE"),0,VLOOKUP(VALUE(AN$44),'HR DATA'!$A$4:$AA$54,13,0))</f>
        <v>0</v>
      </c>
      <c r="AO65" s="184">
        <f>IF(ISERR(VLOOKUP(VALUE(AO$44),'HR DATA'!$A$4:$AA$54,13,0)="TRUE"),0,VLOOKUP(VALUE(AO$44),'HR DATA'!$A$4:$AA$54,13,0))</f>
        <v>0</v>
      </c>
      <c r="AP65" s="184">
        <f>IF(ISERR(VLOOKUP(VALUE(AP$44),'HR DATA'!$A$4:$AA$54,13,0)="TRUE"),0,VLOOKUP(VALUE(AP$44),'HR DATA'!$A$4:$AA$54,13,0))</f>
        <v>124264.42</v>
      </c>
      <c r="AQ65" s="184">
        <f>IF(ISERR(VLOOKUP(VALUE(AQ$44),'HR DATA'!$A$4:$AA$54,13,0)="TRUE"),0,VLOOKUP(VALUE(AQ$44),'HR DATA'!$A$4:$AA$54,13,0))</f>
        <v>0</v>
      </c>
      <c r="AR65" s="184">
        <f>IF(ISERR(VLOOKUP(VALUE(AR$44),'HR DATA'!$A$4:$AA$54,13,0)="TRUE"),0,VLOOKUP(VALUE(AR$44),'HR DATA'!$A$4:$AA$54,13,0))</f>
        <v>0</v>
      </c>
      <c r="AS65" s="184">
        <f>IF(ISERR(VLOOKUP(VALUE(AS$44),'HR DATA'!$A$4:$AA$54,13,0)="TRUE"),0,VLOOKUP(VALUE(AS$44),'HR DATA'!$A$4:$AA$54,13,0))</f>
        <v>0</v>
      </c>
      <c r="AT65" s="184">
        <f>IF(ISERR(VLOOKUP(VALUE(AT$44),'HR DATA'!$A$4:$AA$54,13,0)="TRUE"),0,VLOOKUP(VALUE(AT$44),'HR DATA'!$A$4:$AA$54,13,0))</f>
        <v>0</v>
      </c>
      <c r="AU65" s="184">
        <f>IF(ISERR(VLOOKUP(VALUE(AU$44),'HR DATA'!$A$4:$AA$54,13,0)="TRUE"),0,VLOOKUP(VALUE(AU$44),'HR DATA'!$A$4:$AA$54,13,0))</f>
        <v>0</v>
      </c>
      <c r="AV65" s="184">
        <f>IF(ISERR(VLOOKUP(VALUE(AV$44),'HR DATA'!$A$4:$AA$54,13,0)="TRUE"),0,VLOOKUP(VALUE(AV$44),'HR DATA'!$A$4:$AA$54,13,0))</f>
        <v>165.48</v>
      </c>
      <c r="AW65" s="184">
        <f>IF(ISERR(VLOOKUP(VALUE(AW$44),'HR DATA'!$A$4:$AA$54,13,0)="TRUE"),0,VLOOKUP(VALUE(AW$44),'HR DATA'!$A$4:$AA$54,13,0))</f>
        <v>0</v>
      </c>
      <c r="AX65" s="184">
        <f>IF(ISERR(VLOOKUP(VALUE(AX$44),'HR DATA'!$A$4:$AA$54,13,0)="TRUE"),0,VLOOKUP(VALUE(AX$44),'HR DATA'!$A$4:$AA$54,13,0))</f>
        <v>0</v>
      </c>
      <c r="AY65" s="184">
        <f>IF(ISERR(VLOOKUP(VALUE(AY$44),'HR DATA'!$A$4:$AA$54,13,0)="TRUE"),0,VLOOKUP(VALUE(AY$44),'HR DATA'!$A$4:$AA$54,13,0))</f>
        <v>3379.77</v>
      </c>
      <c r="AZ65" s="184">
        <f>IF(ISERR(VLOOKUP(VALUE(AZ$44),'HR DATA'!$A$4:$AA$54,13,0)="TRUE"),0,VLOOKUP(VALUE(AZ$44),'HR DATA'!$A$4:$AA$54,13,0))</f>
        <v>0</v>
      </c>
      <c r="BA65" s="184">
        <f>IF(ISERR(VLOOKUP(VALUE(BA$44),'HR DATA'!$A$4:$AA$54,13,0)="TRUE"),0,VLOOKUP(VALUE(BA$44),'HR DATA'!$A$4:$AA$54,13,0))</f>
        <v>0</v>
      </c>
      <c r="BB65" s="184">
        <f>IF(ISERR(VLOOKUP(VALUE(BB$44),'HR DATA'!$A$4:$AA$54,13,0)="TRUE"),0,VLOOKUP(VALUE(BB$44),'HR DATA'!$A$4:$AA$54,13,0))</f>
        <v>42.51</v>
      </c>
      <c r="BC65" s="184">
        <f>IF(ISERR(VLOOKUP(VALUE(BC$44),'HR DATA'!$A$4:$AA$54,13,0)="TRUE"),0,VLOOKUP(VALUE(BC$44),'HR DATA'!$A$4:$AA$54,13,0))</f>
        <v>3092.12</v>
      </c>
      <c r="BD65" s="184">
        <f>IF(ISERR(VLOOKUP(VALUE(BD$44),'HR DATA'!$A$4:$AA$54,13,0)="TRUE"),0,VLOOKUP(VALUE(BD$44),'HR DATA'!$A$4:$AA$54,13,0))</f>
        <v>0</v>
      </c>
      <c r="BE65" s="184">
        <f>IF(ISERR(VLOOKUP(VALUE(BE$44),'HR DATA'!$A$4:$AA$54,13,0)="TRUE"),0,VLOOKUP(VALUE(BE$44),'HR DATA'!$A$4:$AA$54,13,0))</f>
        <v>3000713.44</v>
      </c>
      <c r="BF65" s="184">
        <f>IF(ISERR(VLOOKUP(VALUE(BF$44),'HR DATA'!$A$4:$AA$54,13,0)="TRUE"),0,VLOOKUP(VALUE(BF$44),'HR DATA'!$A$4:$AA$54,13,0))</f>
        <v>5745.420000000001</v>
      </c>
      <c r="BG65" s="184">
        <f>IF(ISERR(VLOOKUP(VALUE(BG$44),'HR DATA'!$A$4:$AA$54,13,0)="TRUE"),0,VLOOKUP(VALUE(BG$44),'HR DATA'!$A$4:$AA$54,13,0))</f>
        <v>289756.17000000004</v>
      </c>
      <c r="BH65" s="184">
        <f>IF(ISERR(VLOOKUP(VALUE(BH$44),'HR DATA'!$A$4:$AA$54,13,0)="TRUE"),0,VLOOKUP(VALUE(BH$44),'HR DATA'!$A$4:$AA$54,13,0))</f>
        <v>0</v>
      </c>
      <c r="BI65" s="184">
        <f>IF(ISERR(VLOOKUP(VALUE(BI$44),'HR DATA'!$A$4:$AA$54,13,0)="TRUE"),0,VLOOKUP(VALUE(BI$44),'HR DATA'!$A$4:$AA$54,13,0))</f>
        <v>0</v>
      </c>
      <c r="BJ65" s="184">
        <f>IF(ISERR(VLOOKUP(VALUE(BJ$44),'HR DATA'!$A$4:$AA$54,13,0)="TRUE"),0,VLOOKUP(VALUE(BJ$44),'HR DATA'!$A$4:$AA$54,13,0))</f>
        <v>0</v>
      </c>
      <c r="BK65" s="184">
        <f>IF(ISERR(VLOOKUP(VALUE(BK$44),'HR DATA'!$A$4:$AA$54,13,0)="TRUE"),0,VLOOKUP(VALUE(BK$44),'HR DATA'!$A$4:$AA$54,13,0))</f>
        <v>0</v>
      </c>
      <c r="BL65" s="184">
        <f>IF(ISERR(VLOOKUP(VALUE(BL$44),'HR DATA'!$A$4:$AA$54,13,0)="TRUE"),0,VLOOKUP(VALUE(BL$44),'HR DATA'!$A$4:$AA$54,13,0))</f>
        <v>26.23</v>
      </c>
      <c r="BM65" s="184">
        <f>IF(ISERR(VLOOKUP(VALUE(BM$44),'HR DATA'!$A$4:$AA$54,13,0)="TRUE"),0,VLOOKUP(VALUE(BM$44),'HR DATA'!$A$4:$AA$54,13,0))</f>
        <v>0</v>
      </c>
      <c r="BN65" s="184">
        <f>IF(ISERR(VLOOKUP(VALUE(BN$44),'HR DATA'!$A$4:$AA$54,13,0)="TRUE"),0,VLOOKUP(VALUE(BN$44),'HR DATA'!$A$4:$AA$54,13,0))</f>
        <v>30950.100000000002</v>
      </c>
      <c r="BO65" s="184">
        <f>IF(ISERR(VLOOKUP(VALUE(BO$44),'HR DATA'!$A$4:$AA$54,13,0)="TRUE"),0,VLOOKUP(VALUE(BO$44),'HR DATA'!$A$4:$AA$54,13,0))</f>
        <v>0</v>
      </c>
      <c r="BP65" s="184">
        <f>IF(ISERR(VLOOKUP(VALUE(BP$44),'HR DATA'!$A$4:$AA$54,13,0)="TRUE"),0,VLOOKUP(VALUE(BP$44),'HR DATA'!$A$4:$AA$54,13,0))</f>
        <v>0</v>
      </c>
      <c r="BQ65" s="184">
        <f>IF(ISERR(VLOOKUP(VALUE(BQ$44),'HR DATA'!$A$4:$AA$54,13,0)="TRUE"),0,VLOOKUP(VALUE(BQ$44),'HR DATA'!$A$4:$AA$54,13,0))</f>
        <v>0</v>
      </c>
      <c r="BR65" s="184">
        <f>IF(ISERR(VLOOKUP(VALUE(BR$44),'HR DATA'!$A$4:$AA$54,13,0)="TRUE"),0,VLOOKUP(VALUE(BR$44),'HR DATA'!$A$4:$AA$54,13,0))</f>
        <v>0</v>
      </c>
      <c r="BS65" s="184">
        <f>IF(ISERR(VLOOKUP(VALUE(BS$44),'HR DATA'!$A$4:$AA$54,13,0)="TRUE"),0,VLOOKUP(VALUE(BS$44),'HR DATA'!$A$4:$AA$54,13,0))</f>
        <v>0</v>
      </c>
      <c r="BT65" s="184">
        <f>IF(ISERR(VLOOKUP(VALUE(BT$44),'HR DATA'!$A$4:$AA$54,13,0)="TRUE"),0,VLOOKUP(VALUE(BT$44),'HR DATA'!$A$4:$AA$54,13,0))</f>
        <v>97.38</v>
      </c>
      <c r="BU65" s="184">
        <f>IF(ISERR(VLOOKUP(VALUE(BU$44),'HR DATA'!$A$4:$AA$54,13,0)="TRUE"),0,VLOOKUP(VALUE(BU$44),'HR DATA'!$A$4:$AA$54,13,0))</f>
        <v>0</v>
      </c>
      <c r="BV65" s="184">
        <f>IF(ISERR(VLOOKUP(VALUE(BV$44),'HR DATA'!$A$4:$AA$54,13,0)="TRUE"),0,VLOOKUP(VALUE(BV$44),'HR DATA'!$A$4:$AA$54,13,0))</f>
        <v>0</v>
      </c>
      <c r="BW65" s="184">
        <f>IF(ISERR(VLOOKUP(VALUE(BW$44),'HR DATA'!$A$4:$AA$54,13,0)="TRUE"),0,VLOOKUP(VALUE(BW$44),'HR DATA'!$A$4:$AA$54,13,0))</f>
        <v>0</v>
      </c>
      <c r="BX65" s="184">
        <f>IF(ISERR(VLOOKUP(VALUE(BX$44),'HR DATA'!$A$4:$AA$54,13,0)="TRUE"),0,VLOOKUP(VALUE(BX$44),'HR DATA'!$A$4:$AA$54,13,0))</f>
        <v>0</v>
      </c>
      <c r="BY65" s="184">
        <f>IF(ISERR(VLOOKUP(VALUE(BY$44),'HR DATA'!$A$4:$AA$54,13,0)="TRUE"),0,VLOOKUP(VALUE(BY$44),'HR DATA'!$A$4:$AA$54,13,0))</f>
        <v>1340.47</v>
      </c>
      <c r="BZ65" s="184">
        <f>IF(ISERR(VLOOKUP(VALUE(BZ$44),'HR DATA'!$A$4:$AA$54,13,0)="TRUE"),0,VLOOKUP(VALUE(BZ$44),'HR DATA'!$A$4:$AA$54,13,0))</f>
        <v>0</v>
      </c>
      <c r="CA65" s="184">
        <f>IF(ISERR(VLOOKUP(VALUE(CA$44),'HR DATA'!$A$4:$AA$54,13,0)="TRUE"),0,VLOOKUP(VALUE(CA$44),'HR DATA'!$A$4:$AA$54,13,0))</f>
        <v>0</v>
      </c>
      <c r="CB65" s="184">
        <f>IF(ISERR(VLOOKUP(VALUE(CB$44),'HR DATA'!$A$4:$AA$54,13,0)="TRUE"),0,VLOOKUP(VALUE(CB$44),'HR DATA'!$A$4:$AA$54,13,0))</f>
        <v>0</v>
      </c>
      <c r="CC65" s="184">
        <f>IF(ISERR(VLOOKUP(VALUE(CC$44),'HR DATA'!$A$4:$AA$54,13,0)="TRUE"),0,VLOOKUP(VALUE(CC$44),'HR DATA'!$A$4:$AA$54,13,0))+12011</f>
        <v>12011</v>
      </c>
      <c r="CD65" s="244" t="s">
        <v>221</v>
      </c>
      <c r="CE65" s="193">
        <f t="shared" si="0"/>
        <v>4642352.74</v>
      </c>
      <c r="CF65" s="247"/>
    </row>
    <row r="66" spans="1:84" ht="12.6" customHeight="1">
      <c r="A66" s="171" t="s">
        <v>239</v>
      </c>
      <c r="B66" s="175"/>
      <c r="C66" s="184">
        <f>IF(ISERR(VLOOKUP(VALUE(C$44),'HR DATA'!$A$4:$AA$56,11,0)="TRUE"),0,VLOOKUP(VALUE(C$44),'HR DATA'!$A$4:$AA$56,11,0))</f>
        <v>69645.509999999995</v>
      </c>
      <c r="D66" s="184">
        <f>IF(ISERR(VLOOKUP(VALUE(D$44),'HR DATA'!$A$4:$AA$56,11,0)="TRUE"),0,VLOOKUP(VALUE(D$44),'HR DATA'!$A$4:$AA$56,11,0))</f>
        <v>0</v>
      </c>
      <c r="E66" s="184">
        <f>IF(ISERR(VLOOKUP(VALUE(E$44),'HR DATA'!$A$4:$AA$56,11,0)="TRUE"),0,VLOOKUP(VALUE(E$44),'HR DATA'!$A$4:$AA$56,11,0))</f>
        <v>1492456.0125000002</v>
      </c>
      <c r="F66" s="184">
        <f>IF(ISERR(VLOOKUP(VALUE(F$44),'HR DATA'!$A$4:$AA$56,11,0)="TRUE"),0,VLOOKUP(VALUE(F$44),'HR DATA'!$A$4:$AA$56,11,0))</f>
        <v>0</v>
      </c>
      <c r="G66" s="184">
        <f>IF(ISERR(VLOOKUP(VALUE(G$44),'HR DATA'!$A$4:$AA$56,11,0)="TRUE"),0,VLOOKUP(VALUE(G$44),'HR DATA'!$A$4:$AA$56,11,0))</f>
        <v>119784.64750000001</v>
      </c>
      <c r="H66" s="184">
        <f>IF(ISERR(VLOOKUP(VALUE(H$44),'HR DATA'!$A$4:$AA$56,11,0)="TRUE"),0,VLOOKUP(VALUE(H$44),'HR DATA'!$A$4:$AA$56,11,0))</f>
        <v>0</v>
      </c>
      <c r="I66" s="184">
        <f>IF(ISERR(VLOOKUP(VALUE(I$44),'HR DATA'!$A$4:$AA$56,11,0)="TRUE"),0,VLOOKUP(VALUE(I$44),'HR DATA'!$A$4:$AA$56,11,0))</f>
        <v>0</v>
      </c>
      <c r="J66" s="184">
        <f>IF(ISERR(VLOOKUP(VALUE(J$44),'HR DATA'!$A$4:$AA$56,11,0)="TRUE"),0,VLOOKUP(VALUE(J$44),'HR DATA'!$A$4:$AA$56,11,0))</f>
        <v>1105059.6099999999</v>
      </c>
      <c r="K66" s="184">
        <f>IF(ISERR(VLOOKUP(VALUE(K$44),'HR DATA'!$A$4:$AA$56,11,0)="TRUE"),0,VLOOKUP(VALUE(K$44),'HR DATA'!$A$4:$AA$56,11,0))</f>
        <v>0</v>
      </c>
      <c r="L66" s="184">
        <f>IF(ISERR(VLOOKUP(VALUE(L$44),'HR DATA'!$A$4:$AA$56,11,0)="TRUE"),0,VLOOKUP(VALUE(L$44),'HR DATA'!$A$4:$AA$56,11,0))</f>
        <v>0</v>
      </c>
      <c r="M66" s="184">
        <f>IF(ISERR(VLOOKUP(VALUE(M$44),'HR DATA'!$A$4:$AA$56,11,0)="TRUE"),0,VLOOKUP(VALUE(M$44),'HR DATA'!$A$4:$AA$56,11,0))</f>
        <v>0</v>
      </c>
      <c r="N66" s="184">
        <f>IF(ISERR(VLOOKUP(VALUE(N$44),'HR DATA'!$A$4:$AA$56,11,0)="TRUE"),0,VLOOKUP(VALUE(N$44),'HR DATA'!$A$4:$AA$56,11,0))</f>
        <v>0</v>
      </c>
      <c r="O66" s="184">
        <f>IF(ISERR(VLOOKUP(VALUE(O$44),'HR DATA'!$A$4:$AA$56,11,0)="TRUE"),0,VLOOKUP(VALUE(O$44),'HR DATA'!$A$4:$AA$56,11,0))</f>
        <v>0</v>
      </c>
      <c r="P66" s="184">
        <f>IF(ISERR(VLOOKUP(VALUE(P$44),'HR DATA'!$A$4:$AA$56,11,0)="TRUE"),0,VLOOKUP(VALUE(P$44),'HR DATA'!$A$4:$AA$56,11,0))</f>
        <v>1832524.5550000002</v>
      </c>
      <c r="Q66" s="184">
        <f>IF(ISERR(VLOOKUP(VALUE(Q$44),'HR DATA'!$A$4:$AA$56,11,0)="TRUE"),0,VLOOKUP(VALUE(Q$44),'HR DATA'!$A$4:$AA$56,11,0))</f>
        <v>28502.899999999994</v>
      </c>
      <c r="R66" s="184">
        <f>IF(ISERR(VLOOKUP(VALUE(R$44),'HR DATA'!$A$4:$AA$56,11,0)="TRUE"),0,VLOOKUP(VALUE(R$44),'HR DATA'!$A$4:$AA$56,11,0))</f>
        <v>382330.60000000003</v>
      </c>
      <c r="S66" s="184">
        <f>IF(ISERR(VLOOKUP(VALUE(S$44),'HR DATA'!$A$4:$AA$56,11,0)="TRUE"),0,VLOOKUP(VALUE(S$44),'HR DATA'!$A$4:$AA$56,11,0))</f>
        <v>700136.41945249995</v>
      </c>
      <c r="T66" s="184">
        <f>IF(ISERR(VLOOKUP(VALUE(T$44),'HR DATA'!$A$4:$AA$56,11,0)="TRUE"),0,VLOOKUP(VALUE(T$44),'HR DATA'!$A$4:$AA$56,11,0))</f>
        <v>0</v>
      </c>
      <c r="U66" s="184">
        <f>IF(ISERR(VLOOKUP(VALUE(U$44),'HR DATA'!$A$4:$AA$56,11,0)="TRUE"),0,VLOOKUP(VALUE(U$44),'HR DATA'!$A$4:$AA$56,11,0))</f>
        <v>3563572.7599999988</v>
      </c>
      <c r="V66" s="184">
        <f>IF(ISERR(VLOOKUP(VALUE(V$44),'HR DATA'!$A$4:$AA$56,11,0)="TRUE"),0,VLOOKUP(VALUE(V$44),'HR DATA'!$A$4:$AA$56,11,0))</f>
        <v>179841.49</v>
      </c>
      <c r="W66" s="184">
        <f>IF(ISERR(VLOOKUP(VALUE(W$44),'HR DATA'!$A$4:$AA$56,11,0)="TRUE"),0,VLOOKUP(VALUE(W$44),'HR DATA'!$A$4:$AA$56,11,0))</f>
        <v>52532.729999999996</v>
      </c>
      <c r="X66" s="184">
        <f>IF(ISERR(VLOOKUP(VALUE(X$44),'HR DATA'!$A$4:$AA$56,11,0)="TRUE"),0,VLOOKUP(VALUE(X$44),'HR DATA'!$A$4:$AA$56,11,0))</f>
        <v>0</v>
      </c>
      <c r="Y66" s="184">
        <f>IF(ISERR(VLOOKUP(VALUE(Y$44),'HR DATA'!$A$4:$AA$56,11,0)="TRUE"),0,VLOOKUP(VALUE(Y$44),'HR DATA'!$A$4:$AA$56,11,0))</f>
        <v>3723575.47</v>
      </c>
      <c r="Z66" s="184">
        <f>IF(ISERR(VLOOKUP(VALUE(Z$44),'HR DATA'!$A$4:$AA$56,11,0)="TRUE"),0,VLOOKUP(VALUE(Z$44),'HR DATA'!$A$4:$AA$56,11,0))</f>
        <v>1402077.56</v>
      </c>
      <c r="AA66" s="184">
        <f>IF(ISERR(VLOOKUP(VALUE(AA$44),'HR DATA'!$A$4:$AA$56,11,0)="TRUE"),0,VLOOKUP(VALUE(AA$44),'HR DATA'!$A$4:$AA$56,11,0))</f>
        <v>65337.13</v>
      </c>
      <c r="AB66" s="184">
        <f>IF(ISERR(VLOOKUP(VALUE(AB$44),'HR DATA'!$A$4:$AA$56,11,0)="TRUE"),0,VLOOKUP(VALUE(AB$44),'HR DATA'!$A$4:$AA$56,11,0))</f>
        <v>620257.69999999995</v>
      </c>
      <c r="AC66" s="184">
        <f>IF(ISERR(VLOOKUP(VALUE(AC$44),'HR DATA'!$A$4:$AA$56,11,0)="TRUE"),0,VLOOKUP(VALUE(AC$44),'HR DATA'!$A$4:$AA$56,11,0))</f>
        <v>121786.57000000002</v>
      </c>
      <c r="AD66" s="184">
        <f>IF(ISERR(VLOOKUP(VALUE(AD$44),'HR DATA'!$A$4:$AA$56,11,0)="TRUE"),0,VLOOKUP(VALUE(AD$44),'HR DATA'!$A$4:$AA$56,11,0))</f>
        <v>0</v>
      </c>
      <c r="AE66" s="184">
        <f>IF(ISERR(VLOOKUP(VALUE(AE$44),'HR DATA'!$A$4:$AA$56,11,0)="TRUE"),0,VLOOKUP(VALUE(AE$44),'HR DATA'!$A$4:$AA$56,11,0))</f>
        <v>1641062.38</v>
      </c>
      <c r="AF66" s="184">
        <f>IF(ISERR(VLOOKUP(VALUE(AF$44),'HR DATA'!$A$4:$AA$56,11,0)="TRUE"),0,VLOOKUP(VALUE(AF$44),'HR DATA'!$A$4:$AA$56,11,0))</f>
        <v>0</v>
      </c>
      <c r="AG66" s="184">
        <f>IF(ISERR(VLOOKUP(VALUE(AG$44),'HR DATA'!$A$4:$AA$56,11,0)="TRUE"),0,VLOOKUP(VALUE(AG$44),'HR DATA'!$A$4:$AA$56,11,0))</f>
        <v>1764289.67</v>
      </c>
      <c r="AH66" s="184">
        <f>IF(ISERR(VLOOKUP(VALUE(AH$44),'HR DATA'!$A$4:$AA$56,11,0)="TRUE"),0,VLOOKUP(VALUE(AH$44),'HR DATA'!$A$4:$AA$56,11,0))</f>
        <v>0</v>
      </c>
      <c r="AI66" s="184">
        <f>IF(ISERR(VLOOKUP(VALUE(AI$44),'HR DATA'!$A$4:$AA$56,11,0)="TRUE"),0,VLOOKUP(VALUE(AI$44),'HR DATA'!$A$4:$AA$56,11,0))</f>
        <v>0</v>
      </c>
      <c r="AJ66" s="184">
        <f>IF(ISERR(VLOOKUP(VALUE(AJ$44),'HR DATA'!$A$4:$AA$56,11,0)="TRUE"),0,VLOOKUP(VALUE(AJ$44),'HR DATA'!$A$4:$AA$56,11,0))</f>
        <v>41473953.999999993</v>
      </c>
      <c r="AK66" s="184">
        <f>IF(ISERR(VLOOKUP(VALUE(AK$44),'HR DATA'!$A$4:$AA$56,11,0)="TRUE"),0,VLOOKUP(VALUE(AK$44),'HR DATA'!$A$4:$AA$56,11,0))</f>
        <v>133926.07999999999</v>
      </c>
      <c r="AL66" s="184">
        <f>IF(ISERR(VLOOKUP(VALUE(AL$44),'HR DATA'!$A$4:$AA$56,11,0)="TRUE"),0,VLOOKUP(VALUE(AL$44),'HR DATA'!$A$4:$AA$56,11,0))</f>
        <v>23761.43</v>
      </c>
      <c r="AM66" s="184">
        <f>IF(ISERR(VLOOKUP(VALUE(AM$44),'HR DATA'!$A$4:$AA$56,11,0)="TRUE"),0,VLOOKUP(VALUE(AM$44),'HR DATA'!$A$4:$AA$56,11,0))</f>
        <v>0</v>
      </c>
      <c r="AN66" s="184">
        <f>IF(ISERR(VLOOKUP(VALUE(AN$44),'HR DATA'!$A$4:$AA$56,11,0)="TRUE"),0,VLOOKUP(VALUE(AN$44),'HR DATA'!$A$4:$AA$56,11,0))</f>
        <v>0</v>
      </c>
      <c r="AO66" s="184">
        <f>IF(ISERR(VLOOKUP(VALUE(AO$44),'HR DATA'!$A$4:$AA$56,11,0)="TRUE"),0,VLOOKUP(VALUE(AO$44),'HR DATA'!$A$4:$AA$56,11,0))</f>
        <v>0</v>
      </c>
      <c r="AP66" s="184">
        <f>IF(ISERR(VLOOKUP(VALUE(AP$44),'HR DATA'!$A$4:$AA$56,11,0)="TRUE"),0,VLOOKUP(VALUE(AP$44),'HR DATA'!$A$4:$AA$56,11,0))</f>
        <v>2470328.44</v>
      </c>
      <c r="AQ66" s="184">
        <f>IF(ISERR(VLOOKUP(VALUE(AQ$44),'HR DATA'!$A$4:$AA$56,11,0)="TRUE"),0,VLOOKUP(VALUE(AQ$44),'HR DATA'!$A$4:$AA$56,11,0))</f>
        <v>0</v>
      </c>
      <c r="AR66" s="184">
        <f>IF(ISERR(VLOOKUP(VALUE(AR$44),'HR DATA'!$A$4:$AA$56,11,0)="TRUE"),0,VLOOKUP(VALUE(AR$44),'HR DATA'!$A$4:$AA$56,11,0))</f>
        <v>0</v>
      </c>
      <c r="AS66" s="184">
        <f>IF(ISERR(VLOOKUP(VALUE(AS$44),'HR DATA'!$A$4:$AA$56,11,0)="TRUE"),0,VLOOKUP(VALUE(AS$44),'HR DATA'!$A$4:$AA$56,11,0))</f>
        <v>0</v>
      </c>
      <c r="AT66" s="184">
        <f>IF(ISERR(VLOOKUP(VALUE(AT$44),'HR DATA'!$A$4:$AA$56,11,0)="TRUE"),0,VLOOKUP(VALUE(AT$44),'HR DATA'!$A$4:$AA$56,11,0))</f>
        <v>0</v>
      </c>
      <c r="AU66" s="184">
        <f>IF(ISERR(VLOOKUP(VALUE(AU$44),'HR DATA'!$A$4:$AA$56,11,0)="TRUE"),0,VLOOKUP(VALUE(AU$44),'HR DATA'!$A$4:$AA$56,11,0))</f>
        <v>0</v>
      </c>
      <c r="AV66" s="184">
        <f>IF(ISERR(VLOOKUP(VALUE(AV$44),'HR DATA'!$A$4:$AA$56,11,0)="TRUE"),0,VLOOKUP(VALUE(AV$44),'HR DATA'!$A$4:$AA$56,11,0))</f>
        <v>1554850.0349999997</v>
      </c>
      <c r="AW66" s="184">
        <f>IF(ISERR(VLOOKUP(VALUE(AW$44),'HR DATA'!$A$4:$AA$56,11,0)="TRUE"),0,VLOOKUP(VALUE(AW$44),'HR DATA'!$A$4:$AA$56,11,0))</f>
        <v>172575</v>
      </c>
      <c r="AX66" s="184">
        <f>IF(ISERR(VLOOKUP(VALUE(AX$44),'HR DATA'!$A$4:$AA$56,11,0)="TRUE"),0,VLOOKUP(VALUE(AX$44),'HR DATA'!$A$4:$AA$56,11,0))</f>
        <v>194884.55999999997</v>
      </c>
      <c r="AY66" s="184">
        <f>IF(ISERR(VLOOKUP(VALUE(AY$44),'HR DATA'!$A$4:$AA$56,11,0)="TRUE"),0,VLOOKUP(VALUE(AY$44),'HR DATA'!$A$4:$AA$56,11,0))</f>
        <v>1158320.69</v>
      </c>
      <c r="AZ66" s="184">
        <f>IF(ISERR(VLOOKUP(VALUE(AZ$44),'HR DATA'!$A$4:$AA$56,11,0)="TRUE"),0,VLOOKUP(VALUE(AZ$44),'HR DATA'!$A$4:$AA$56,11,0))</f>
        <v>0</v>
      </c>
      <c r="BA66" s="184">
        <f>IF(ISERR(VLOOKUP(VALUE(BA$44),'HR DATA'!$A$4:$AA$56,11,0)="TRUE"),0,VLOOKUP(VALUE(BA$44),'HR DATA'!$A$4:$AA$56,11,0))</f>
        <v>0.04</v>
      </c>
      <c r="BB66" s="184">
        <f>IF(ISERR(VLOOKUP(VALUE(BB$44),'HR DATA'!$A$4:$AA$56,11,0)="TRUE"),0,VLOOKUP(VALUE(BB$44),'HR DATA'!$A$4:$AA$56,11,0))</f>
        <v>1123.08</v>
      </c>
      <c r="BC66" s="184">
        <f>IF(ISERR(VLOOKUP(VALUE(BC$44),'HR DATA'!$A$4:$AA$56,11,0)="TRUE"),0,VLOOKUP(VALUE(BC$44),'HR DATA'!$A$4:$AA$56,11,0))</f>
        <v>321239.09999999998</v>
      </c>
      <c r="BD66" s="184">
        <f>IF(ISERR(VLOOKUP(VALUE(BD$44),'HR DATA'!$A$4:$AA$56,11,0)="TRUE"),0,VLOOKUP(VALUE(BD$44),'HR DATA'!$A$4:$AA$56,11,0))</f>
        <v>0</v>
      </c>
      <c r="BE66" s="184">
        <f>IF(ISERR(VLOOKUP(VALUE(BE$44),'HR DATA'!$A$4:$AA$56,11,0)="TRUE"),0,VLOOKUP(VALUE(BE$44),'HR DATA'!$A$4:$AA$56,11,0))</f>
        <v>11951045.77</v>
      </c>
      <c r="BF66" s="184">
        <f>IF(ISERR(VLOOKUP(VALUE(BF$44),'HR DATA'!$A$4:$AA$56,11,0)="TRUE"),0,VLOOKUP(VALUE(BF$44),'HR DATA'!$A$4:$AA$56,11,0))</f>
        <v>64815.520000000004</v>
      </c>
      <c r="BG66" s="184">
        <f>IF(ISERR(VLOOKUP(VALUE(BG$44),'HR DATA'!$A$4:$AA$56,11,0)="TRUE"),0,VLOOKUP(VALUE(BG$44),'HR DATA'!$A$4:$AA$56,11,0))</f>
        <v>838957.98250000004</v>
      </c>
      <c r="BH66" s="184">
        <f>IF(ISERR(VLOOKUP(VALUE(BH$44),'HR DATA'!$A$4:$AA$56,11,0)="TRUE"),0,VLOOKUP(VALUE(BH$44),'HR DATA'!$A$4:$AA$56,11,0))</f>
        <v>3654921.05</v>
      </c>
      <c r="BI66" s="184">
        <f>IF(ISERR(VLOOKUP(VALUE(BI$44),'HR DATA'!$A$4:$AA$56,11,0)="TRUE"),0,VLOOKUP(VALUE(BI$44),'HR DATA'!$A$4:$AA$56,11,0))</f>
        <v>0</v>
      </c>
      <c r="BJ66" s="184">
        <f>IF(ISERR(VLOOKUP(VALUE(BJ$44),'HR DATA'!$A$4:$AA$56,11,0)="TRUE"),0,VLOOKUP(VALUE(BJ$44),'HR DATA'!$A$4:$AA$56,11,0))</f>
        <v>872642.5924999998</v>
      </c>
      <c r="BK66" s="184">
        <f>IF(ISERR(VLOOKUP(VALUE(BK$44),'HR DATA'!$A$4:$AA$56,11,0)="TRUE"),0,VLOOKUP(VALUE(BK$44),'HR DATA'!$A$4:$AA$56,11,0))</f>
        <v>6941783.4936347501</v>
      </c>
      <c r="BL66" s="184">
        <f>IF(ISERR(VLOOKUP(VALUE(BL$44),'HR DATA'!$A$4:$AA$56,11,0)="TRUE"),0,VLOOKUP(VALUE(BL$44),'HR DATA'!$A$4:$AA$56,11,0))</f>
        <v>2704609.5150000001</v>
      </c>
      <c r="BM66" s="184">
        <f>IF(ISERR(VLOOKUP(VALUE(BM$44),'HR DATA'!$A$4:$AA$56,11,0)="TRUE"),0,VLOOKUP(VALUE(BM$44),'HR DATA'!$A$4:$AA$56,11,0))</f>
        <v>0</v>
      </c>
      <c r="BN66" s="184">
        <f>IF(ISERR(VLOOKUP(VALUE(BN$44),'HR DATA'!$A$4:$AA$56,11,0)="TRUE"),0,VLOOKUP(VALUE(BN$44),'HR DATA'!$A$4:$AA$56,11,0))</f>
        <v>4970796.9071362494</v>
      </c>
      <c r="BO66" s="184">
        <f>IF(ISERR(VLOOKUP(VALUE(BO$44),'HR DATA'!$A$4:$AA$56,11,0)="TRUE"),0,VLOOKUP(VALUE(BO$44),'HR DATA'!$A$4:$AA$56,11,0))</f>
        <v>636076.26500000001</v>
      </c>
      <c r="BP66" s="184">
        <f>IF(ISERR(VLOOKUP(VALUE(BP$44),'HR DATA'!$A$4:$AA$56,11,0)="TRUE"),0,VLOOKUP(VALUE(BP$44),'HR DATA'!$A$4:$AA$56,11,0))</f>
        <v>3352083.0449999999</v>
      </c>
      <c r="BQ66" s="184">
        <f>IF(ISERR(VLOOKUP(VALUE(BQ$44),'HR DATA'!$A$4:$AA$56,11,0)="TRUE"),0,VLOOKUP(VALUE(BQ$44),'HR DATA'!$A$4:$AA$56,11,0))</f>
        <v>0</v>
      </c>
      <c r="BR66" s="184">
        <f>IF(ISERR(VLOOKUP(VALUE(BR$44),'HR DATA'!$A$4:$AA$56,11,0)="TRUE"),0,VLOOKUP(VALUE(BR$44),'HR DATA'!$A$4:$AA$56,11,0))</f>
        <v>2140142.1274999999</v>
      </c>
      <c r="BS66" s="184">
        <f>IF(ISERR(VLOOKUP(VALUE(BS$44),'HR DATA'!$A$4:$AA$56,11,0)="TRUE"),0,VLOOKUP(VALUE(BS$44),'HR DATA'!$A$4:$AA$56,11,0))</f>
        <v>175756.29749999996</v>
      </c>
      <c r="BT66" s="184">
        <f>IF(ISERR(VLOOKUP(VALUE(BT$44),'HR DATA'!$A$4:$AA$56,11,0)="TRUE"),0,VLOOKUP(VALUE(BT$44),'HR DATA'!$A$4:$AA$56,11,0))</f>
        <v>300916.22249999997</v>
      </c>
      <c r="BU66" s="184">
        <f>IF(ISERR(VLOOKUP(VALUE(BU$44),'HR DATA'!$A$4:$AA$56,11,0)="TRUE"),0,VLOOKUP(VALUE(BU$44),'HR DATA'!$A$4:$AA$56,11,0))</f>
        <v>104827.52750000003</v>
      </c>
      <c r="BV66" s="184">
        <f>IF(ISERR(VLOOKUP(VALUE(BV$44),'HR DATA'!$A$4:$AA$56,11,0)="TRUE"),0,VLOOKUP(VALUE(BV$44),'HR DATA'!$A$4:$AA$56,11,0))</f>
        <v>3919540.9096307494</v>
      </c>
      <c r="BW66" s="184">
        <f>IF(ISERR(VLOOKUP(VALUE(BW$44),'HR DATA'!$A$4:$AA$56,11,0)="TRUE"),0,VLOOKUP(VALUE(BW$44),'HR DATA'!$A$4:$AA$56,11,0))</f>
        <v>1544526.70456375</v>
      </c>
      <c r="BX66" s="184">
        <f>IF(ISERR(VLOOKUP(VALUE(BX$44),'HR DATA'!$A$4:$AA$56,11,0)="TRUE"),0,VLOOKUP(VALUE(BX$44),'HR DATA'!$A$4:$AA$56,11,0))</f>
        <v>7580781.2291360004</v>
      </c>
      <c r="BY66" s="184">
        <f>IF(ISERR(VLOOKUP(VALUE(BY$44),'HR DATA'!$A$4:$AA$56,11,0)="TRUE"),0,VLOOKUP(VALUE(BY$44),'HR DATA'!$A$4:$AA$56,11,0))</f>
        <v>958129.19750000001</v>
      </c>
      <c r="BZ66" s="184">
        <f>IF(ISERR(VLOOKUP(VALUE(BZ$44),'HR DATA'!$A$4:$AA$56,11,0)="TRUE"),0,VLOOKUP(VALUE(BZ$44),'HR DATA'!$A$4:$AA$56,11,0))</f>
        <v>0</v>
      </c>
      <c r="CA66" s="184">
        <f>IF(ISERR(VLOOKUP(VALUE(CA$44),'HR DATA'!$A$4:$AA$56,11,0)="TRUE"),0,VLOOKUP(VALUE(CA$44),'HR DATA'!$A$4:$AA$56,11,0))</f>
        <v>1084840.04</v>
      </c>
      <c r="CB66" s="184">
        <f>IF(ISERR(VLOOKUP(VALUE(CB$44),'HR DATA'!$A$4:$AA$56,11,0)="TRUE"),0,VLOOKUP(VALUE(CB$44),'HR DATA'!$A$4:$AA$56,11,0))</f>
        <v>112544.0675</v>
      </c>
      <c r="CC66" s="184">
        <f>IF(ISERR(VLOOKUP(VALUE(CC$44),'HR DATA'!$A$4:$AA$56,11,0)="TRUE"),0,VLOOKUP(VALUE(CC$44),'HR DATA'!$A$4:$AA$56,11,0))+25984591.47</f>
        <v>26059135.102049001</v>
      </c>
      <c r="CD66" s="244" t="s">
        <v>221</v>
      </c>
      <c r="CE66" s="193">
        <f t="shared" si="0"/>
        <v>146338607.73560297</v>
      </c>
      <c r="CF66" s="247"/>
    </row>
    <row r="67" spans="1:84" ht="12.6" customHeight="1">
      <c r="A67" s="171" t="s">
        <v>6</v>
      </c>
      <c r="B67" s="175"/>
      <c r="C67" s="193">
        <f>ROUND(C51+C52,0)</f>
        <v>598989</v>
      </c>
      <c r="D67" s="193">
        <f>ROUND(D51+D52,0)</f>
        <v>0</v>
      </c>
      <c r="E67" s="193">
        <f t="shared" ref="E67:BP67" si="3">ROUND(E51+E52,0)</f>
        <v>4834321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1047516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7538626</v>
      </c>
      <c r="Q67" s="193">
        <f t="shared" si="3"/>
        <v>449165</v>
      </c>
      <c r="R67" s="193">
        <f t="shared" si="3"/>
        <v>5913</v>
      </c>
      <c r="S67" s="193">
        <f t="shared" si="3"/>
        <v>635402</v>
      </c>
      <c r="T67" s="193">
        <f t="shared" si="3"/>
        <v>0</v>
      </c>
      <c r="U67" s="193">
        <f t="shared" si="3"/>
        <v>763271</v>
      </c>
      <c r="V67" s="193">
        <f t="shared" si="3"/>
        <v>164029</v>
      </c>
      <c r="W67" s="193">
        <f t="shared" si="3"/>
        <v>119165</v>
      </c>
      <c r="X67" s="193">
        <f t="shared" si="3"/>
        <v>0</v>
      </c>
      <c r="Y67" s="193">
        <f t="shared" si="3"/>
        <v>2881653</v>
      </c>
      <c r="Z67" s="193">
        <f t="shared" si="3"/>
        <v>715712</v>
      </c>
      <c r="AA67" s="193">
        <f t="shared" si="3"/>
        <v>135303</v>
      </c>
      <c r="AB67" s="193">
        <f t="shared" si="3"/>
        <v>580697</v>
      </c>
      <c r="AC67" s="193">
        <f t="shared" si="3"/>
        <v>587830</v>
      </c>
      <c r="AD67" s="193">
        <f t="shared" si="3"/>
        <v>41289</v>
      </c>
      <c r="AE67" s="193">
        <f t="shared" si="3"/>
        <v>1272217</v>
      </c>
      <c r="AF67" s="193">
        <f t="shared" si="3"/>
        <v>0</v>
      </c>
      <c r="AG67" s="193">
        <f t="shared" si="3"/>
        <v>1670116</v>
      </c>
      <c r="AH67" s="193">
        <f t="shared" si="3"/>
        <v>0</v>
      </c>
      <c r="AI67" s="193">
        <f t="shared" si="3"/>
        <v>0</v>
      </c>
      <c r="AJ67" s="193">
        <f t="shared" si="3"/>
        <v>6289602</v>
      </c>
      <c r="AK67" s="193">
        <f t="shared" si="3"/>
        <v>238611</v>
      </c>
      <c r="AL67" s="193">
        <f t="shared" si="3"/>
        <v>78501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4064193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161538</v>
      </c>
      <c r="AW67" s="193">
        <f t="shared" si="3"/>
        <v>0</v>
      </c>
      <c r="AX67" s="193">
        <f t="shared" si="3"/>
        <v>0</v>
      </c>
      <c r="AY67" s="193">
        <f t="shared" si="3"/>
        <v>1163986</v>
      </c>
      <c r="AZ67" s="193">
        <f>ROUND(AZ51+AZ52,0)</f>
        <v>0</v>
      </c>
      <c r="BA67" s="193">
        <f>ROUND(BA51+BA52,0)</f>
        <v>189523</v>
      </c>
      <c r="BB67" s="193">
        <f t="shared" si="3"/>
        <v>58315</v>
      </c>
      <c r="BC67" s="193">
        <f t="shared" si="3"/>
        <v>6603</v>
      </c>
      <c r="BD67" s="193">
        <f t="shared" si="3"/>
        <v>2681965</v>
      </c>
      <c r="BE67" s="193">
        <f t="shared" si="3"/>
        <v>4696561</v>
      </c>
      <c r="BF67" s="193">
        <f t="shared" si="3"/>
        <v>555949</v>
      </c>
      <c r="BG67" s="193">
        <f t="shared" si="3"/>
        <v>87461</v>
      </c>
      <c r="BH67" s="193">
        <f t="shared" si="3"/>
        <v>0</v>
      </c>
      <c r="BI67" s="193">
        <f t="shared" si="3"/>
        <v>0</v>
      </c>
      <c r="BJ67" s="193">
        <f t="shared" si="3"/>
        <v>0</v>
      </c>
      <c r="BK67" s="193">
        <f t="shared" si="3"/>
        <v>4312</v>
      </c>
      <c r="BL67" s="193">
        <f t="shared" si="3"/>
        <v>0</v>
      </c>
      <c r="BM67" s="193">
        <f t="shared" si="3"/>
        <v>0</v>
      </c>
      <c r="BN67" s="193">
        <f t="shared" si="3"/>
        <v>665936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216692</v>
      </c>
      <c r="BT67" s="193">
        <f t="shared" si="4"/>
        <v>0</v>
      </c>
      <c r="BU67" s="193">
        <f t="shared" si="4"/>
        <v>137019</v>
      </c>
      <c r="BV67" s="193">
        <f t="shared" si="4"/>
        <v>388097</v>
      </c>
      <c r="BW67" s="193">
        <f t="shared" si="4"/>
        <v>0</v>
      </c>
      <c r="BX67" s="193">
        <f t="shared" si="4"/>
        <v>0</v>
      </c>
      <c r="BY67" s="193">
        <f t="shared" si="4"/>
        <v>411982</v>
      </c>
      <c r="BZ67" s="193">
        <f t="shared" si="4"/>
        <v>0</v>
      </c>
      <c r="CA67" s="193">
        <f t="shared" si="4"/>
        <v>98410</v>
      </c>
      <c r="CB67" s="193">
        <f t="shared" si="4"/>
        <v>0</v>
      </c>
      <c r="CC67" s="193">
        <f t="shared" si="4"/>
        <v>0</v>
      </c>
      <c r="CD67" s="244" t="s">
        <v>221</v>
      </c>
      <c r="CE67" s="193">
        <f t="shared" si="0"/>
        <v>46236470</v>
      </c>
      <c r="CF67" s="247"/>
    </row>
    <row r="68" spans="1:84" ht="12.6" customHeight="1">
      <c r="A68" s="171" t="s">
        <v>240</v>
      </c>
      <c r="B68" s="175"/>
      <c r="C68" s="184">
        <f>IF(ISERR(VLOOKUP(VALUE(C$44),'HR DATA'!$A$4:$AA$54,14,0)="TRUE"),0,VLOOKUP(VALUE(C$44),'HR DATA'!$A$4:$AA$54,14,0))</f>
        <v>15218.560000000001</v>
      </c>
      <c r="D68" s="184">
        <f>IF(ISERR(VLOOKUP(VALUE(D$44),'HR DATA'!$A$4:$AA$54,14,0)="TRUE"),0,VLOOKUP(VALUE(D$44),'HR DATA'!$A$4:$AA$54,14,0))</f>
        <v>0</v>
      </c>
      <c r="E68" s="184">
        <f>IF(ISERR(VLOOKUP(VALUE(E$44),'HR DATA'!$A$4:$AA$54,14,0)="TRUE"),0,VLOOKUP(VALUE(E$44),'HR DATA'!$A$4:$AA$54,14,0))</f>
        <v>16552.27</v>
      </c>
      <c r="F68" s="184">
        <f>IF(ISERR(VLOOKUP(VALUE(F$44),'HR DATA'!$A$4:$AA$54,14,0)="TRUE"),0,VLOOKUP(VALUE(F$44),'HR DATA'!$A$4:$AA$54,14,0))</f>
        <v>0</v>
      </c>
      <c r="G68" s="184">
        <f>IF(ISERR(VLOOKUP(VALUE(G$44),'HR DATA'!$A$4:$AA$54,14,0)="TRUE"),0,VLOOKUP(VALUE(G$44),'HR DATA'!$A$4:$AA$54,14,0))</f>
        <v>0</v>
      </c>
      <c r="H68" s="184">
        <f>IF(ISERR(VLOOKUP(VALUE(H$44),'HR DATA'!$A$4:$AA$54,14,0)="TRUE"),0,VLOOKUP(VALUE(H$44),'HR DATA'!$A$4:$AA$54,14,0))</f>
        <v>422.53</v>
      </c>
      <c r="I68" s="184">
        <f>IF(ISERR(VLOOKUP(VALUE(I$44),'HR DATA'!$A$4:$AA$54,14,0)="TRUE"),0,VLOOKUP(VALUE(I$44),'HR DATA'!$A$4:$AA$54,14,0))</f>
        <v>0</v>
      </c>
      <c r="J68" s="184">
        <f>IF(ISERR(VLOOKUP(VALUE(J$44),'HR DATA'!$A$4:$AA$54,14,0)="TRUE"),0,VLOOKUP(VALUE(J$44),'HR DATA'!$A$4:$AA$54,14,0))</f>
        <v>11075.9</v>
      </c>
      <c r="K68" s="184">
        <f>IF(ISERR(VLOOKUP(VALUE(K$44),'HR DATA'!$A$4:$AA$54,14,0)="TRUE"),0,VLOOKUP(VALUE(K$44),'HR DATA'!$A$4:$AA$54,14,0))</f>
        <v>0</v>
      </c>
      <c r="L68" s="184">
        <f>IF(ISERR(VLOOKUP(VALUE(L$44),'HR DATA'!$A$4:$AA$54,14,0)="TRUE"),0,VLOOKUP(VALUE(L$44),'HR DATA'!$A$4:$AA$54,14,0))</f>
        <v>0</v>
      </c>
      <c r="M68" s="184">
        <f>IF(ISERR(VLOOKUP(VALUE(M$44),'HR DATA'!$A$4:$AA$54,14,0)="TRUE"),0,VLOOKUP(VALUE(M$44),'HR DATA'!$A$4:$AA$54,14,0))</f>
        <v>0</v>
      </c>
      <c r="N68" s="184">
        <f>IF(ISERR(VLOOKUP(VALUE(N$44),'HR DATA'!$A$4:$AA$54,14,0)="TRUE"),0,VLOOKUP(VALUE(N$44),'HR DATA'!$A$4:$AA$54,14,0))</f>
        <v>0</v>
      </c>
      <c r="O68" s="184">
        <f>IF(ISERR(VLOOKUP(VALUE(O$44),'HR DATA'!$A$4:$AA$54,14,0)="TRUE"),0,VLOOKUP(VALUE(O$44),'HR DATA'!$A$4:$AA$54,14,0))</f>
        <v>0</v>
      </c>
      <c r="P68" s="184">
        <f>IF(ISERR(VLOOKUP(VALUE(P$44),'HR DATA'!$A$4:$AA$54,14,0)="TRUE"),0,VLOOKUP(VALUE(P$44),'HR DATA'!$A$4:$AA$54,14,0))</f>
        <v>1373297.17</v>
      </c>
      <c r="Q68" s="184">
        <f>IF(ISERR(VLOOKUP(VALUE(Q$44),'HR DATA'!$A$4:$AA$54,14,0)="TRUE"),0,VLOOKUP(VALUE(Q$44),'HR DATA'!$A$4:$AA$54,14,0))</f>
        <v>3116.67</v>
      </c>
      <c r="R68" s="184">
        <f>IF(ISERR(VLOOKUP(VALUE(R$44),'HR DATA'!$A$4:$AA$54,14,0)="TRUE"),0,VLOOKUP(VALUE(R$44),'HR DATA'!$A$4:$AA$54,14,0))</f>
        <v>4940.9400000000005</v>
      </c>
      <c r="S68" s="184">
        <f>IF(ISERR(VLOOKUP(VALUE(S$44),'HR DATA'!$A$4:$AA$54,14,0)="TRUE"),0,VLOOKUP(VALUE(S$44),'HR DATA'!$A$4:$AA$54,14,0))</f>
        <v>46598.500000000007</v>
      </c>
      <c r="T68" s="184">
        <f>IF(ISERR(VLOOKUP(VALUE(T$44),'HR DATA'!$A$4:$AA$54,14,0)="TRUE"),0,VLOOKUP(VALUE(T$44),'HR DATA'!$A$4:$AA$54,14,0))</f>
        <v>0</v>
      </c>
      <c r="U68" s="184">
        <f>IF(ISERR(VLOOKUP(VALUE(U$44),'HR DATA'!$A$4:$AA$54,14,0)="TRUE"),0,VLOOKUP(VALUE(U$44),'HR DATA'!$A$4:$AA$54,14,0))</f>
        <v>76297.77</v>
      </c>
      <c r="V68" s="184">
        <f>IF(ISERR(VLOOKUP(VALUE(V$44),'HR DATA'!$A$4:$AA$54,14,0)="TRUE"),0,VLOOKUP(VALUE(V$44),'HR DATA'!$A$4:$AA$54,14,0))</f>
        <v>0</v>
      </c>
      <c r="W68" s="184">
        <f>IF(ISERR(VLOOKUP(VALUE(W$44),'HR DATA'!$A$4:$AA$54,14,0)="TRUE"),0,VLOOKUP(VALUE(W$44),'HR DATA'!$A$4:$AA$54,14,0))</f>
        <v>1521.05</v>
      </c>
      <c r="X68" s="184">
        <f>IF(ISERR(VLOOKUP(VALUE(X$44),'HR DATA'!$A$4:$AA$54,14,0)="TRUE"),0,VLOOKUP(VALUE(X$44),'HR DATA'!$A$4:$AA$54,14,0))</f>
        <v>0</v>
      </c>
      <c r="Y68" s="184">
        <f>IF(ISERR(VLOOKUP(VALUE(Y$44),'HR DATA'!$A$4:$AA$54,14,0)="TRUE"),0,VLOOKUP(VALUE(Y$44),'HR DATA'!$A$4:$AA$54,14,0))</f>
        <v>1070088.83</v>
      </c>
      <c r="Z68" s="184">
        <f>IF(ISERR(VLOOKUP(VALUE(Z$44),'HR DATA'!$A$4:$AA$54,14,0)="TRUE"),0,VLOOKUP(VALUE(Z$44),'HR DATA'!$A$4:$AA$54,14,0))</f>
        <v>8646.33</v>
      </c>
      <c r="AA68" s="184">
        <f>IF(ISERR(VLOOKUP(VALUE(AA$44),'HR DATA'!$A$4:$AA$54,14,0)="TRUE"),0,VLOOKUP(VALUE(AA$44),'HR DATA'!$A$4:$AA$54,14,0))</f>
        <v>467.27</v>
      </c>
      <c r="AB68" s="184">
        <f>IF(ISERR(VLOOKUP(VALUE(AB$44),'HR DATA'!$A$4:$AA$54,14,0)="TRUE"),0,VLOOKUP(VALUE(AB$44),'HR DATA'!$A$4:$AA$54,14,0))</f>
        <v>39988.420000000006</v>
      </c>
      <c r="AC68" s="184">
        <f>IF(ISERR(VLOOKUP(VALUE(AC$44),'HR DATA'!$A$4:$AA$54,14,0)="TRUE"),0,VLOOKUP(VALUE(AC$44),'HR DATA'!$A$4:$AA$54,14,0))</f>
        <v>286637.23000000004</v>
      </c>
      <c r="AD68" s="184">
        <f>IF(ISERR(VLOOKUP(VALUE(AD$44),'HR DATA'!$A$4:$AA$54,14,0)="TRUE"),0,VLOOKUP(VALUE(AD$44),'HR DATA'!$A$4:$AA$54,14,0))</f>
        <v>0</v>
      </c>
      <c r="AE68" s="184">
        <f>IF(ISERR(VLOOKUP(VALUE(AE$44),'HR DATA'!$A$4:$AA$54,14,0)="TRUE"),0,VLOOKUP(VALUE(AE$44),'HR DATA'!$A$4:$AA$54,14,0))</f>
        <v>349676.32999999996</v>
      </c>
      <c r="AF68" s="184">
        <f>IF(ISERR(VLOOKUP(VALUE(AF$44),'HR DATA'!$A$4:$AA$54,14,0)="TRUE"),0,VLOOKUP(VALUE(AF$44),'HR DATA'!$A$4:$AA$54,14,0))</f>
        <v>0</v>
      </c>
      <c r="AG68" s="184">
        <f>IF(ISERR(VLOOKUP(VALUE(AG$44),'HR DATA'!$A$4:$AA$54,14,0)="TRUE"),0,VLOOKUP(VALUE(AG$44),'HR DATA'!$A$4:$AA$54,14,0))</f>
        <v>31347.540000000005</v>
      </c>
      <c r="AH68" s="184">
        <f>IF(ISERR(VLOOKUP(VALUE(AH$44),'HR DATA'!$A$4:$AA$54,14,0)="TRUE"),0,VLOOKUP(VALUE(AH$44),'HR DATA'!$A$4:$AA$54,14,0))</f>
        <v>0</v>
      </c>
      <c r="AI68" s="184">
        <f>IF(ISERR(VLOOKUP(VALUE(AI$44),'HR DATA'!$A$4:$AA$54,14,0)="TRUE"),0,VLOOKUP(VALUE(AI$44),'HR DATA'!$A$4:$AA$54,14,0))</f>
        <v>0</v>
      </c>
      <c r="AJ68" s="184">
        <f>IF(ISERR(VLOOKUP(VALUE(AJ$44),'HR DATA'!$A$4:$AA$54,14,0)="TRUE"),0,VLOOKUP(VALUE(AJ$44),'HR DATA'!$A$4:$AA$54,14,0))</f>
        <v>7477809.3500000006</v>
      </c>
      <c r="AK68" s="184">
        <f>IF(ISERR(VLOOKUP(VALUE(AK$44),'HR DATA'!$A$4:$AA$54,14,0)="TRUE"),0,VLOOKUP(VALUE(AK$44),'HR DATA'!$A$4:$AA$54,14,0))</f>
        <v>170110.53999999998</v>
      </c>
      <c r="AL68" s="184">
        <f>IF(ISERR(VLOOKUP(VALUE(AL$44),'HR DATA'!$A$4:$AA$54,14,0)="TRUE"),0,VLOOKUP(VALUE(AL$44),'HR DATA'!$A$4:$AA$54,14,0))</f>
        <v>58368.81</v>
      </c>
      <c r="AM68" s="184">
        <f>IF(ISERR(VLOOKUP(VALUE(AM$44),'HR DATA'!$A$4:$AA$54,14,0)="TRUE"),0,VLOOKUP(VALUE(AM$44),'HR DATA'!$A$4:$AA$54,14,0))</f>
        <v>0</v>
      </c>
      <c r="AN68" s="184">
        <f>IF(ISERR(VLOOKUP(VALUE(AN$44),'HR DATA'!$A$4:$AA$54,14,0)="TRUE"),0,VLOOKUP(VALUE(AN$44),'HR DATA'!$A$4:$AA$54,14,0))</f>
        <v>0</v>
      </c>
      <c r="AO68" s="184">
        <f>IF(ISERR(VLOOKUP(VALUE(AO$44),'HR DATA'!$A$4:$AA$54,14,0)="TRUE"),0,VLOOKUP(VALUE(AO$44),'HR DATA'!$A$4:$AA$54,14,0))</f>
        <v>0</v>
      </c>
      <c r="AP68" s="184">
        <f>IF(ISERR(VLOOKUP(VALUE(AP$44),'HR DATA'!$A$4:$AA$54,14,0)="TRUE"),0,VLOOKUP(VALUE(AP$44),'HR DATA'!$A$4:$AA$54,14,0))</f>
        <v>697830.32</v>
      </c>
      <c r="AQ68" s="184">
        <f>IF(ISERR(VLOOKUP(VALUE(AQ$44),'HR DATA'!$A$4:$AA$54,14,0)="TRUE"),0,VLOOKUP(VALUE(AQ$44),'HR DATA'!$A$4:$AA$54,14,0))</f>
        <v>0</v>
      </c>
      <c r="AR68" s="184">
        <f>IF(ISERR(VLOOKUP(VALUE(AR$44),'HR DATA'!$A$4:$AA$54,14,0)="TRUE"),0,VLOOKUP(VALUE(AR$44),'HR DATA'!$A$4:$AA$54,14,0))</f>
        <v>0</v>
      </c>
      <c r="AS68" s="184">
        <f>IF(ISERR(VLOOKUP(VALUE(AS$44),'HR DATA'!$A$4:$AA$54,14,0)="TRUE"),0,VLOOKUP(VALUE(AS$44),'HR DATA'!$A$4:$AA$54,14,0))</f>
        <v>0</v>
      </c>
      <c r="AT68" s="184">
        <f>IF(ISERR(VLOOKUP(VALUE(AT$44),'HR DATA'!$A$4:$AA$54,14,0)="TRUE"),0,VLOOKUP(VALUE(AT$44),'HR DATA'!$A$4:$AA$54,14,0))</f>
        <v>0</v>
      </c>
      <c r="AU68" s="184">
        <f>IF(ISERR(VLOOKUP(VALUE(AU$44),'HR DATA'!$A$4:$AA$54,14,0)="TRUE"),0,VLOOKUP(VALUE(AU$44),'HR DATA'!$A$4:$AA$54,14,0))</f>
        <v>0</v>
      </c>
      <c r="AV68" s="184">
        <f>IF(ISERR(VLOOKUP(VALUE(AV$44),'HR DATA'!$A$4:$AA$54,14,0)="TRUE"),0,VLOOKUP(VALUE(AV$44),'HR DATA'!$A$4:$AA$54,14,0))</f>
        <v>0</v>
      </c>
      <c r="AW68" s="184">
        <f>IF(ISERR(VLOOKUP(VALUE(AW$44),'HR DATA'!$A$4:$AA$54,14,0)="TRUE"),0,VLOOKUP(VALUE(AW$44),'HR DATA'!$A$4:$AA$54,14,0))</f>
        <v>0</v>
      </c>
      <c r="AX68" s="184">
        <f>IF(ISERR(VLOOKUP(VALUE(AX$44),'HR DATA'!$A$4:$AA$54,14,0)="TRUE"),0,VLOOKUP(VALUE(AX$44),'HR DATA'!$A$4:$AA$54,14,0))</f>
        <v>0</v>
      </c>
      <c r="AY68" s="184">
        <f>IF(ISERR(VLOOKUP(VALUE(AY$44),'HR DATA'!$A$4:$AA$54,14,0)="TRUE"),0,VLOOKUP(VALUE(AY$44),'HR DATA'!$A$4:$AA$54,14,0))</f>
        <v>21773.610000000004</v>
      </c>
      <c r="AZ68" s="184">
        <f>IF(ISERR(VLOOKUP(VALUE(AZ$44),'HR DATA'!$A$4:$AA$54,14,0)="TRUE"),0,VLOOKUP(VALUE(AZ$44),'HR DATA'!$A$4:$AA$54,14,0))</f>
        <v>0</v>
      </c>
      <c r="BA68" s="184">
        <f>IF(ISERR(VLOOKUP(VALUE(BA$44),'HR DATA'!$A$4:$AA$54,14,0)="TRUE"),0,VLOOKUP(VALUE(BA$44),'HR DATA'!$A$4:$AA$54,14,0))</f>
        <v>0</v>
      </c>
      <c r="BB68" s="184">
        <f>IF(ISERR(VLOOKUP(VALUE(BB$44),'HR DATA'!$A$4:$AA$54,14,0)="TRUE"),0,VLOOKUP(VALUE(BB$44),'HR DATA'!$A$4:$AA$54,14,0))</f>
        <v>10011.42</v>
      </c>
      <c r="BC68" s="184">
        <f>IF(ISERR(VLOOKUP(VALUE(BC$44),'HR DATA'!$A$4:$AA$54,14,0)="TRUE"),0,VLOOKUP(VALUE(BC$44),'HR DATA'!$A$4:$AA$54,14,0))</f>
        <v>1156.2799999999997</v>
      </c>
      <c r="BD68" s="184">
        <f>IF(ISERR(VLOOKUP(VALUE(BD$44),'HR DATA'!$A$4:$AA$54,14,0)="TRUE"),0,VLOOKUP(VALUE(BD$44),'HR DATA'!$A$4:$AA$54,14,0))</f>
        <v>0</v>
      </c>
      <c r="BE68" s="184">
        <f>IF(ISERR(VLOOKUP(VALUE(BE$44),'HR DATA'!$A$4:$AA$54,14,0)="TRUE"),0,VLOOKUP(VALUE(BE$44),'HR DATA'!$A$4:$AA$54,14,0))</f>
        <v>605288.71</v>
      </c>
      <c r="BF68" s="184">
        <f>IF(ISERR(VLOOKUP(VALUE(BF$44),'HR DATA'!$A$4:$AA$54,14,0)="TRUE"),0,VLOOKUP(VALUE(BF$44),'HR DATA'!$A$4:$AA$54,14,0))</f>
        <v>7603.2900000000009</v>
      </c>
      <c r="BG68" s="184">
        <f>IF(ISERR(VLOOKUP(VALUE(BG$44),'HR DATA'!$A$4:$AA$54,14,0)="TRUE"),0,VLOOKUP(VALUE(BG$44),'HR DATA'!$A$4:$AA$54,14,0))</f>
        <v>1722.6399999999999</v>
      </c>
      <c r="BH68" s="184">
        <f>IF(ISERR(VLOOKUP(VALUE(BH$44),'HR DATA'!$A$4:$AA$54,14,0)="TRUE"),0,VLOOKUP(VALUE(BH$44),'HR DATA'!$A$4:$AA$54,14,0))</f>
        <v>0</v>
      </c>
      <c r="BI68" s="184">
        <f>IF(ISERR(VLOOKUP(VALUE(BI$44),'HR DATA'!$A$4:$AA$54,14,0)="TRUE"),0,VLOOKUP(VALUE(BI$44),'HR DATA'!$A$4:$AA$54,14,0))</f>
        <v>0</v>
      </c>
      <c r="BJ68" s="184">
        <f>IF(ISERR(VLOOKUP(VALUE(BJ$44),'HR DATA'!$A$4:$AA$54,14,0)="TRUE"),0,VLOOKUP(VALUE(BJ$44),'HR DATA'!$A$4:$AA$54,14,0))</f>
        <v>0</v>
      </c>
      <c r="BK68" s="184">
        <f>IF(ISERR(VLOOKUP(VALUE(BK$44),'HR DATA'!$A$4:$AA$54,14,0)="TRUE"),0,VLOOKUP(VALUE(BK$44),'HR DATA'!$A$4:$AA$54,14,0))</f>
        <v>25787.65</v>
      </c>
      <c r="BL68" s="184">
        <f>IF(ISERR(VLOOKUP(VALUE(BL$44),'HR DATA'!$A$4:$AA$54,14,0)="TRUE"),0,VLOOKUP(VALUE(BL$44),'HR DATA'!$A$4:$AA$54,14,0))</f>
        <v>12358.85</v>
      </c>
      <c r="BM68" s="184">
        <f>IF(ISERR(VLOOKUP(VALUE(BM$44),'HR DATA'!$A$4:$AA$54,14,0)="TRUE"),0,VLOOKUP(VALUE(BM$44),'HR DATA'!$A$4:$AA$54,14,0))</f>
        <v>0</v>
      </c>
      <c r="BN68" s="184">
        <f>IF(ISERR(VLOOKUP(VALUE(BN$44),'HR DATA'!$A$4:$AA$54,14,0)="TRUE"),0,VLOOKUP(VALUE(BN$44),'HR DATA'!$A$4:$AA$54,14,0))</f>
        <v>531229.57000000007</v>
      </c>
      <c r="BO68" s="184">
        <f>IF(ISERR(VLOOKUP(VALUE(BO$44),'HR DATA'!$A$4:$AA$54,14,0)="TRUE"),0,VLOOKUP(VALUE(BO$44),'HR DATA'!$A$4:$AA$54,14,0))</f>
        <v>0</v>
      </c>
      <c r="BP68" s="184">
        <f>IF(ISERR(VLOOKUP(VALUE(BP$44),'HR DATA'!$A$4:$AA$54,14,0)="TRUE"),0,VLOOKUP(VALUE(BP$44),'HR DATA'!$A$4:$AA$54,14,0))</f>
        <v>0</v>
      </c>
      <c r="BQ68" s="184">
        <f>IF(ISERR(VLOOKUP(VALUE(BQ$44),'HR DATA'!$A$4:$AA$54,14,0)="TRUE"),0,VLOOKUP(VALUE(BQ$44),'HR DATA'!$A$4:$AA$54,14,0))</f>
        <v>0</v>
      </c>
      <c r="BR68" s="184">
        <f>IF(ISERR(VLOOKUP(VALUE(BR$44),'HR DATA'!$A$4:$AA$54,14,0)="TRUE"),0,VLOOKUP(VALUE(BR$44),'HR DATA'!$A$4:$AA$54,14,0))</f>
        <v>0</v>
      </c>
      <c r="BS68" s="184">
        <f>IF(ISERR(VLOOKUP(VALUE(BS$44),'HR DATA'!$A$4:$AA$54,14,0)="TRUE"),0,VLOOKUP(VALUE(BS$44),'HR DATA'!$A$4:$AA$54,14,0))</f>
        <v>0</v>
      </c>
      <c r="BT68" s="184">
        <f>IF(ISERR(VLOOKUP(VALUE(BT$44),'HR DATA'!$A$4:$AA$54,14,0)="TRUE"),0,VLOOKUP(VALUE(BT$44),'HR DATA'!$A$4:$AA$54,14,0))</f>
        <v>0</v>
      </c>
      <c r="BU68" s="184">
        <f>IF(ISERR(VLOOKUP(VALUE(BU$44),'HR DATA'!$A$4:$AA$54,14,0)="TRUE"),0,VLOOKUP(VALUE(BU$44),'HR DATA'!$A$4:$AA$54,14,0))</f>
        <v>0</v>
      </c>
      <c r="BV68" s="184">
        <f>IF(ISERR(VLOOKUP(VALUE(BV$44),'HR DATA'!$A$4:$AA$54,14,0)="TRUE"),0,VLOOKUP(VALUE(BV$44),'HR DATA'!$A$4:$AA$54,14,0))</f>
        <v>19085.789999999997</v>
      </c>
      <c r="BW68" s="184">
        <f>IF(ISERR(VLOOKUP(VALUE(BW$44),'HR DATA'!$A$4:$AA$54,14,0)="TRUE"),0,VLOOKUP(VALUE(BW$44),'HR DATA'!$A$4:$AA$54,14,0))</f>
        <v>0</v>
      </c>
      <c r="BX68" s="184">
        <f>IF(ISERR(VLOOKUP(VALUE(BX$44),'HR DATA'!$A$4:$AA$54,14,0)="TRUE"),0,VLOOKUP(VALUE(BX$44),'HR DATA'!$A$4:$AA$54,14,0))</f>
        <v>467.41</v>
      </c>
      <c r="BY68" s="184">
        <f>IF(ISERR(VLOOKUP(VALUE(BY$44),'HR DATA'!$A$4:$AA$54,14,0)="TRUE"),0,VLOOKUP(VALUE(BY$44),'HR DATA'!$A$4:$AA$54,14,0))</f>
        <v>28605.690000000002</v>
      </c>
      <c r="BZ68" s="184">
        <f>IF(ISERR(VLOOKUP(VALUE(BZ$44),'HR DATA'!$A$4:$AA$54,14,0)="TRUE"),0,VLOOKUP(VALUE(BZ$44),'HR DATA'!$A$4:$AA$54,14,0))</f>
        <v>0</v>
      </c>
      <c r="CA68" s="184">
        <f>IF(ISERR(VLOOKUP(VALUE(CA$44),'HR DATA'!$A$4:$AA$54,14,0)="TRUE"),0,VLOOKUP(VALUE(CA$44),'HR DATA'!$A$4:$AA$54,14,0))</f>
        <v>46057.770000000004</v>
      </c>
      <c r="CB68" s="184">
        <f>IF(ISERR(VLOOKUP(VALUE(CB$44),'HR DATA'!$A$4:$AA$54,14,0)="TRUE"),0,VLOOKUP(VALUE(CB$44),'HR DATA'!$A$4:$AA$54,14,0))</f>
        <v>0</v>
      </c>
      <c r="CC68" s="184">
        <f>IF(ISERR(VLOOKUP(VALUE(CC$44),'HR DATA'!$A$4:$AA$56,14,0)="TRUE"),0,VLOOKUP(VALUE(CC$44),'HR DATA'!$A$4:$AA$56,14,0))+166629</f>
        <v>166796.74</v>
      </c>
      <c r="CD68" s="244" t="s">
        <v>221</v>
      </c>
      <c r="CE68" s="193">
        <f t="shared" si="0"/>
        <v>13217957.749999996</v>
      </c>
      <c r="CF68" s="247"/>
    </row>
    <row r="69" spans="1:84" ht="12.6" customHeight="1">
      <c r="A69" s="171" t="s">
        <v>241</v>
      </c>
      <c r="B69" s="175"/>
      <c r="C69" s="184">
        <f>IF(ISERR(VLOOKUP(VALUE(C$44),'HR DATA'!$A$4:$AA$55,19,0)="TRUE"),0,VLOOKUP(VALUE(C$44),'HR DATA'!$A$4:$AA$54,19,0))</f>
        <v>3403.73</v>
      </c>
      <c r="D69" s="184">
        <f>IF(ISERR(VLOOKUP(VALUE(D$44),'HR DATA'!$A$4:$AA$55,19,0)="TRUE"),0,VLOOKUP(VALUE(D$44),'HR DATA'!$A$4:$AA$54,19,0))</f>
        <v>0</v>
      </c>
      <c r="E69" s="184">
        <f>IF(ISERR(VLOOKUP(VALUE(E$44),'HR DATA'!$A$4:$AA$55,19,0)="TRUE"),0,VLOOKUP(VALUE(E$44),'HR DATA'!$A$4:$AA$54,19,0))</f>
        <v>40480.58</v>
      </c>
      <c r="F69" s="184">
        <f>IF(ISERR(VLOOKUP(VALUE(F$44),'HR DATA'!$A$4:$AA$55,19,0)="TRUE"),0,VLOOKUP(VALUE(F$44),'HR DATA'!$A$4:$AA$54,19,0))</f>
        <v>0</v>
      </c>
      <c r="G69" s="184">
        <f>IF(ISERR(VLOOKUP(VALUE(G$44),'HR DATA'!$A$4:$AA$55,19,0)="TRUE"),0,VLOOKUP(VALUE(G$44),'HR DATA'!$A$4:$AA$54,19,0))</f>
        <v>0</v>
      </c>
      <c r="H69" s="184">
        <f>IF(ISERR(VLOOKUP(VALUE(H$44),'HR DATA'!$A$4:$AA$55,19,0)="TRUE"),0,VLOOKUP(VALUE(H$44),'HR DATA'!$A$4:$AA$54,19,0))</f>
        <v>0</v>
      </c>
      <c r="I69" s="184">
        <f>IF(ISERR(VLOOKUP(VALUE(I$44),'HR DATA'!$A$4:$AA$55,19,0)="TRUE"),0,VLOOKUP(VALUE(I$44),'HR DATA'!$A$4:$AA$54,19,0))</f>
        <v>0</v>
      </c>
      <c r="J69" s="184">
        <f>IF(ISERR(VLOOKUP(VALUE(J$44),'HR DATA'!$A$4:$AA$55,19,0)="TRUE"),0,VLOOKUP(VALUE(J$44),'HR DATA'!$A$4:$AA$54,19,0))</f>
        <v>30530.57</v>
      </c>
      <c r="K69" s="184">
        <f>IF(ISERR(VLOOKUP(VALUE(K$44),'HR DATA'!$A$4:$AA$55,19,0)="TRUE"),0,VLOOKUP(VALUE(K$44),'HR DATA'!$A$4:$AA$54,19,0))</f>
        <v>0</v>
      </c>
      <c r="L69" s="184">
        <f>IF(ISERR(VLOOKUP(VALUE(L$44),'HR DATA'!$A$4:$AA$55,19,0)="TRUE"),0,VLOOKUP(VALUE(L$44),'HR DATA'!$A$4:$AA$54,19,0))</f>
        <v>0</v>
      </c>
      <c r="M69" s="184">
        <f>IF(ISERR(VLOOKUP(VALUE(M$44),'HR DATA'!$A$4:$AA$55,19,0)="TRUE"),0,VLOOKUP(VALUE(M$44),'HR DATA'!$A$4:$AA$54,19,0))</f>
        <v>0</v>
      </c>
      <c r="N69" s="184">
        <f>IF(ISERR(VLOOKUP(VALUE(N$44),'HR DATA'!$A$4:$AA$55,19,0)="TRUE"),0,VLOOKUP(VALUE(N$44),'HR DATA'!$A$4:$AA$54,19,0))</f>
        <v>0</v>
      </c>
      <c r="O69" s="184">
        <f>IF(ISERR(VLOOKUP(VALUE(O$44),'HR DATA'!$A$4:$AA$55,19,0)="TRUE"),0,VLOOKUP(VALUE(O$44),'HR DATA'!$A$4:$AA$54,19,0))</f>
        <v>0</v>
      </c>
      <c r="P69" s="184">
        <f>IF(ISERR(VLOOKUP(VALUE(P$44),'HR DATA'!$A$4:$AA$55,19,0)="TRUE"),0,VLOOKUP(VALUE(P$44),'HR DATA'!$A$4:$AA$54,19,0))</f>
        <v>92682.069999999978</v>
      </c>
      <c r="Q69" s="184">
        <f>IF(ISERR(VLOOKUP(VALUE(Q$44),'HR DATA'!$A$4:$AA$55,19,0)="TRUE"),0,VLOOKUP(VALUE(Q$44),'HR DATA'!$A$4:$AA$54,19,0))</f>
        <v>14970.739999999991</v>
      </c>
      <c r="R69" s="184">
        <f>IF(ISERR(VLOOKUP(VALUE(R$44),'HR DATA'!$A$4:$AA$55,19,0)="TRUE"),0,VLOOKUP(VALUE(R$44),'HR DATA'!$A$4:$AA$54,19,0))</f>
        <v>0</v>
      </c>
      <c r="S69" s="184">
        <f>IF(ISERR(VLOOKUP(VALUE(S$44),'HR DATA'!$A$4:$AA$55,19,0)="TRUE"),0,VLOOKUP(VALUE(S$44),'HR DATA'!$A$4:$AA$54,19,0))</f>
        <v>91367.53</v>
      </c>
      <c r="T69" s="184">
        <f>IF(ISERR(VLOOKUP(VALUE(T$44),'HR DATA'!$A$4:$AA$55,19,0)="TRUE"),0,VLOOKUP(VALUE(T$44),'HR DATA'!$A$4:$AA$54,19,0))</f>
        <v>0</v>
      </c>
      <c r="U69" s="184">
        <f>IF(ISERR(VLOOKUP(VALUE(U$44),'HR DATA'!$A$4:$AA$55,19,0)="TRUE"),0,VLOOKUP(VALUE(U$44),'HR DATA'!$A$4:$AA$54,19,0))</f>
        <v>565196.33000000007</v>
      </c>
      <c r="V69" s="184">
        <f>IF(ISERR(VLOOKUP(VALUE(V$44),'HR DATA'!$A$4:$AA$55,19,0)="TRUE"),0,VLOOKUP(VALUE(V$44),'HR DATA'!$A$4:$AA$54,19,0))</f>
        <v>826.04</v>
      </c>
      <c r="W69" s="184">
        <f>IF(ISERR(VLOOKUP(VALUE(W$44),'HR DATA'!$A$4:$AA$55,19,0)="TRUE"),0,VLOOKUP(VALUE(W$44),'HR DATA'!$A$4:$AA$54,19,0))</f>
        <v>553.04000000000019</v>
      </c>
      <c r="X69" s="184">
        <f>IF(ISERR(VLOOKUP(VALUE(X$44),'HR DATA'!$A$4:$AA$55,19,0)="TRUE"),0,VLOOKUP(VALUE(X$44),'HR DATA'!$A$4:$AA$54,19,0))</f>
        <v>0</v>
      </c>
      <c r="Y69" s="184">
        <f>IF(ISERR(VLOOKUP(VALUE(Y$44),'HR DATA'!$A$4:$AA$55,19,0)="TRUE"),0,VLOOKUP(VALUE(Y$44),'HR DATA'!$A$4:$AA$54,19,0))</f>
        <v>32725.489999999998</v>
      </c>
      <c r="Z69" s="184">
        <f>IF(ISERR(VLOOKUP(VALUE(Z$44),'HR DATA'!$A$4:$AA$55,19,0)="TRUE"),0,VLOOKUP(VALUE(Z$44),'HR DATA'!$A$4:$AA$54,19,0))</f>
        <v>10585.670000000002</v>
      </c>
      <c r="AA69" s="184">
        <f>IF(ISERR(VLOOKUP(VALUE(AA$44),'HR DATA'!$A$4:$AA$55,19,0)="TRUE"),0,VLOOKUP(VALUE(AA$44),'HR DATA'!$A$4:$AA$54,19,0))</f>
        <v>61</v>
      </c>
      <c r="AB69" s="184">
        <f>IF(ISERR(VLOOKUP(VALUE(AB$44),'HR DATA'!$A$4:$AA$55,19,0)="TRUE"),0,VLOOKUP(VALUE(AB$44),'HR DATA'!$A$4:$AA$54,19,0))</f>
        <v>51503.89</v>
      </c>
      <c r="AC69" s="184">
        <f>IF(ISERR(VLOOKUP(VALUE(AC$44),'HR DATA'!$A$4:$AA$55,19,0)="TRUE"),0,VLOOKUP(VALUE(AC$44),'HR DATA'!$A$4:$AA$54,19,0))</f>
        <v>22694.440000000002</v>
      </c>
      <c r="AD69" s="184">
        <f>IF(ISERR(VLOOKUP(VALUE(AD$44),'HR DATA'!$A$4:$AA$55,19,0)="TRUE"),0,VLOOKUP(VALUE(AD$44),'HR DATA'!$A$4:$AA$54,19,0))</f>
        <v>0</v>
      </c>
      <c r="AE69" s="184">
        <f>IF(ISERR(VLOOKUP(VALUE(AE$44),'HR DATA'!$A$4:$AA$55,19,0)="TRUE"),0,VLOOKUP(VALUE(AE$44),'HR DATA'!$A$4:$AA$54,19,0))</f>
        <v>18818.2</v>
      </c>
      <c r="AF69" s="184">
        <f>IF(ISERR(VLOOKUP(VALUE(AF$44),'HR DATA'!$A$4:$AA$55,19,0)="TRUE"),0,VLOOKUP(VALUE(AF$44),'HR DATA'!$A$4:$AA$54,19,0))</f>
        <v>0</v>
      </c>
      <c r="AG69" s="184">
        <f>IF(ISERR(VLOOKUP(VALUE(AG$44),'HR DATA'!$A$4:$AA$55,19,0)="TRUE"),0,VLOOKUP(VALUE(AG$44),'HR DATA'!$A$4:$AA$54,19,0))</f>
        <v>35512.329999999994</v>
      </c>
      <c r="AH69" s="184">
        <f>IF(ISERR(VLOOKUP(VALUE(AH$44),'HR DATA'!$A$4:$AA$55,19,0)="TRUE"),0,VLOOKUP(VALUE(AH$44),'HR DATA'!$A$4:$AA$54,19,0))</f>
        <v>0</v>
      </c>
      <c r="AI69" s="184">
        <f>IF(ISERR(VLOOKUP(VALUE(AI$44),'HR DATA'!$A$4:$AA$55,19,0)="TRUE"),0,VLOOKUP(VALUE(AI$44),'HR DATA'!$A$4:$AA$54,19,0))</f>
        <v>0</v>
      </c>
      <c r="AJ69" s="184">
        <f>IF(ISERR(VLOOKUP(VALUE(AJ$44),'HR DATA'!$A$4:$AA$55,19,0)="TRUE"),0,VLOOKUP(VALUE(AJ$44),'HR DATA'!$A$4:$AA$54,19,0))</f>
        <v>4635807.4399999976</v>
      </c>
      <c r="AK69" s="184">
        <f>IF(ISERR(VLOOKUP(VALUE(AK$44),'HR DATA'!$A$4:$AA$55,19,0)="TRUE"),0,VLOOKUP(VALUE(AK$44),'HR DATA'!$A$4:$AA$54,19,0))</f>
        <v>5890.62</v>
      </c>
      <c r="AL69" s="184">
        <f>IF(ISERR(VLOOKUP(VALUE(AL$44),'HR DATA'!$A$4:$AA$55,19,0)="TRUE"),0,VLOOKUP(VALUE(AL$44),'HR DATA'!$A$4:$AA$54,19,0))</f>
        <v>2246.86</v>
      </c>
      <c r="AM69" s="184">
        <f>IF(ISERR(VLOOKUP(VALUE(AM$44),'HR DATA'!$A$4:$AA$55,19,0)="TRUE"),0,VLOOKUP(VALUE(AM$44),'HR DATA'!$A$4:$AA$54,19,0))</f>
        <v>0</v>
      </c>
      <c r="AN69" s="184">
        <f>IF(ISERR(VLOOKUP(VALUE(AN$44),'HR DATA'!$A$4:$AA$55,19,0)="TRUE"),0,VLOOKUP(VALUE(AN$44),'HR DATA'!$A$4:$AA$54,19,0))</f>
        <v>0</v>
      </c>
      <c r="AO69" s="184">
        <f>IF(ISERR(VLOOKUP(VALUE(AO$44),'HR DATA'!$A$4:$AA$55,19,0)="TRUE"),0,VLOOKUP(VALUE(AO$44),'HR DATA'!$A$4:$AA$54,19,0))</f>
        <v>0</v>
      </c>
      <c r="AP69" s="184">
        <f>IF(ISERR(VLOOKUP(VALUE(AP$44),'HR DATA'!$A$4:$AA$55,19,0)="TRUE"),0,VLOOKUP(VALUE(AP$44),'HR DATA'!$A$4:$AA$54,19,0))</f>
        <v>49825.849999999991</v>
      </c>
      <c r="AQ69" s="184">
        <f>IF(ISERR(VLOOKUP(VALUE(AQ$44),'HR DATA'!$A$4:$AA$55,19,0)="TRUE"),0,VLOOKUP(VALUE(AQ$44),'HR DATA'!$A$4:$AA$54,19,0))</f>
        <v>0</v>
      </c>
      <c r="AR69" s="184">
        <f>IF(ISERR(VLOOKUP(VALUE(AR$44),'HR DATA'!$A$4:$AA$55,19,0)="TRUE"),0,VLOOKUP(VALUE(AR$44),'HR DATA'!$A$4:$AA$54,19,0))</f>
        <v>0</v>
      </c>
      <c r="AS69" s="184">
        <f>IF(ISERR(VLOOKUP(VALUE(AS$44),'HR DATA'!$A$4:$AA$55,19,0)="TRUE"),0,VLOOKUP(VALUE(AS$44),'HR DATA'!$A$4:$AA$54,19,0))</f>
        <v>0</v>
      </c>
      <c r="AT69" s="184">
        <f>IF(ISERR(VLOOKUP(VALUE(AT$44),'HR DATA'!$A$4:$AA$55,19,0)="TRUE"),0,VLOOKUP(VALUE(AT$44),'HR DATA'!$A$4:$AA$54,19,0))</f>
        <v>0</v>
      </c>
      <c r="AU69" s="184">
        <f>IF(ISERR(VLOOKUP(VALUE(AU$44),'HR DATA'!$A$4:$AA$55,19,0)="TRUE"),0,VLOOKUP(VALUE(AU$44),'HR DATA'!$A$4:$AA$54,19,0))</f>
        <v>0</v>
      </c>
      <c r="AV69" s="184">
        <f>IF(ISERR(VLOOKUP(VALUE(AV$44),'HR DATA'!$A$4:$AA$55,19,0)="TRUE"),0,VLOOKUP(VALUE(AV$44),'HR DATA'!$A$4:$AA$54,19,0))</f>
        <v>300</v>
      </c>
      <c r="AW69" s="184">
        <f>IF(ISERR(VLOOKUP(VALUE(AW$44),'HR DATA'!$A$4:$AA$55,19,0)="TRUE"),0,VLOOKUP(VALUE(AW$44),'HR DATA'!$A$4:$AA$54,19,0))</f>
        <v>1421.41</v>
      </c>
      <c r="AX69" s="184">
        <f>IF(ISERR(VLOOKUP(VALUE(AX$44),'HR DATA'!$A$4:$AA$55,19,0)="TRUE"),0,VLOOKUP(VALUE(AX$44),'HR DATA'!$A$4:$AA$54,19,0))</f>
        <v>0</v>
      </c>
      <c r="AY69" s="184">
        <f>IF(ISERR(VLOOKUP(VALUE(AY$44),'HR DATA'!$A$4:$AA$55,19,0)="TRUE"),0,VLOOKUP(VALUE(AY$44),'HR DATA'!$A$4:$AA$54,19,0))</f>
        <v>102924.7</v>
      </c>
      <c r="AZ69" s="184">
        <f>IF(ISERR(VLOOKUP(VALUE(AZ$44),'HR DATA'!$A$4:$AA$55,19,0)="TRUE"),0,VLOOKUP(VALUE(AZ$44),'HR DATA'!$A$4:$AA$54,19,0))</f>
        <v>0</v>
      </c>
      <c r="BA69" s="184">
        <f>IF(ISERR(VLOOKUP(VALUE(BA$44),'HR DATA'!$A$4:$AA$55,19,0)="TRUE"),0,VLOOKUP(VALUE(BA$44),'HR DATA'!$A$4:$AA$54,19,0))</f>
        <v>157.32</v>
      </c>
      <c r="BB69" s="184">
        <f>IF(ISERR(VLOOKUP(VALUE(BB$44),'HR DATA'!$A$4:$AA$55,19,0)="TRUE"),0,VLOOKUP(VALUE(BB$44),'HR DATA'!$A$4:$AA$54,19,0))</f>
        <v>0</v>
      </c>
      <c r="BC69" s="184">
        <f>IF(ISERR(VLOOKUP(VALUE(BC$44),'HR DATA'!$A$4:$AA$55,19,0)="TRUE"),0,VLOOKUP(VALUE(BC$44),'HR DATA'!$A$4:$AA$54,19,0))</f>
        <v>0</v>
      </c>
      <c r="BD69" s="184">
        <f>IF(ISERR(VLOOKUP(VALUE(BD$44),'HR DATA'!$A$4:$AA$55,19,0)="TRUE"),0,VLOOKUP(VALUE(BD$44),'HR DATA'!$A$4:$AA$54,19,0))</f>
        <v>0</v>
      </c>
      <c r="BE69" s="184">
        <f>IF(ISERR(VLOOKUP(VALUE(BE$44),'HR DATA'!$A$4:$AA$55,19,0)="TRUE"),0,VLOOKUP(VALUE(BE$44),'HR DATA'!$A$4:$AA$54,19,0))</f>
        <v>187315.82</v>
      </c>
      <c r="BF69" s="184">
        <f>IF(ISERR(VLOOKUP(VALUE(BF$44),'HR DATA'!$A$4:$AA$55,19,0)="TRUE"),0,VLOOKUP(VALUE(BF$44),'HR DATA'!$A$4:$AA$54,19,0))</f>
        <v>6155.869999999999</v>
      </c>
      <c r="BG69" s="184">
        <f>IF(ISERR(VLOOKUP(VALUE(BG$44),'HR DATA'!$A$4:$AA$55,19,0)="TRUE"),0,VLOOKUP(VALUE(BG$44),'HR DATA'!$A$4:$AA$54,19,0))</f>
        <v>0</v>
      </c>
      <c r="BH69" s="184">
        <f>IF(ISERR(VLOOKUP(VALUE(BH$44),'HR DATA'!$A$4:$AA$55,19,0)="TRUE"),0,VLOOKUP(VALUE(BH$44),'HR DATA'!$A$4:$AA$54,19,0))</f>
        <v>0</v>
      </c>
      <c r="BI69" s="184">
        <f>IF(ISERR(VLOOKUP(VALUE(BI$44),'HR DATA'!$A$4:$AA$55,19,0)="TRUE"),0,VLOOKUP(VALUE(BI$44),'HR DATA'!$A$4:$AA$54,19,0))</f>
        <v>0</v>
      </c>
      <c r="BJ69" s="184">
        <f>IF(ISERR(VLOOKUP(VALUE(BJ$44),'HR DATA'!$A$4:$AA$55,19,0)="TRUE"),0,VLOOKUP(VALUE(BJ$44),'HR DATA'!$A$4:$AA$54,19,0))</f>
        <v>0</v>
      </c>
      <c r="BK69" s="184">
        <f>IF(ISERR(VLOOKUP(VALUE(BK$44),'HR DATA'!$A$4:$AA$55,19,0)="TRUE"),0,VLOOKUP(VALUE(BK$44),'HR DATA'!$A$4:$AA$54,19,0))</f>
        <v>0</v>
      </c>
      <c r="BL69" s="184">
        <f>IF(ISERR(VLOOKUP(VALUE(BL$44),'HR DATA'!$A$4:$AA$55,19,0)="TRUE"),0,VLOOKUP(VALUE(BL$44),'HR DATA'!$A$4:$AA$54,19,0))</f>
        <v>209.42999999999998</v>
      </c>
      <c r="BM69" s="184">
        <f>IF(ISERR(VLOOKUP(VALUE(BM$44),'HR DATA'!$A$4:$AA$55,19,0)="TRUE"),0,VLOOKUP(VALUE(BM$44),'HR DATA'!$A$4:$AA$54,19,0))</f>
        <v>0</v>
      </c>
      <c r="BN69" s="184">
        <f>IF(ISERR(VLOOKUP(VALUE(BN$44),'HR DATA'!$A$4:$AA$55,19,0)="TRUE"),0,VLOOKUP(VALUE(BN$44),'HR DATA'!$A$4:$AA$54,19,0))</f>
        <v>1021288.1299999998</v>
      </c>
      <c r="BO69" s="184">
        <f>IF(ISERR(VLOOKUP(VALUE(BO$44),'HR DATA'!$A$4:$AA$55,19,0)="TRUE"),0,VLOOKUP(VALUE(BO$44),'HR DATA'!$A$4:$AA$54,19,0))</f>
        <v>0</v>
      </c>
      <c r="BP69" s="184">
        <f>IF(ISERR(VLOOKUP(VALUE(BP$44),'HR DATA'!$A$4:$AA$55,19,0)="TRUE"),0,VLOOKUP(VALUE(BP$44),'HR DATA'!$A$4:$AA$54,19,0))</f>
        <v>0</v>
      </c>
      <c r="BQ69" s="184">
        <f>IF(ISERR(VLOOKUP(VALUE(BQ$44),'HR DATA'!$A$4:$AA$55,19,0)="TRUE"),0,VLOOKUP(VALUE(BQ$44),'HR DATA'!$A$4:$AA$54,19,0))</f>
        <v>0</v>
      </c>
      <c r="BR69" s="184">
        <f>IF(ISERR(VLOOKUP(VALUE(BR$44),'HR DATA'!$A$4:$AA$55,19,0)="TRUE"),0,VLOOKUP(VALUE(BR$44),'HR DATA'!$A$4:$AA$54,19,0))</f>
        <v>29298.28</v>
      </c>
      <c r="BS69" s="184">
        <f>IF(ISERR(VLOOKUP(VALUE(BS$44),'HR DATA'!$A$4:$AA$55,19,0)="TRUE"),0,VLOOKUP(VALUE(BS$44),'HR DATA'!$A$4:$AA$54,19,0))</f>
        <v>0</v>
      </c>
      <c r="BT69" s="184">
        <f>IF(ISERR(VLOOKUP(VALUE(BT$44),'HR DATA'!$A$4:$AA$55,19,0)="TRUE"),0,VLOOKUP(VALUE(BT$44),'HR DATA'!$A$4:$AA$54,19,0))</f>
        <v>0</v>
      </c>
      <c r="BU69" s="184">
        <f>IF(ISERR(VLOOKUP(VALUE(BU$44),'HR DATA'!$A$4:$AA$55,19,0)="TRUE"),0,VLOOKUP(VALUE(BU$44),'HR DATA'!$A$4:$AA$54,19,0))</f>
        <v>0</v>
      </c>
      <c r="BV69" s="184">
        <f>IF(ISERR(VLOOKUP(VALUE(BV$44),'HR DATA'!$A$4:$AA$55,19,0)="TRUE"),0,VLOOKUP(VALUE(BV$44),'HR DATA'!$A$4:$AA$54,19,0))</f>
        <v>0</v>
      </c>
      <c r="BW69" s="184">
        <f>IF(ISERR(VLOOKUP(VALUE(BW$44),'HR DATA'!$A$4:$AA$55,19,0)="TRUE"),0,VLOOKUP(VALUE(BW$44),'HR DATA'!$A$4:$AA$54,19,0))</f>
        <v>0</v>
      </c>
      <c r="BX69" s="184">
        <f>IF(ISERR(VLOOKUP(VALUE(BX$44),'HR DATA'!$A$4:$AA$55,19,0)="TRUE"),0,VLOOKUP(VALUE(BX$44),'HR DATA'!$A$4:$AA$54,19,0))</f>
        <v>0</v>
      </c>
      <c r="BY69" s="184">
        <f>IF(ISERR(VLOOKUP(VALUE(BY$44),'HR DATA'!$A$4:$AA$55,19,0)="TRUE"),0,VLOOKUP(VALUE(BY$44),'HR DATA'!$A$4:$AA$54,19,0))</f>
        <v>120853.59999999999</v>
      </c>
      <c r="BZ69" s="184">
        <f>IF(ISERR(VLOOKUP(VALUE(BZ$44),'HR DATA'!$A$4:$AA$55,19,0)="TRUE"),0,VLOOKUP(VALUE(BZ$44),'HR DATA'!$A$4:$AA$54,19,0))</f>
        <v>0</v>
      </c>
      <c r="CA69" s="184">
        <f>IF(ISERR(VLOOKUP(VALUE(CA$44),'HR DATA'!$A$4:$AA$55,19,0)="TRUE"),0,VLOOKUP(VALUE(CA$44),'HR DATA'!$A$4:$AA$54,19,0))</f>
        <v>6317.39</v>
      </c>
      <c r="CB69" s="184">
        <f>IF(ISERR(VLOOKUP(VALUE(CB$44),'HR DATA'!$A$4:$AA$56,19,0)="TRUE"),0,VLOOKUP(VALUE(CB$44),'HR DATA'!$A$4:$AA$56,19,0))</f>
        <v>0</v>
      </c>
      <c r="CC69" s="184">
        <f>IF(ISERR(VLOOKUP(VALUE(CC$44),'HR DATA'!$A$4:$AA$55,19,0)="TRUE"),0,VLOOKUP(VALUE(CC$44),'HR DATA'!$A$4:$AA$54,19,0))+1080114</f>
        <v>1080114</v>
      </c>
      <c r="CD69" s="184">
        <f>IF(ISERR(VLOOKUP(VALUE(CD$44),'HR DATA'!$A$4:$AA$55,19,0)="TRUE"),0,VLOOKUP(VALUE(CD$44),'HR DATA'!$A$4:$AA$54,19,0))+15452184</f>
        <v>15452184</v>
      </c>
      <c r="CE69" s="193">
        <f t="shared" si="0"/>
        <v>23714222.369999997</v>
      </c>
      <c r="CF69" s="247"/>
    </row>
    <row r="70" spans="1:84" ht="12.6" customHeight="1">
      <c r="A70" s="171" t="s">
        <v>242</v>
      </c>
      <c r="B70" s="175"/>
      <c r="C70" s="184">
        <f>IF(ISERR(VLOOKUP(VALUE(C$44),'HR DATA'!$A$4:$AA$54,5,0)="TRUE"),0,VLOOKUP(VALUE(C$44),'HR DATA'!$A$4:$AA$54,5,0))</f>
        <v>0</v>
      </c>
      <c r="D70" s="184">
        <f>IF(ISERR(VLOOKUP(VALUE(D$44),'HR DATA'!$A$4:$AA$54,5,0)="TRUE"),0,VLOOKUP(VALUE(D$44),'HR DATA'!$A$4:$AA$54,5,0))</f>
        <v>0</v>
      </c>
      <c r="E70" s="184">
        <f>IF(ISERR(VLOOKUP(VALUE(E$44),'HR DATA'!$A$4:$AA$54,5,0)="TRUE"),0,VLOOKUP(VALUE(E$44),'HR DATA'!$A$4:$AA$54,5,0))</f>
        <v>3316.66</v>
      </c>
      <c r="F70" s="184">
        <f>IF(ISERR(VLOOKUP(VALUE(F$44),'HR DATA'!$A$4:$AA$54,5,0)="TRUE"),0,VLOOKUP(VALUE(F$44),'HR DATA'!$A$4:$AA$54,5,0))</f>
        <v>0</v>
      </c>
      <c r="G70" s="184">
        <f>IF(ISERR(VLOOKUP(VALUE(G$44),'HR DATA'!$A$4:$AA$54,5,0)="TRUE"),0,VLOOKUP(VALUE(G$44),'HR DATA'!$A$4:$AA$54,5,0))</f>
        <v>0</v>
      </c>
      <c r="H70" s="184">
        <f>IF(ISERR(VLOOKUP(VALUE(H$44),'HR DATA'!$A$4:$AA$54,5,0)="TRUE"),0,VLOOKUP(VALUE(H$44),'HR DATA'!$A$4:$AA$54,5,0))</f>
        <v>0</v>
      </c>
      <c r="I70" s="184">
        <f>IF(ISERR(VLOOKUP(VALUE(I$44),'HR DATA'!$A$4:$AA$54,5,0)="TRUE"),0,VLOOKUP(VALUE(I$44),'HR DATA'!$A$4:$AA$54,5,0))</f>
        <v>0</v>
      </c>
      <c r="J70" s="184">
        <f>IF(ISERR(VLOOKUP(VALUE(J$44),'HR DATA'!$A$4:$AA$54,5,0)="TRUE"),0,VLOOKUP(VALUE(J$44),'HR DATA'!$A$4:$AA$54,5,0))</f>
        <v>7583.57</v>
      </c>
      <c r="K70" s="184">
        <f>IF(ISERR(VLOOKUP(VALUE(K$44),'HR DATA'!$A$4:$AA$54,5,0)="TRUE"),0,VLOOKUP(VALUE(K$44),'HR DATA'!$A$4:$AA$54,5,0))</f>
        <v>0</v>
      </c>
      <c r="L70" s="184">
        <f>IF(ISERR(VLOOKUP(VALUE(L$44),'HR DATA'!$A$4:$AA$54,5,0)="TRUE"),0,VLOOKUP(VALUE(L$44),'HR DATA'!$A$4:$AA$54,5,0))</f>
        <v>0</v>
      </c>
      <c r="M70" s="184">
        <f>IF(ISERR(VLOOKUP(VALUE(M$44),'HR DATA'!$A$4:$AA$54,5,0)="TRUE"),0,VLOOKUP(VALUE(M$44),'HR DATA'!$A$4:$AA$54,5,0))</f>
        <v>0</v>
      </c>
      <c r="N70" s="184">
        <f>IF(ISERR(VLOOKUP(VALUE(N$44),'HR DATA'!$A$4:$AA$54,5,0)="TRUE"),0,VLOOKUP(VALUE(N$44),'HR DATA'!$A$4:$AA$54,5,0))</f>
        <v>0</v>
      </c>
      <c r="O70" s="184">
        <f>IF(ISERR(VLOOKUP(VALUE(O$44),'HR DATA'!$A$4:$AA$54,5,0)="TRUE"),0,VLOOKUP(VALUE(O$44),'HR DATA'!$A$4:$AA$54,5,0))</f>
        <v>0</v>
      </c>
      <c r="P70" s="184">
        <f>IF(ISERR(VLOOKUP(VALUE(P$44),'HR DATA'!$A$4:$AA$54,5,0)="TRUE"),0,VLOOKUP(VALUE(P$44),'HR DATA'!$A$4:$AA$54,5,0))</f>
        <v>364</v>
      </c>
      <c r="Q70" s="184">
        <f>IF(ISERR(VLOOKUP(VALUE(Q$44),'HR DATA'!$A$4:$AA$54,5,0)="TRUE"),0,VLOOKUP(VALUE(Q$44),'HR DATA'!$A$4:$AA$54,5,0))</f>
        <v>0</v>
      </c>
      <c r="R70" s="184">
        <f>IF(ISERR(VLOOKUP(VALUE(R$44),'HR DATA'!$A$4:$AA$54,5,0)="TRUE"),0,VLOOKUP(VALUE(R$44),'HR DATA'!$A$4:$AA$54,5,0))</f>
        <v>0</v>
      </c>
      <c r="S70" s="184">
        <f>IF(ISERR(VLOOKUP(VALUE(S$44),'HR DATA'!$A$4:$AA$54,5,0)="TRUE"),0,VLOOKUP(VALUE(S$44),'HR DATA'!$A$4:$AA$54,5,0))</f>
        <v>0</v>
      </c>
      <c r="T70" s="184">
        <f>IF(ISERR(VLOOKUP(VALUE(T$44),'HR DATA'!$A$4:$AA$54,5,0)="TRUE"),0,VLOOKUP(VALUE(T$44),'HR DATA'!$A$4:$AA$54,5,0))</f>
        <v>0</v>
      </c>
      <c r="U70" s="184">
        <f>IF(ISERR(VLOOKUP(VALUE(U$44),'HR DATA'!$A$4:$AA$54,5,0)="TRUE"),0,VLOOKUP(VALUE(U$44),'HR DATA'!$A$4:$AA$54,5,0))</f>
        <v>122915.09</v>
      </c>
      <c r="V70" s="184">
        <f>IF(ISERR(VLOOKUP(VALUE(V$44),'HR DATA'!$A$4:$AA$54,5,0)="TRUE"),0,VLOOKUP(VALUE(V$44),'HR DATA'!$A$4:$AA$54,5,0))</f>
        <v>0</v>
      </c>
      <c r="W70" s="184">
        <f>IF(ISERR(VLOOKUP(VALUE(W$44),'HR DATA'!$A$4:$AA$54,5,0)="TRUE"),0,VLOOKUP(VALUE(W$44),'HR DATA'!$A$4:$AA$54,5,0))</f>
        <v>0</v>
      </c>
      <c r="X70" s="184">
        <f>IF(ISERR(VLOOKUP(VALUE(X$44),'HR DATA'!$A$4:$AA$54,5,0)="TRUE"),0,VLOOKUP(VALUE(X$44),'HR DATA'!$A$4:$AA$54,5,0))</f>
        <v>0</v>
      </c>
      <c r="Y70" s="184">
        <f>IF(ISERR(VLOOKUP(VALUE(Y$44),'HR DATA'!$A$4:$AA$54,5,0)="TRUE"),0,VLOOKUP(VALUE(Y$44),'HR DATA'!$A$4:$AA$54,5,0))</f>
        <v>11687.69</v>
      </c>
      <c r="Z70" s="184">
        <f>IF(ISERR(VLOOKUP(VALUE(Z$44),'HR DATA'!$A$4:$AA$54,5,0)="TRUE"),0,VLOOKUP(VALUE(Z$44),'HR DATA'!$A$4:$AA$54,5,0))</f>
        <v>4210.1499999999996</v>
      </c>
      <c r="AA70" s="184">
        <f>IF(ISERR(VLOOKUP(VALUE(AA$44),'HR DATA'!$A$4:$AA$54,5,0)="TRUE"),0,VLOOKUP(VALUE(AA$44),'HR DATA'!$A$4:$AA$54,5,0))</f>
        <v>0</v>
      </c>
      <c r="AB70" s="184">
        <f>IF(ISERR(VLOOKUP(VALUE(AB$44),'HR DATA'!$A$4:$AA$54,5,0)="TRUE"),0,VLOOKUP(VALUE(AB$44),'HR DATA'!$A$4:$AA$54,5,0))</f>
        <v>0</v>
      </c>
      <c r="AC70" s="184">
        <f>IF(ISERR(VLOOKUP(VALUE(AC$44),'HR DATA'!$A$4:$AA$54,5,0)="TRUE"),0,VLOOKUP(VALUE(AC$44),'HR DATA'!$A$4:$AA$54,5,0))</f>
        <v>0</v>
      </c>
      <c r="AD70" s="184">
        <f>IF(ISERR(VLOOKUP(VALUE(AD$44),'HR DATA'!$A$4:$AA$54,5,0)="TRUE"),0,VLOOKUP(VALUE(AD$44),'HR DATA'!$A$4:$AA$54,5,0))</f>
        <v>0</v>
      </c>
      <c r="AE70" s="184">
        <f>IF(ISERR(VLOOKUP(VALUE(AE$44),'HR DATA'!$A$4:$AA$54,5,0)="TRUE"),0,VLOOKUP(VALUE(AE$44),'HR DATA'!$A$4:$AA$54,5,0))</f>
        <v>6605.24</v>
      </c>
      <c r="AF70" s="184">
        <f>IF(ISERR(VLOOKUP(VALUE(AF$44),'HR DATA'!$A$4:$AA$54,5,0)="TRUE"),0,VLOOKUP(VALUE(AF$44),'HR DATA'!$A$4:$AA$54,5,0))</f>
        <v>0</v>
      </c>
      <c r="AG70" s="184">
        <f>IF(ISERR(VLOOKUP(VALUE(AG$44),'HR DATA'!$A$4:$AA$54,5,0)="TRUE"),0,VLOOKUP(VALUE(AG$44),'HR DATA'!$A$4:$AA$54,5,0))</f>
        <v>5839.52</v>
      </c>
      <c r="AH70" s="184">
        <f>IF(ISERR(VLOOKUP(VALUE(AH$44),'HR DATA'!$A$4:$AA$54,5,0)="TRUE"),0,VLOOKUP(VALUE(AH$44),'HR DATA'!$A$4:$AA$54,5,0))</f>
        <v>0</v>
      </c>
      <c r="AI70" s="184">
        <f>IF(ISERR(VLOOKUP(VALUE(AI$44),'HR DATA'!$A$4:$AA$54,5,0)="TRUE"),0,VLOOKUP(VALUE(AI$44),'HR DATA'!$A$4:$AA$54,5,0))</f>
        <v>0</v>
      </c>
      <c r="AJ70" s="184">
        <f>IF(ISERR(VLOOKUP(VALUE(AJ$44),'HR DATA'!$A$4:$AA$54,5,0)="TRUE"),0,VLOOKUP(VALUE(AJ$44),'HR DATA'!$A$4:$AA$54,5,0))</f>
        <v>2357967.15</v>
      </c>
      <c r="AK70" s="184">
        <f>IF(ISERR(VLOOKUP(VALUE(AK$44),'HR DATA'!$A$4:$AA$54,5,0)="TRUE"),0,VLOOKUP(VALUE(AK$44),'HR DATA'!$A$4:$AA$54,5,0))</f>
        <v>1858.82</v>
      </c>
      <c r="AL70" s="184">
        <f>IF(ISERR(VLOOKUP(VALUE(AL$44),'HR DATA'!$A$4:$AA$54,5,0)="TRUE"),0,VLOOKUP(VALUE(AL$44),'HR DATA'!$A$4:$AA$54,5,0))</f>
        <v>3695.38</v>
      </c>
      <c r="AM70" s="184">
        <f>IF(ISERR(VLOOKUP(VALUE(AM$44),'HR DATA'!$A$4:$AA$54,5,0)="TRUE"),0,VLOOKUP(VALUE(AM$44),'HR DATA'!$A$4:$AA$54,5,0))</f>
        <v>0</v>
      </c>
      <c r="AN70" s="184">
        <f>IF(ISERR(VLOOKUP(VALUE(AN$44),'HR DATA'!$A$4:$AA$54,5,0)="TRUE"),0,VLOOKUP(VALUE(AN$44),'HR DATA'!$A$4:$AA$54,5,0))</f>
        <v>0</v>
      </c>
      <c r="AO70" s="184">
        <f>IF(ISERR(VLOOKUP(VALUE(AO$44),'HR DATA'!$A$4:$AA$54,5,0)="TRUE"),0,VLOOKUP(VALUE(AO$44),'HR DATA'!$A$4:$AA$54,5,0))</f>
        <v>0</v>
      </c>
      <c r="AP70" s="184">
        <f>IF(ISERR(VLOOKUP(VALUE(AP$44),'HR DATA'!$A$4:$AA$54,5,0)="TRUE"),0,VLOOKUP(VALUE(AP$44),'HR DATA'!$A$4:$AA$54,5,0))</f>
        <v>482046.26</v>
      </c>
      <c r="AQ70" s="184">
        <f>IF(ISERR(VLOOKUP(VALUE(AQ$44),'HR DATA'!$A$4:$AA$54,5,0)="TRUE"),0,VLOOKUP(VALUE(AQ$44),'HR DATA'!$A$4:$AA$54,5,0))</f>
        <v>0</v>
      </c>
      <c r="AR70" s="184">
        <f>IF(ISERR(VLOOKUP(VALUE(AR$44),'HR DATA'!$A$4:$AA$54,5,0)="TRUE"),0,VLOOKUP(VALUE(AR$44),'HR DATA'!$A$4:$AA$54,5,0))</f>
        <v>0</v>
      </c>
      <c r="AS70" s="184">
        <f>IF(ISERR(VLOOKUP(VALUE(AS$44),'HR DATA'!$A$4:$AA$54,5,0)="TRUE"),0,VLOOKUP(VALUE(AS$44),'HR DATA'!$A$4:$AA$54,5,0))</f>
        <v>0</v>
      </c>
      <c r="AT70" s="184">
        <f>IF(ISERR(VLOOKUP(VALUE(AT$44),'HR DATA'!$A$4:$AA$54,5,0)="TRUE"),0,VLOOKUP(VALUE(AT$44),'HR DATA'!$A$4:$AA$54,5,0))</f>
        <v>0</v>
      </c>
      <c r="AU70" s="184">
        <f>IF(ISERR(VLOOKUP(VALUE(AU$44),'HR DATA'!$A$4:$AA$54,5,0)="TRUE"),0,VLOOKUP(VALUE(AU$44),'HR DATA'!$A$4:$AA$54,5,0))</f>
        <v>0</v>
      </c>
      <c r="AV70" s="184">
        <f>IF(ISERR(VLOOKUP(VALUE(AV$44),'HR DATA'!$A$4:$AA$54,5,0)="TRUE"),0,VLOOKUP(VALUE(AV$44),'HR DATA'!$A$4:$AA$54,5,0))</f>
        <v>24174.77</v>
      </c>
      <c r="AW70" s="184">
        <f>IF(ISERR(VLOOKUP(VALUE(AW$44),'HR DATA'!$A$4:$AA$54,5,0)="TRUE"),0,VLOOKUP(VALUE(AW$44),'HR DATA'!$A$4:$AA$54,5,0))</f>
        <v>305840.75</v>
      </c>
      <c r="AX70" s="184">
        <f>IF(ISERR(VLOOKUP(VALUE(AX$44),'HR DATA'!$A$4:$AA$54,5,0)="TRUE"),0,VLOOKUP(VALUE(AX$44),'HR DATA'!$A$4:$AA$54,5,0))</f>
        <v>0</v>
      </c>
      <c r="AY70" s="184">
        <f>IF(ISERR(VLOOKUP(VALUE(AY$44),'HR DATA'!$A$4:$AA$54,5,0)="TRUE"),0,VLOOKUP(VALUE(AY$44),'HR DATA'!$A$4:$AA$54,5,0))</f>
        <v>1854075.33</v>
      </c>
      <c r="AZ70" s="184">
        <f>IF(ISERR(VLOOKUP(VALUE(AZ$44),'HR DATA'!$A$4:$AA$54,5,0)="TRUE"),0,VLOOKUP(VALUE(AZ$44),'HR DATA'!$A$4:$AA$54,5,0))</f>
        <v>0</v>
      </c>
      <c r="BA70" s="184">
        <f>IF(ISERR(VLOOKUP(VALUE(BA$44),'HR DATA'!$A$4:$AA$54,5,0)="TRUE"),0,VLOOKUP(VALUE(BA$44),'HR DATA'!$A$4:$AA$54,5,0))</f>
        <v>0</v>
      </c>
      <c r="BB70" s="184">
        <f>IF(ISERR(VLOOKUP(VALUE(BB$44),'HR DATA'!$A$4:$AA$54,5,0)="TRUE"),0,VLOOKUP(VALUE(BB$44),'HR DATA'!$A$4:$AA$54,5,0))</f>
        <v>0</v>
      </c>
      <c r="BC70" s="184">
        <f>IF(ISERR(VLOOKUP(VALUE(BC$44),'HR DATA'!$A$4:$AA$54,5,0)="TRUE"),0,VLOOKUP(VALUE(BC$44),'HR DATA'!$A$4:$AA$54,5,0))</f>
        <v>0</v>
      </c>
      <c r="BD70" s="184">
        <f>IF(ISERR(VLOOKUP(VALUE(BD$44),'HR DATA'!$A$4:$AA$54,5,0)="TRUE"),0,VLOOKUP(VALUE(BD$44),'HR DATA'!$A$4:$AA$54,5,0))</f>
        <v>0</v>
      </c>
      <c r="BE70" s="184">
        <f>IF(ISERR(VLOOKUP(VALUE(BE$44),'HR DATA'!$A$4:$AA$54,5,0)="TRUE"),0,VLOOKUP(VALUE(BE$44),'HR DATA'!$A$4:$AA$54,5,0))</f>
        <v>900.85</v>
      </c>
      <c r="BF70" s="184">
        <f>IF(ISERR(VLOOKUP(VALUE(BF$44),'HR DATA'!$A$4:$AA$54,5,0)="TRUE"),0,VLOOKUP(VALUE(BF$44),'HR DATA'!$A$4:$AA$54,5,0))</f>
        <v>0</v>
      </c>
      <c r="BG70" s="184">
        <f>IF(ISERR(VLOOKUP(VALUE(BG$44),'HR DATA'!$A$4:$AA$54,5,0)="TRUE"),0,VLOOKUP(VALUE(BG$44),'HR DATA'!$A$4:$AA$54,5,0))</f>
        <v>0</v>
      </c>
      <c r="BH70" s="184">
        <f>IF(ISERR(VLOOKUP(VALUE(BH$44),'HR DATA'!$A$4:$AA$54,5,0)="TRUE"),0,VLOOKUP(VALUE(BH$44),'HR DATA'!$A$4:$AA$54,5,0))</f>
        <v>0</v>
      </c>
      <c r="BI70" s="184">
        <f>IF(ISERR(VLOOKUP(VALUE(BI$44),'HR DATA'!$A$4:$AA$54,5,0)="TRUE"),0,VLOOKUP(VALUE(BI$44),'HR DATA'!$A$4:$AA$54,5,0))</f>
        <v>0</v>
      </c>
      <c r="BJ70" s="184">
        <f>IF(ISERR(VLOOKUP(VALUE(BJ$44),'HR DATA'!$A$4:$AA$54,5,0)="TRUE"),0,VLOOKUP(VALUE(BJ$44),'HR DATA'!$A$4:$AA$54,5,0))</f>
        <v>0</v>
      </c>
      <c r="BK70" s="184">
        <f>IF(ISERR(VLOOKUP(VALUE(BK$44),'HR DATA'!$A$4:$AA$54,5,0)="TRUE"),0,VLOOKUP(VALUE(BK$44),'HR DATA'!$A$4:$AA$54,5,0))</f>
        <v>0</v>
      </c>
      <c r="BL70" s="184">
        <f>IF(ISERR(VLOOKUP(VALUE(BL$44),'HR DATA'!$A$4:$AA$54,5,0)="TRUE"),0,VLOOKUP(VALUE(BL$44),'HR DATA'!$A$4:$AA$54,5,0))</f>
        <v>0</v>
      </c>
      <c r="BM70" s="184">
        <f>IF(ISERR(VLOOKUP(VALUE(BM$44),'HR DATA'!$A$4:$AA$54,5,0)="TRUE"),0,VLOOKUP(VALUE(BM$44),'HR DATA'!$A$4:$AA$54,5,0))</f>
        <v>0</v>
      </c>
      <c r="BN70" s="184">
        <f>IF(ISERR(VLOOKUP(VALUE(BN$44),'HR DATA'!$A$4:$AA$54,5,0)="TRUE"),0,VLOOKUP(VALUE(BN$44),'HR DATA'!$A$4:$AA$54,5,0))</f>
        <v>530075.30000000005</v>
      </c>
      <c r="BO70" s="184">
        <f>IF(ISERR(VLOOKUP(VALUE(BO$44),'HR DATA'!$A$4:$AA$54,5,0)="TRUE"),0,VLOOKUP(VALUE(BO$44),'HR DATA'!$A$4:$AA$54,5,0))</f>
        <v>0</v>
      </c>
      <c r="BP70" s="184">
        <f>IF(ISERR(VLOOKUP(VALUE(BP$44),'HR DATA'!$A$4:$AA$54,5,0)="TRUE"),0,VLOOKUP(VALUE(BP$44),'HR DATA'!$A$4:$AA$54,5,0))</f>
        <v>0</v>
      </c>
      <c r="BQ70" s="184">
        <f>IF(ISERR(VLOOKUP(VALUE(BQ$44),'HR DATA'!$A$4:$AA$54,5,0)="TRUE"),0,VLOOKUP(VALUE(BQ$44),'HR DATA'!$A$4:$AA$54,5,0))</f>
        <v>0</v>
      </c>
      <c r="BR70" s="184">
        <f>IF(ISERR(VLOOKUP(VALUE(BR$44),'HR DATA'!$A$4:$AA$54,5,0)="TRUE"),0,VLOOKUP(VALUE(BR$44),'HR DATA'!$A$4:$AA$54,5,0))</f>
        <v>0</v>
      </c>
      <c r="BS70" s="184">
        <f>IF(ISERR(VLOOKUP(VALUE(BS$44),'HR DATA'!$A$4:$AA$54,5,0)="TRUE"),0,VLOOKUP(VALUE(BS$44),'HR DATA'!$A$4:$AA$54,5,0))</f>
        <v>0</v>
      </c>
      <c r="BT70" s="184">
        <f>IF(ISERR(VLOOKUP(VALUE(BT$44),'HR DATA'!$A$4:$AA$54,5,0)="TRUE"),0,VLOOKUP(VALUE(BT$44),'HR DATA'!$A$4:$AA$54,5,0))</f>
        <v>0</v>
      </c>
      <c r="BU70" s="184">
        <f>IF(ISERR(VLOOKUP(VALUE(BU$44),'HR DATA'!$A$4:$AA$54,5,0)="TRUE"),0,VLOOKUP(VALUE(BU$44),'HR DATA'!$A$4:$AA$54,5,0))</f>
        <v>0</v>
      </c>
      <c r="BV70" s="184">
        <f>IF(ISERR(VLOOKUP(VALUE(BV$44),'HR DATA'!$A$4:$AA$54,5,0)="TRUE"),0,VLOOKUP(VALUE(BV$44),'HR DATA'!$A$4:$AA$54,5,0))</f>
        <v>2425.81</v>
      </c>
      <c r="BW70" s="184">
        <f>IF(ISERR(VLOOKUP(VALUE(BW$44),'HR DATA'!$A$4:$AA$54,5,0)="TRUE"),0,VLOOKUP(VALUE(BW$44),'HR DATA'!$A$4:$AA$54,5,0))</f>
        <v>0</v>
      </c>
      <c r="BX70" s="184">
        <f>IF(ISERR(VLOOKUP(VALUE(BX$44),'HR DATA'!$A$4:$AA$54,5,0)="TRUE"),0,VLOOKUP(VALUE(BX$44),'HR DATA'!$A$4:$AA$54,5,0))</f>
        <v>0</v>
      </c>
      <c r="BY70" s="184">
        <f>IF(ISERR(VLOOKUP(VALUE(BY$44),'HR DATA'!$A$4:$AA$54,5,0)="TRUE"),0,VLOOKUP(VALUE(BY$44),'HR DATA'!$A$4:$AA$54,5,0))</f>
        <v>4876.1400000000003</v>
      </c>
      <c r="BZ70" s="184">
        <f>IF(ISERR(VLOOKUP(VALUE(BZ$44),'HR DATA'!$A$4:$AA$54,5,0)="TRUE"),0,VLOOKUP(VALUE(BZ$44),'HR DATA'!$A$4:$AA$54,5,0))</f>
        <v>0</v>
      </c>
      <c r="CA70" s="184">
        <f>IF(ISERR(VLOOKUP(VALUE(CA$44),'HR DATA'!$A$4:$AA$54,5,0)="TRUE"),0,VLOOKUP(VALUE(CA$44),'HR DATA'!$A$4:$AA$54,5,0))</f>
        <v>3703.79</v>
      </c>
      <c r="CB70" s="184">
        <f>IF(ISERR(VLOOKUP(VALUE(CB$44),'HR DATA'!$A$4:$AA$54,5,0)="TRUE"),0,VLOOKUP(VALUE(CB$44),'HR DATA'!$A$4:$AA$54,5,0))</f>
        <v>0</v>
      </c>
      <c r="CC70" s="184">
        <f>IF(ISERR(VLOOKUP(VALUE(CC$44),'HR DATA'!$A$4:$AA$54,5,0)="TRUE"),0,VLOOKUP(VALUE(CC$44),'HR DATA'!$A$4:$AA$54,5,0))</f>
        <v>0</v>
      </c>
      <c r="CD70" s="186">
        <v>12302</v>
      </c>
      <c r="CE70" s="193">
        <f t="shared" si="0"/>
        <v>5746464.2699999977</v>
      </c>
      <c r="CF70" s="247"/>
    </row>
    <row r="71" spans="1:84" ht="12.6" customHeight="1">
      <c r="A71" s="171" t="s">
        <v>243</v>
      </c>
      <c r="B71" s="175"/>
      <c r="C71" s="193">
        <f>SUM(C61:C68)+C69-C70</f>
        <v>9274431.1799999997</v>
      </c>
      <c r="D71" s="193">
        <f t="shared" ref="D71:AI71" si="5">SUM(D61:D69)-D70</f>
        <v>0</v>
      </c>
      <c r="E71" s="193">
        <f t="shared" si="5"/>
        <v>54022814.152500011</v>
      </c>
      <c r="F71" s="193">
        <f t="shared" si="5"/>
        <v>0</v>
      </c>
      <c r="G71" s="193">
        <f t="shared" si="5"/>
        <v>119784.64750000001</v>
      </c>
      <c r="H71" s="193">
        <f t="shared" si="5"/>
        <v>763.63</v>
      </c>
      <c r="I71" s="193">
        <f t="shared" si="5"/>
        <v>0</v>
      </c>
      <c r="J71" s="193">
        <f t="shared" si="5"/>
        <v>13564423.77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48223151.385000005</v>
      </c>
      <c r="Q71" s="193">
        <f t="shared" si="5"/>
        <v>6604556.9600000009</v>
      </c>
      <c r="R71" s="193">
        <f t="shared" si="5"/>
        <v>1577080.55</v>
      </c>
      <c r="S71" s="193">
        <f t="shared" si="5"/>
        <v>3318199.9894524994</v>
      </c>
      <c r="T71" s="193">
        <f t="shared" si="5"/>
        <v>0</v>
      </c>
      <c r="U71" s="193">
        <f t="shared" si="5"/>
        <v>14762912.51</v>
      </c>
      <c r="V71" s="193">
        <f t="shared" si="5"/>
        <v>1091779.9500000002</v>
      </c>
      <c r="W71" s="193">
        <f t="shared" si="5"/>
        <v>858273.73000000021</v>
      </c>
      <c r="X71" s="193">
        <f t="shared" si="5"/>
        <v>0</v>
      </c>
      <c r="Y71" s="193">
        <f t="shared" si="5"/>
        <v>41452895.600000001</v>
      </c>
      <c r="Z71" s="193">
        <f t="shared" si="5"/>
        <v>4491174.66</v>
      </c>
      <c r="AA71" s="193">
        <f t="shared" si="5"/>
        <v>1327121.1099999999</v>
      </c>
      <c r="AB71" s="193">
        <f t="shared" si="5"/>
        <v>19261775.280000001</v>
      </c>
      <c r="AC71" s="193">
        <f t="shared" si="5"/>
        <v>7547227.2500000019</v>
      </c>
      <c r="AD71" s="193">
        <f t="shared" si="5"/>
        <v>41289</v>
      </c>
      <c r="AE71" s="193">
        <f t="shared" si="5"/>
        <v>7820847.46</v>
      </c>
      <c r="AF71" s="193">
        <f t="shared" si="5"/>
        <v>0</v>
      </c>
      <c r="AG71" s="193">
        <f t="shared" si="5"/>
        <v>23316139.699999999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152944654.15999997</v>
      </c>
      <c r="AK71" s="193">
        <f t="shared" si="6"/>
        <v>1686820.7300000004</v>
      </c>
      <c r="AL71" s="193">
        <f t="shared" si="6"/>
        <v>723215.99000000022</v>
      </c>
      <c r="AM71" s="193">
        <f t="shared" si="6"/>
        <v>-44.78</v>
      </c>
      <c r="AN71" s="193">
        <f t="shared" si="6"/>
        <v>0</v>
      </c>
      <c r="AO71" s="193">
        <f t="shared" si="6"/>
        <v>0</v>
      </c>
      <c r="AP71" s="193">
        <f t="shared" si="6"/>
        <v>54707514.900000013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3364723.4149999996</v>
      </c>
      <c r="AW71" s="193">
        <f t="shared" si="6"/>
        <v>1031834.75</v>
      </c>
      <c r="AX71" s="193">
        <f t="shared" si="6"/>
        <v>194884.55999999997</v>
      </c>
      <c r="AY71" s="193">
        <f t="shared" si="6"/>
        <v>6868580.4799999986</v>
      </c>
      <c r="AZ71" s="193">
        <f>SUM(AZ61:AZ69)-AZ70</f>
        <v>0</v>
      </c>
      <c r="BA71" s="193">
        <f t="shared" si="6"/>
        <v>345015.93</v>
      </c>
      <c r="BB71" s="193">
        <f t="shared" si="6"/>
        <v>72600.42</v>
      </c>
      <c r="BC71" s="193">
        <f t="shared" si="6"/>
        <v>1211450.4000000001</v>
      </c>
      <c r="BD71" s="193">
        <f t="shared" si="6"/>
        <v>2681965</v>
      </c>
      <c r="BE71" s="193">
        <f t="shared" si="6"/>
        <v>22006860.059999999</v>
      </c>
      <c r="BF71" s="193">
        <f t="shared" si="6"/>
        <v>5080919.4400000004</v>
      </c>
      <c r="BG71" s="193">
        <f t="shared" si="6"/>
        <v>1217897.7925</v>
      </c>
      <c r="BH71" s="193">
        <f t="shared" si="6"/>
        <v>3654921.05</v>
      </c>
      <c r="BI71" s="193">
        <f t="shared" si="6"/>
        <v>0</v>
      </c>
      <c r="BJ71" s="193">
        <f t="shared" si="6"/>
        <v>872642.5924999998</v>
      </c>
      <c r="BK71" s="193">
        <f t="shared" si="6"/>
        <v>6972175.2336347504</v>
      </c>
      <c r="BL71" s="193">
        <f t="shared" si="6"/>
        <v>2743584.3950000005</v>
      </c>
      <c r="BM71" s="193">
        <f t="shared" si="6"/>
        <v>0</v>
      </c>
      <c r="BN71" s="193">
        <f t="shared" si="6"/>
        <v>14158339.697136246</v>
      </c>
      <c r="BO71" s="193">
        <f t="shared" si="6"/>
        <v>636076.26500000001</v>
      </c>
      <c r="BP71" s="193">
        <f t="shared" ref="BP71:CC71" si="7">SUM(BP61:BP69)-BP70</f>
        <v>3352083.0449999999</v>
      </c>
      <c r="BQ71" s="193">
        <f t="shared" si="7"/>
        <v>0</v>
      </c>
      <c r="BR71" s="193">
        <f t="shared" si="7"/>
        <v>2183792.2274999996</v>
      </c>
      <c r="BS71" s="193">
        <f t="shared" si="7"/>
        <v>392448.29749999999</v>
      </c>
      <c r="BT71" s="193">
        <f t="shared" si="7"/>
        <v>301032.58249999996</v>
      </c>
      <c r="BU71" s="193">
        <f t="shared" si="7"/>
        <v>241846.52750000003</v>
      </c>
      <c r="BV71" s="193">
        <f t="shared" si="7"/>
        <v>4329578.1096307505</v>
      </c>
      <c r="BW71" s="193">
        <f t="shared" si="7"/>
        <v>1544673.70456375</v>
      </c>
      <c r="BX71" s="193">
        <f t="shared" si="7"/>
        <v>7600006.6391360005</v>
      </c>
      <c r="BY71" s="193">
        <f t="shared" si="7"/>
        <v>5361509.7275</v>
      </c>
      <c r="BZ71" s="193">
        <f t="shared" si="7"/>
        <v>0</v>
      </c>
      <c r="CA71" s="193">
        <f t="shared" si="7"/>
        <v>2536753.7000000002</v>
      </c>
      <c r="CB71" s="193">
        <f t="shared" si="7"/>
        <v>112544.0675</v>
      </c>
      <c r="CC71" s="193">
        <f t="shared" si="7"/>
        <v>27983087.472048998</v>
      </c>
      <c r="CD71" s="240">
        <f>CD69-CD70</f>
        <v>15439882</v>
      </c>
      <c r="CE71" s="193">
        <f>SUM(CE61:CE69)-CE70</f>
        <v>613232513.09560299</v>
      </c>
      <c r="CF71" s="247"/>
    </row>
    <row r="72" spans="1:84" ht="12.6" customHeight="1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6"/>
      <c r="CF72" s="247"/>
    </row>
    <row r="73" spans="1:84" ht="17.25" customHeight="1">
      <c r="A73" s="171" t="s">
        <v>245</v>
      </c>
      <c r="B73" s="175"/>
      <c r="C73" s="184">
        <f>IF(ISERR(VLOOKUP(VALUE(C$44),'HR DATA'!$A$4:$AA$54,3,0)="TRUE"),0,VLOOKUP(VALUE(C$44),'HR DATA'!$A$4:$AA$54,3,0))</f>
        <v>36995871.610000014</v>
      </c>
      <c r="D73" s="184">
        <f>IF(ISERR(VLOOKUP(VALUE(D$44),'HR DATA'!$A$4:$AA$54,3,0)="TRUE"),0,VLOOKUP(VALUE(D$44),'HR DATA'!$A$4:$AA$54,3,0))</f>
        <v>0</v>
      </c>
      <c r="E73" s="184">
        <f>IF(ISERR(VLOOKUP(VALUE(E$44),'HR DATA'!$A$4:$AA$54,3,0)="TRUE"),0,VLOOKUP(VALUE(E$44),'HR DATA'!$A$4:$AA$54,3,0))</f>
        <v>195219316.60999998</v>
      </c>
      <c r="F73" s="184">
        <f>IF(ISERR(VLOOKUP(VALUE(F$44),'HR DATA'!$A$4:$AA$54,3,0)="TRUE"),0,VLOOKUP(VALUE(F$44),'HR DATA'!$A$4:$AA$54,3,0))</f>
        <v>0</v>
      </c>
      <c r="G73" s="184">
        <f>IF(ISERR(VLOOKUP(VALUE(G$44),'HR DATA'!$A$4:$AA$54,3,0)="TRUE"),0,VLOOKUP(VALUE(G$44),'HR DATA'!$A$4:$AA$54,3,0))</f>
        <v>0</v>
      </c>
      <c r="H73" s="184">
        <f>IF(ISERR(VLOOKUP(VALUE(H$44),'HR DATA'!$A$4:$AA$54,3,0)="TRUE"),0,VLOOKUP(VALUE(H$44),'HR DATA'!$A$4:$AA$54,3,0))</f>
        <v>0</v>
      </c>
      <c r="I73" s="184">
        <f>IF(ISERR(VLOOKUP(VALUE(I$44),'HR DATA'!$A$4:$AA$54,3,0)="TRUE"),0,VLOOKUP(VALUE(I$44),'HR DATA'!$A$4:$AA$54,3,0))</f>
        <v>0</v>
      </c>
      <c r="J73" s="184">
        <f>IF(ISERR(VLOOKUP(VALUE(J$44),'HR DATA'!$A$4:$AA$54,3,0)="TRUE"),0,VLOOKUP(VALUE(J$44),'HR DATA'!$A$4:$AA$54,3,0))</f>
        <v>60571494.869999997</v>
      </c>
      <c r="K73" s="184">
        <f>IF(ISERR(VLOOKUP(VALUE(K$44),'HR DATA'!$A$4:$AA$54,3,0)="TRUE"),0,VLOOKUP(VALUE(K$44),'HR DATA'!$A$4:$AA$54,3,0))</f>
        <v>0</v>
      </c>
      <c r="L73" s="184">
        <f>IF(ISERR(VLOOKUP(VALUE(L$44),'HR DATA'!$A$4:$AA$54,3,0)="TRUE"),0,VLOOKUP(VALUE(L$44),'HR DATA'!$A$4:$AA$54,3,0))</f>
        <v>0</v>
      </c>
      <c r="M73" s="184">
        <f>IF(ISERR(VLOOKUP(VALUE(M$44),'HR DATA'!$A$4:$AA$54,3,0)="TRUE"),0,VLOOKUP(VALUE(M$44),'HR DATA'!$A$4:$AA$54,3,0))</f>
        <v>0</v>
      </c>
      <c r="N73" s="184">
        <f>IF(ISERR(VLOOKUP(VALUE(N$44),'HR DATA'!$A$4:$AA$54,3,0)="TRUE"),0,VLOOKUP(VALUE(N$44),'HR DATA'!$A$4:$AA$54,3,0))</f>
        <v>0</v>
      </c>
      <c r="O73" s="184">
        <f>IF(ISERR(VLOOKUP(VALUE(O$44),'HR DATA'!$A$4:$AA$54,3,0)="TRUE"),0,VLOOKUP(VALUE(O$44),'HR DATA'!$A$4:$AA$54,3,0))</f>
        <v>0</v>
      </c>
      <c r="P73" s="184">
        <f>IF(ISERR(VLOOKUP(VALUE(P$44),'HR DATA'!$A$4:$AA$54,3,0)="TRUE"),0,VLOOKUP(VALUE(P$44),'HR DATA'!$A$4:$AA$54,3,0))</f>
        <v>222754045.53000003</v>
      </c>
      <c r="Q73" s="184">
        <f>IF(ISERR(VLOOKUP(VALUE(Q$44),'HR DATA'!$A$4:$AA$54,3,0)="TRUE"),0,VLOOKUP(VALUE(Q$44),'HR DATA'!$A$4:$AA$54,3,0))</f>
        <v>15435530.939999998</v>
      </c>
      <c r="R73" s="184">
        <f>IF(ISERR(VLOOKUP(VALUE(R$44),'HR DATA'!$A$4:$AA$54,3,0)="TRUE"),0,VLOOKUP(VALUE(R$44),'HR DATA'!$A$4:$AA$54,3,0))</f>
        <v>8055699.71</v>
      </c>
      <c r="S73" s="184">
        <f>IF(ISERR(VLOOKUP(VALUE(S$44),'HR DATA'!$A$4:$AA$54,3,0)="TRUE"),0,VLOOKUP(VALUE(S$44),'HR DATA'!$A$4:$AA$54,3,0))</f>
        <v>0</v>
      </c>
      <c r="T73" s="184">
        <f>IF(ISERR(VLOOKUP(VALUE(T$44),'HR DATA'!$A$4:$AA$54,3,0)="TRUE"),0,VLOOKUP(VALUE(T$44),'HR DATA'!$A$4:$AA$54,3,0))</f>
        <v>0</v>
      </c>
      <c r="U73" s="184">
        <f>IF(ISERR(VLOOKUP(VALUE(U$44),'HR DATA'!$A$4:$AA$54,3,0)="TRUE"),0,VLOOKUP(VALUE(U$44),'HR DATA'!$A$4:$AA$54,3,0))</f>
        <v>65085801.170000002</v>
      </c>
      <c r="V73" s="184">
        <f>IF(ISERR(VLOOKUP(VALUE(V$44),'HR DATA'!$A$4:$AA$54,3,0)="TRUE"),0,VLOOKUP(VALUE(V$44),'HR DATA'!$A$4:$AA$54,3,0))</f>
        <v>20929325.84</v>
      </c>
      <c r="W73" s="184">
        <f>IF(ISERR(VLOOKUP(VALUE(W$44),'HR DATA'!$A$4:$AA$54,3,0)="TRUE"),0,VLOOKUP(VALUE(W$44),'HR DATA'!$A$4:$AA$54,3,0))</f>
        <v>6356582.4800000004</v>
      </c>
      <c r="X73" s="184">
        <f>IF(ISERR(VLOOKUP(VALUE(X$44),'HR DATA'!$A$4:$AA$54,3,0)="TRUE"),0,VLOOKUP(VALUE(X$44),'HR DATA'!$A$4:$AA$54,3,0))</f>
        <v>0</v>
      </c>
      <c r="Y73" s="184">
        <f>IF(ISERR(VLOOKUP(VALUE(Y$44),'HR DATA'!$A$4:$AA$54,3,0)="TRUE"),0,VLOOKUP(VALUE(Y$44),'HR DATA'!$A$4:$AA$54,3,0))</f>
        <v>150561929.22</v>
      </c>
      <c r="Z73" s="184">
        <f>IF(ISERR(VLOOKUP(VALUE(Z$44),'HR DATA'!$A$4:$AA$54,3,0)="TRUE"),0,VLOOKUP(VALUE(Z$44),'HR DATA'!$A$4:$AA$54,3,0))</f>
        <v>2707402.5900000003</v>
      </c>
      <c r="AA73" s="184">
        <f>IF(ISERR(VLOOKUP(VALUE(AA$44),'HR DATA'!$A$4:$AA$54,3,0)="TRUE"),0,VLOOKUP(VALUE(AA$44),'HR DATA'!$A$4:$AA$54,3,0))</f>
        <v>5493616.379999999</v>
      </c>
      <c r="AB73" s="184">
        <f>IF(ISERR(VLOOKUP(VALUE(AB$44),'HR DATA'!$A$4:$AA$54,3,0)="TRUE"),0,VLOOKUP(VALUE(AB$44),'HR DATA'!$A$4:$AA$54,3,0))</f>
        <v>149779547.75999999</v>
      </c>
      <c r="AC73" s="184">
        <f>IF(ISERR(VLOOKUP(VALUE(AC$44),'HR DATA'!$A$4:$AA$54,3,0)="TRUE"),0,VLOOKUP(VALUE(AC$44),'HR DATA'!$A$4:$AA$54,3,0))</f>
        <v>43268174.799999997</v>
      </c>
      <c r="AD73" s="184">
        <f>IF(ISERR(VLOOKUP(VALUE(AD$44),'HR DATA'!$A$4:$AA$54,3,0)="TRUE"),0,VLOOKUP(VALUE(AD$44),'HR DATA'!$A$4:$AA$54,3,0))</f>
        <v>0</v>
      </c>
      <c r="AE73" s="184">
        <f>IF(ISERR(VLOOKUP(VALUE(AE$44),'HR DATA'!$A$4:$AA$54,3,0)="TRUE"),0,VLOOKUP(VALUE(AE$44),'HR DATA'!$A$4:$AA$54,3,0))</f>
        <v>5715212.0199999986</v>
      </c>
      <c r="AF73" s="184">
        <f>IF(ISERR(VLOOKUP(VALUE(AF$44),'HR DATA'!$A$4:$AA$54,3,0)="TRUE"),0,VLOOKUP(VALUE(AF$44),'HR DATA'!$A$4:$AA$54,3,0))</f>
        <v>0</v>
      </c>
      <c r="AG73" s="184">
        <f>IF(ISERR(VLOOKUP(VALUE(AG$44),'HR DATA'!$A$4:$AA$54,3,0)="TRUE"),0,VLOOKUP(VALUE(AG$44),'HR DATA'!$A$4:$AA$54,3,0))</f>
        <v>55235562.890000001</v>
      </c>
      <c r="AH73" s="184">
        <f>IF(ISERR(VLOOKUP(VALUE(AH$44),'HR DATA'!$A$4:$AA$54,3,0)="TRUE"),0,VLOOKUP(VALUE(AH$44),'HR DATA'!$A$4:$AA$54,3,0))</f>
        <v>0</v>
      </c>
      <c r="AI73" s="184">
        <f>IF(ISERR(VLOOKUP(VALUE(AI$44),'HR DATA'!$A$4:$AA$54,3,0)="TRUE"),0,VLOOKUP(VALUE(AI$44),'HR DATA'!$A$4:$AA$54,3,0))</f>
        <v>0</v>
      </c>
      <c r="AJ73" s="184">
        <f>IF(ISERR(VLOOKUP(VALUE(AJ$44),'HR DATA'!$A$4:$AA$54,3,0)="TRUE"),0,VLOOKUP(VALUE(AJ$44),'HR DATA'!$A$4:$AA$54,3,0))</f>
        <v>0</v>
      </c>
      <c r="AK73" s="184">
        <f>IF(ISERR(VLOOKUP(VALUE(AK$44),'HR DATA'!$A$4:$AA$54,3,0)="TRUE"),0,VLOOKUP(VALUE(AK$44),'HR DATA'!$A$4:$AA$54,3,0))</f>
        <v>3380933.26</v>
      </c>
      <c r="AL73" s="184">
        <f>IF(ISERR(VLOOKUP(VALUE(AL$44),'HR DATA'!$A$4:$AA$54,3,0)="TRUE"),0,VLOOKUP(VALUE(AL$44),'HR DATA'!$A$4:$AA$54,3,0))</f>
        <v>1333139.9100000001</v>
      </c>
      <c r="AM73" s="184">
        <f>IF(ISERR(VLOOKUP(VALUE(AM$44),'HR DATA'!$A$4:$AA$54,3,0)="TRUE"),0,VLOOKUP(VALUE(AM$44),'HR DATA'!$A$4:$AA$54,3,0))</f>
        <v>0</v>
      </c>
      <c r="AN73" s="184">
        <f>IF(ISERR(VLOOKUP(VALUE(AN$44),'HR DATA'!$A$4:$AA$54,3,0)="TRUE"),0,VLOOKUP(VALUE(AN$44),'HR DATA'!$A$4:$AA$54,3,0))</f>
        <v>0</v>
      </c>
      <c r="AO73" s="184">
        <f>IF(ISERR(VLOOKUP(VALUE(AO$44),'HR DATA'!$A$4:$AA$54,3,0)="TRUE"),0,VLOOKUP(VALUE(AO$44),'HR DATA'!$A$4:$AA$54,3,0))</f>
        <v>0</v>
      </c>
      <c r="AP73" s="184">
        <f>IF(ISERR(VLOOKUP(VALUE(AP$44),'HR DATA'!$A$4:$AA$54,3,0)="TRUE"),0,VLOOKUP(VALUE(AP$44),'HR DATA'!$A$4:$AA$54,3,0))</f>
        <v>3982387.54</v>
      </c>
      <c r="AQ73" s="184">
        <f>IF(ISERR(VLOOKUP(VALUE(AQ$44),'HR DATA'!$A$4:$AA$54,3,0)="TRUE"),0,VLOOKUP(VALUE(AQ$44),'HR DATA'!$A$4:$AA$54,3,0))</f>
        <v>0</v>
      </c>
      <c r="AR73" s="184">
        <f>IF(ISERR(VLOOKUP(VALUE(AR$44),'HR DATA'!$A$4:$AA$54,3,0)="TRUE"),0,VLOOKUP(VALUE(AR$44),'HR DATA'!$A$4:$AA$54,3,0))</f>
        <v>0</v>
      </c>
      <c r="AS73" s="184">
        <f>IF(ISERR(VLOOKUP(VALUE(AS$44),'HR DATA'!$A$4:$AA$54,3,0)="TRUE"),0,VLOOKUP(VALUE(AS$44),'HR DATA'!$A$4:$AA$54,3,0))</f>
        <v>0</v>
      </c>
      <c r="AT73" s="184">
        <f>IF(ISERR(VLOOKUP(VALUE(AT$44),'HR DATA'!$A$4:$AA$54,3,0)="TRUE"),0,VLOOKUP(VALUE(AT$44),'HR DATA'!$A$4:$AA$54,3,0))</f>
        <v>0</v>
      </c>
      <c r="AU73" s="184">
        <f>IF(ISERR(VLOOKUP(VALUE(AU$44),'HR DATA'!$A$4:$AA$54,3,0)="TRUE"),0,VLOOKUP(VALUE(AU$44),'HR DATA'!$A$4:$AA$54,3,0))</f>
        <v>0</v>
      </c>
      <c r="AV73" s="184">
        <f>IF(ISERR(VLOOKUP(VALUE(AV$44),'HR DATA'!$A$4:$AA$54,3,0)="TRUE"),0,VLOOKUP(VALUE(AV$44),'HR DATA'!$A$4:$AA$54,3,0))-187489</f>
        <v>-187489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3">
        <f t="shared" ref="CE73:CE80" si="8">SUM(C73:CD73)</f>
        <v>1052674086.1299999</v>
      </c>
      <c r="CF73" s="247"/>
    </row>
    <row r="74" spans="1:84" ht="12.6" customHeight="1">
      <c r="A74" s="171" t="s">
        <v>246</v>
      </c>
      <c r="B74" s="175"/>
      <c r="C74" s="184">
        <f>IF(ISERR(VLOOKUP(VALUE(C$44),'HR DATA'!$A$4:$AA$54,4,0)="TRUE"),0,VLOOKUP(VALUE(C$44),'HR DATA'!$A$4:$AA$54,4,0))</f>
        <v>96090.799999999988</v>
      </c>
      <c r="D74" s="184">
        <f>IF(ISERR(VLOOKUP(VALUE(D$44),'HR DATA'!$A$4:$AA$54,4,0)="TRUE"),0,VLOOKUP(VALUE(D$44),'HR DATA'!$A$4:$AA$54,4,0))</f>
        <v>0</v>
      </c>
      <c r="E74" s="184">
        <f>IF(ISERR(VLOOKUP(VALUE(E$44),'HR DATA'!$A$4:$AA$54,4,0)="TRUE"),0,VLOOKUP(VALUE(E$44),'HR DATA'!$A$4:$AA$54,4,0))</f>
        <v>17379467.469999999</v>
      </c>
      <c r="F74" s="184">
        <f>IF(ISERR(VLOOKUP(VALUE(F$44),'HR DATA'!$A$4:$AA$54,4,0)="TRUE"),0,VLOOKUP(VALUE(F$44),'HR DATA'!$A$4:$AA$54,4,0))</f>
        <v>0</v>
      </c>
      <c r="G74" s="184">
        <f>IF(ISERR(VLOOKUP(VALUE(G$44),'HR DATA'!$A$4:$AA$54,4,0)="TRUE"),0,VLOOKUP(VALUE(G$44),'HR DATA'!$A$4:$AA$54,4,0))</f>
        <v>0</v>
      </c>
      <c r="H74" s="184">
        <f>IF(ISERR(VLOOKUP(VALUE(H$44),'HR DATA'!$A$4:$AA$54,4,0)="TRUE"),0,VLOOKUP(VALUE(H$44),'HR DATA'!$A$4:$AA$54,4,0))</f>
        <v>0</v>
      </c>
      <c r="I74" s="184">
        <f>IF(ISERR(VLOOKUP(VALUE(I$44),'HR DATA'!$A$4:$AA$54,4,0)="TRUE"),0,VLOOKUP(VALUE(I$44),'HR DATA'!$A$4:$AA$54,4,0))</f>
        <v>0</v>
      </c>
      <c r="J74" s="184">
        <f>IF(ISERR(VLOOKUP(VALUE(J$44),'HR DATA'!$A$4:$AA$54,4,0)="TRUE"),0,VLOOKUP(VALUE(J$44),'HR DATA'!$A$4:$AA$54,4,0))</f>
        <v>4298308.4400000004</v>
      </c>
      <c r="K74" s="184">
        <f>IF(ISERR(VLOOKUP(VALUE(K$44),'HR DATA'!$A$4:$AA$54,4,0)="TRUE"),0,VLOOKUP(VALUE(K$44),'HR DATA'!$A$4:$AA$54,4,0))</f>
        <v>0</v>
      </c>
      <c r="L74" s="184">
        <f>IF(ISERR(VLOOKUP(VALUE(L$44),'HR DATA'!$A$4:$AA$54,4,0)="TRUE"),0,VLOOKUP(VALUE(L$44),'HR DATA'!$A$4:$AA$54,4,0))</f>
        <v>0</v>
      </c>
      <c r="M74" s="184">
        <f>IF(ISERR(VLOOKUP(VALUE(M$44),'HR DATA'!$A$4:$AA$54,4,0)="TRUE"),0,VLOOKUP(VALUE(M$44),'HR DATA'!$A$4:$AA$54,4,0))</f>
        <v>0</v>
      </c>
      <c r="N74" s="184">
        <f>IF(ISERR(VLOOKUP(VALUE(N$44),'HR DATA'!$A$4:$AA$54,4,0)="TRUE"),0,VLOOKUP(VALUE(N$44),'HR DATA'!$A$4:$AA$54,4,0))</f>
        <v>0</v>
      </c>
      <c r="O74" s="184">
        <f>IF(ISERR(VLOOKUP(VALUE(O$44),'HR DATA'!$A$4:$AA$54,4,0)="TRUE"),0,VLOOKUP(VALUE(O$44),'HR DATA'!$A$4:$AA$54,4,0))</f>
        <v>0</v>
      </c>
      <c r="P74" s="184">
        <f>IF(ISERR(VLOOKUP(VALUE(P$44),'HR DATA'!$A$4:$AA$54,4,0)="TRUE"),0,VLOOKUP(VALUE(P$44),'HR DATA'!$A$4:$AA$54,4,0))</f>
        <v>209123792.50000003</v>
      </c>
      <c r="Q74" s="184">
        <f>IF(ISERR(VLOOKUP(VALUE(Q$44),'HR DATA'!$A$4:$AA$54,4,0)="TRUE"),0,VLOOKUP(VALUE(Q$44),'HR DATA'!$A$4:$AA$54,4,0))</f>
        <v>36398005.560000002</v>
      </c>
      <c r="R74" s="184">
        <f>IF(ISERR(VLOOKUP(VALUE(R$44),'HR DATA'!$A$4:$AA$54,4,0)="TRUE"),0,VLOOKUP(VALUE(R$44),'HR DATA'!$A$4:$AA$54,4,0))</f>
        <v>14339474.689999999</v>
      </c>
      <c r="S74" s="184">
        <f>IF(ISERR(VLOOKUP(VALUE(S$44),'HR DATA'!$A$4:$AA$54,4,0)="TRUE"),0,VLOOKUP(VALUE(S$44),'HR DATA'!$A$4:$AA$54,4,0))</f>
        <v>0</v>
      </c>
      <c r="T74" s="184">
        <f>IF(ISERR(VLOOKUP(VALUE(T$44),'HR DATA'!$A$4:$AA$54,4,0)="TRUE"),0,VLOOKUP(VALUE(T$44),'HR DATA'!$A$4:$AA$54,4,0))</f>
        <v>0</v>
      </c>
      <c r="U74" s="184">
        <f>IF(ISERR(VLOOKUP(VALUE(U$44),'HR DATA'!$A$4:$AA$54,4,0)="TRUE"),0,VLOOKUP(VALUE(U$44),'HR DATA'!$A$4:$AA$54,4,0))</f>
        <v>36401080.159999996</v>
      </c>
      <c r="V74" s="184">
        <f>IF(ISERR(VLOOKUP(VALUE(V$44),'HR DATA'!$A$4:$AA$54,4,0)="TRUE"),0,VLOOKUP(VALUE(V$44),'HR DATA'!$A$4:$AA$54,4,0))</f>
        <v>12597609.68</v>
      </c>
      <c r="W74" s="184">
        <f>IF(ISERR(VLOOKUP(VALUE(W$44),'HR DATA'!$A$4:$AA$54,4,0)="TRUE"),0,VLOOKUP(VALUE(W$44),'HR DATA'!$A$4:$AA$54,4,0))</f>
        <v>15730749.129999999</v>
      </c>
      <c r="X74" s="184">
        <f>IF(ISERR(VLOOKUP(VALUE(X$44),'HR DATA'!$A$4:$AA$54,4,0)="TRUE"),0,VLOOKUP(VALUE(X$44),'HR DATA'!$A$4:$AA$54,4,0))</f>
        <v>0</v>
      </c>
      <c r="Y74" s="184">
        <f>IF(ISERR(VLOOKUP(VALUE(Y$44),'HR DATA'!$A$4:$AA$54,4,0)="TRUE"),0,VLOOKUP(VALUE(Y$44),'HR DATA'!$A$4:$AA$54,4,0))</f>
        <v>273041739.06000006</v>
      </c>
      <c r="Z74" s="184">
        <f>IF(ISERR(VLOOKUP(VALUE(Z$44),'HR DATA'!$A$4:$AA$54,4,0)="TRUE"),0,VLOOKUP(VALUE(Z$44),'HR DATA'!$A$4:$AA$54,4,0))</f>
        <v>39218980.479999989</v>
      </c>
      <c r="AA74" s="184">
        <f>IF(ISERR(VLOOKUP(VALUE(AA$44),'HR DATA'!$A$4:$AA$54,4,0)="TRUE"),0,VLOOKUP(VALUE(AA$44),'HR DATA'!$A$4:$AA$54,4,0))</f>
        <v>9350911.7599999979</v>
      </c>
      <c r="AB74" s="184">
        <f>IF(ISERR(VLOOKUP(VALUE(AB$44),'HR DATA'!$A$4:$AA$54,4,0)="TRUE"),0,VLOOKUP(VALUE(AB$44),'HR DATA'!$A$4:$AA$54,4,0))</f>
        <v>91983435.110000014</v>
      </c>
      <c r="AC74" s="184">
        <f>IF(ISERR(VLOOKUP(VALUE(AC$44),'HR DATA'!$A$4:$AA$54,4,0)="TRUE"),0,VLOOKUP(VALUE(AC$44),'HR DATA'!$A$4:$AA$54,4,0))</f>
        <v>19514490.920000002</v>
      </c>
      <c r="AD74" s="184">
        <f>IF(ISERR(VLOOKUP(VALUE(AD$44),'HR DATA'!$A$4:$AA$54,4,0)="TRUE"),0,VLOOKUP(VALUE(AD$44),'HR DATA'!$A$4:$AA$54,4,0))</f>
        <v>0</v>
      </c>
      <c r="AE74" s="184">
        <f>IF(ISERR(VLOOKUP(VALUE(AE$44),'HR DATA'!$A$4:$AA$54,4,0)="TRUE"),0,VLOOKUP(VALUE(AE$44),'HR DATA'!$A$4:$AA$54,4,0))</f>
        <v>21123398.710000001</v>
      </c>
      <c r="AF74" s="184">
        <f>IF(ISERR(VLOOKUP(VALUE(AF$44),'HR DATA'!$A$4:$AA$54,4,0)="TRUE"),0,VLOOKUP(VALUE(AF$44),'HR DATA'!$A$4:$AA$54,4,0))</f>
        <v>0</v>
      </c>
      <c r="AG74" s="184">
        <f>IF(ISERR(VLOOKUP(VALUE(AG$44),'HR DATA'!$A$4:$AA$54,4,0)="TRUE"),0,VLOOKUP(VALUE(AG$44),'HR DATA'!$A$4:$AA$54,4,0))</f>
        <v>206165921.69</v>
      </c>
      <c r="AH74" s="184">
        <f>IF(ISERR(VLOOKUP(VALUE(AH$44),'HR DATA'!$A$4:$AA$54,4,0)="TRUE"),0,VLOOKUP(VALUE(AH$44),'HR DATA'!$A$4:$AA$54,4,0))</f>
        <v>0</v>
      </c>
      <c r="AI74" s="184">
        <f>IF(ISERR(VLOOKUP(VALUE(AI$44),'HR DATA'!$A$4:$AA$54,4,0)="TRUE"),0,VLOOKUP(VALUE(AI$44),'HR DATA'!$A$4:$AA$54,4,0))</f>
        <v>0</v>
      </c>
      <c r="AJ74" s="184">
        <f>IF(ISERR(VLOOKUP(VALUE(AJ$44),'HR DATA'!$A$4:$AA$54,4,0)="TRUE"),0,VLOOKUP(VALUE(AJ$44),'HR DATA'!$A$4:$AA$54,4,0))</f>
        <v>248490704.91000003</v>
      </c>
      <c r="AK74" s="184">
        <f>IF(ISERR(VLOOKUP(VALUE(AK$44),'HR DATA'!$A$4:$AA$54,4,0)="TRUE"),0,VLOOKUP(VALUE(AK$44),'HR DATA'!$A$4:$AA$54,4,0))</f>
        <v>3500355.56</v>
      </c>
      <c r="AL74" s="184">
        <f>IF(ISERR(VLOOKUP(VALUE(AL$44),'HR DATA'!$A$4:$AA$54,4,0)="TRUE"),0,VLOOKUP(VALUE(AL$44),'HR DATA'!$A$4:$AA$54,4,0))</f>
        <v>2054124.5699999998</v>
      </c>
      <c r="AM74" s="184">
        <f>IF(ISERR(VLOOKUP(VALUE(AM$44),'HR DATA'!$A$4:$AA$54,4,0)="TRUE"),0,VLOOKUP(VALUE(AM$44),'HR DATA'!$A$4:$AA$54,4,0))</f>
        <v>0</v>
      </c>
      <c r="AN74" s="184">
        <f>IF(ISERR(VLOOKUP(VALUE(AN$44),'HR DATA'!$A$4:$AA$54,4,0)="TRUE"),0,VLOOKUP(VALUE(AN$44),'HR DATA'!$A$4:$AA$54,4,0))</f>
        <v>0</v>
      </c>
      <c r="AO74" s="184">
        <f>IF(ISERR(VLOOKUP(VALUE(AO$44),'HR DATA'!$A$4:$AA$54,4,0)="TRUE"),0,VLOOKUP(VALUE(AO$44),'HR DATA'!$A$4:$AA$54,4,0))</f>
        <v>0</v>
      </c>
      <c r="AP74" s="184">
        <f>IF(ISERR(VLOOKUP(VALUE(AP$44),'HR DATA'!$A$4:$AA$54,4,0)="TRUE"),0,VLOOKUP(VALUE(AP$44),'HR DATA'!$A$4:$AA$54,4,0))</f>
        <v>361904506.97000015</v>
      </c>
      <c r="AQ74" s="184">
        <f>IF(ISERR(VLOOKUP(VALUE(AQ$44),'HR DATA'!$A$4:$AA$54,4,0)="TRUE"),0,VLOOKUP(VALUE(AQ$44),'HR DATA'!$A$4:$AA$54,4,0))</f>
        <v>0</v>
      </c>
      <c r="AR74" s="184">
        <f>IF(ISERR(VLOOKUP(VALUE(AR$44),'HR DATA'!$A$4:$AA$54,4,0)="TRUE"),0,VLOOKUP(VALUE(AR$44),'HR DATA'!$A$4:$AA$54,4,0))</f>
        <v>0</v>
      </c>
      <c r="AS74" s="184">
        <f>IF(ISERR(VLOOKUP(VALUE(AS$44),'HR DATA'!$A$4:$AA$54,4,0)="TRUE"),0,VLOOKUP(VALUE(AS$44),'HR DATA'!$A$4:$AA$54,4,0))</f>
        <v>0</v>
      </c>
      <c r="AT74" s="184">
        <f>IF(ISERR(VLOOKUP(VALUE(AT$44),'HR DATA'!$A$4:$AA$54,4,0)="TRUE"),0,VLOOKUP(VALUE(AT$44),'HR DATA'!$A$4:$AA$54,4,0))</f>
        <v>0</v>
      </c>
      <c r="AU74" s="184">
        <f>IF(ISERR(VLOOKUP(VALUE(AU$44),'HR DATA'!$A$4:$AA$54,4,0)="TRUE"),0,VLOOKUP(VALUE(AU$44),'HR DATA'!$A$4:$AA$54,4,0))</f>
        <v>0</v>
      </c>
      <c r="AV74" s="184">
        <f>IF(ISERR(VLOOKUP(VALUE(AV$44),'HR DATA'!$A$4:$AA$54,4,0)="TRUE"),0,VLOOKUP(VALUE(AV$44),'HR DATA'!$A$4:$AA$54,4,0))-938288+4022206</f>
        <v>3188097.4299999997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3">
        <f t="shared" si="8"/>
        <v>1625901245.6000001</v>
      </c>
      <c r="CF74" s="247"/>
    </row>
    <row r="75" spans="1:84" ht="12.6" customHeight="1">
      <c r="A75" s="171" t="s">
        <v>247</v>
      </c>
      <c r="B75" s="175"/>
      <c r="C75" s="193">
        <f t="shared" ref="C75:AV75" si="9">SUM(C73:C74)</f>
        <v>37091962.410000011</v>
      </c>
      <c r="D75" s="193">
        <f t="shared" si="9"/>
        <v>0</v>
      </c>
      <c r="E75" s="193">
        <f t="shared" si="9"/>
        <v>212598784.07999998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64869803.309999995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431877838.03000009</v>
      </c>
      <c r="Q75" s="193">
        <f t="shared" si="9"/>
        <v>51833536.5</v>
      </c>
      <c r="R75" s="193">
        <f t="shared" si="9"/>
        <v>22395174.399999999</v>
      </c>
      <c r="S75" s="193">
        <f t="shared" si="9"/>
        <v>0</v>
      </c>
      <c r="T75" s="193">
        <f t="shared" si="9"/>
        <v>0</v>
      </c>
      <c r="U75" s="193">
        <f t="shared" si="9"/>
        <v>101486881.33</v>
      </c>
      <c r="V75" s="193">
        <f t="shared" si="9"/>
        <v>33526935.52</v>
      </c>
      <c r="W75" s="193">
        <f t="shared" si="9"/>
        <v>22087331.609999999</v>
      </c>
      <c r="X75" s="193">
        <f t="shared" si="9"/>
        <v>0</v>
      </c>
      <c r="Y75" s="193">
        <f t="shared" si="9"/>
        <v>423603668.28000009</v>
      </c>
      <c r="Z75" s="193">
        <f t="shared" si="9"/>
        <v>41926383.069999993</v>
      </c>
      <c r="AA75" s="193">
        <f t="shared" si="9"/>
        <v>14844528.139999997</v>
      </c>
      <c r="AB75" s="193">
        <f t="shared" si="9"/>
        <v>241762982.87</v>
      </c>
      <c r="AC75" s="193">
        <f t="shared" si="9"/>
        <v>62782665.719999999</v>
      </c>
      <c r="AD75" s="193">
        <f t="shared" si="9"/>
        <v>0</v>
      </c>
      <c r="AE75" s="193">
        <f t="shared" si="9"/>
        <v>26838610.73</v>
      </c>
      <c r="AF75" s="193">
        <f t="shared" si="9"/>
        <v>0</v>
      </c>
      <c r="AG75" s="193">
        <f t="shared" si="9"/>
        <v>261401484.57999998</v>
      </c>
      <c r="AH75" s="193">
        <f t="shared" si="9"/>
        <v>0</v>
      </c>
      <c r="AI75" s="193">
        <f t="shared" si="9"/>
        <v>0</v>
      </c>
      <c r="AJ75" s="193">
        <f t="shared" si="9"/>
        <v>248490704.91000003</v>
      </c>
      <c r="AK75" s="193">
        <f t="shared" si="9"/>
        <v>6881288.8200000003</v>
      </c>
      <c r="AL75" s="193">
        <f t="shared" si="9"/>
        <v>3387264.48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365886894.51000017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3000608.4299999997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3">
        <f t="shared" si="8"/>
        <v>2678575331.7300005</v>
      </c>
      <c r="CF75" s="247"/>
    </row>
    <row r="76" spans="1:84" ht="12.6" customHeight="1">
      <c r="A76" s="171" t="s">
        <v>248</v>
      </c>
      <c r="B76" s="175"/>
      <c r="C76" s="184">
        <f>IF(ISERR(VLOOKUP(VALUE(C$44),'HR DATA'!$F$68:$AA$144,4,0)="TRUE"),0,VLOOKUP(VALUE(C$44),'HR DATA'!$F$68:$AA$144,4,0))</f>
        <v>8800</v>
      </c>
      <c r="D76" s="184">
        <f>IF(ISERR(VLOOKUP(VALUE(D$44),'HR DATA'!$F$68:$AA$144,4,0)="TRUE"),0,VLOOKUP(VALUE(D$44),'HR DATA'!$F$68:$AA$144,4,0))</f>
        <v>0</v>
      </c>
      <c r="E76" s="184">
        <f>IF(ISERR(VLOOKUP(VALUE(E$44),'HR DATA'!$F$68:$AA$144,4,0)="TRUE"),0,VLOOKUP(VALUE(E$44),'HR DATA'!$F$68:$AA$144,4,0))</f>
        <v>90290</v>
      </c>
      <c r="F76" s="184">
        <f>IF(ISERR(VLOOKUP(VALUE(F$44),'HR DATA'!$F$68:$AA$144,4,0)="TRUE"),0,VLOOKUP(VALUE(F$44),'HR DATA'!$F$68:$AA$144,4,0))</f>
        <v>0</v>
      </c>
      <c r="G76" s="184">
        <f>IF(ISERR(VLOOKUP(VALUE(G$44),'HR DATA'!$F$68:$AA$144,4,0)="TRUE"),0,VLOOKUP(VALUE(G$44),'HR DATA'!$F$68:$AA$144,4,0))</f>
        <v>0</v>
      </c>
      <c r="H76" s="184">
        <f>IF(ISERR(VLOOKUP(VALUE(H$44),'HR DATA'!$F$68:$AA$144,4,0)="TRUE"),0,VLOOKUP(VALUE(H$44),'HR DATA'!$F$68:$AA$144,4,0))</f>
        <v>0</v>
      </c>
      <c r="I76" s="184">
        <f>IF(ISERR(VLOOKUP(VALUE(I$44),'HR DATA'!$F$68:$AA$144,4,0)="TRUE"),0,VLOOKUP(VALUE(I$44),'HR DATA'!$F$68:$AA$144,4,0))</f>
        <v>0</v>
      </c>
      <c r="J76" s="184">
        <f>IF(ISERR(VLOOKUP(VALUE(J$44),'HR DATA'!$F$68:$AA$144,4,0)="TRUE"),0,VLOOKUP(VALUE(J$44),'HR DATA'!$F$68:$AA$144,4,0))</f>
        <v>16041</v>
      </c>
      <c r="K76" s="184">
        <f>IF(ISERR(VLOOKUP(VALUE(K$44),'HR DATA'!$F$68:$AA$144,4,0)="TRUE"),0,VLOOKUP(VALUE(K$44),'HR DATA'!$F$68:$AA$144,4,0))</f>
        <v>0</v>
      </c>
      <c r="L76" s="184">
        <f>IF(ISERR(VLOOKUP(VALUE(L$44),'HR DATA'!$F$68:$AA$144,4,0)="TRUE"),0,VLOOKUP(VALUE(L$44),'HR DATA'!$F$68:$AA$144,4,0))</f>
        <v>0</v>
      </c>
      <c r="M76" s="184">
        <f>IF(ISERR(VLOOKUP(VALUE(M$44),'HR DATA'!$F$68:$AA$144,4,0)="TRUE"),0,VLOOKUP(VALUE(M$44),'HR DATA'!$F$68:$AA$144,4,0))</f>
        <v>0</v>
      </c>
      <c r="N76" s="184">
        <f>IF(ISERR(VLOOKUP(VALUE(N$44),'HR DATA'!$F$68:$AA$144,4,0)="TRUE"),0,VLOOKUP(VALUE(N$44),'HR DATA'!$F$68:$AA$144,4,0))</f>
        <v>0</v>
      </c>
      <c r="O76" s="184">
        <f>IF(ISERR(VLOOKUP(VALUE(O$44),'HR DATA'!$F$68:$AA$144,4,0)="TRUE"),0,VLOOKUP(VALUE(O$44),'HR DATA'!$F$68:$AA$144,4,0))</f>
        <v>0</v>
      </c>
      <c r="P76" s="184">
        <f>IF(ISERR(VLOOKUP(VALUE(P$44),'HR DATA'!$F$68:$AA$144,4,0)="TRUE"),0,VLOOKUP(VALUE(P$44),'HR DATA'!$F$68:$AA$144,4,0))</f>
        <v>58788</v>
      </c>
      <c r="Q76" s="184">
        <f>IF(ISERR(VLOOKUP(VALUE(Q$44),'HR DATA'!$F$68:$AA$144,4,0)="TRUE"),0,VLOOKUP(VALUE(Q$44),'HR DATA'!$F$68:$AA$144,4,0))</f>
        <v>8627</v>
      </c>
      <c r="R76" s="184">
        <f>IF(ISERR(VLOOKUP(VALUE(R$44),'HR DATA'!$F$68:$AA$144,4,0)="TRUE"),0,VLOOKUP(VALUE(R$44),'HR DATA'!$F$68:$AA$144,4,0))</f>
        <v>116</v>
      </c>
      <c r="S76" s="184">
        <f>IF(ISERR(VLOOKUP(VALUE(S$44),'HR DATA'!$F$68:$AA$144,4,0)="TRUE"),0,VLOOKUP(VALUE(S$44),'HR DATA'!$F$68:$AA$144,4,0))</f>
        <v>8419</v>
      </c>
      <c r="T76" s="184">
        <f>IF(ISERR(VLOOKUP(VALUE(T$44),'HR DATA'!$F$68:$AA$144,4,0)="TRUE"),0,VLOOKUP(VALUE(T$44),'HR DATA'!$F$68:$AA$144,4,0))</f>
        <v>0</v>
      </c>
      <c r="U76" s="184">
        <f>IF(ISERR(VLOOKUP(VALUE(U$44),'HR DATA'!$F$68:$AA$144,4,0)="TRUE"),0,VLOOKUP(VALUE(U$44),'HR DATA'!$F$68:$AA$144,4,0))</f>
        <v>13374</v>
      </c>
      <c r="V76" s="184">
        <f>IF(ISERR(VLOOKUP(VALUE(V$44),'HR DATA'!$F$68:$AA$144,4,0)="TRUE"),0,VLOOKUP(VALUE(V$44),'HR DATA'!$F$68:$AA$144,4,0))</f>
        <v>0</v>
      </c>
      <c r="W76" s="184">
        <f>IF(ISERR(VLOOKUP(VALUE(W$44),'HR DATA'!$F$68:$AA$144,4,0)="TRUE"),0,VLOOKUP(VALUE(W$44),'HR DATA'!$F$68:$AA$144,4,0))</f>
        <v>2192</v>
      </c>
      <c r="X76" s="184">
        <f>IF(ISERR(VLOOKUP(VALUE(X$44),'HR DATA'!$F$68:$AA$144,4,0)="TRUE"),0,VLOOKUP(VALUE(X$44),'HR DATA'!$F$68:$AA$144,4,0))</f>
        <v>0</v>
      </c>
      <c r="Y76" s="184">
        <f>IF(ISERR(VLOOKUP(VALUE(Y$44),'HR DATA'!$F$68:$AA$144,4,0)="TRUE"),0,VLOOKUP(VALUE(Y$44),'HR DATA'!$F$68:$AA$144,4,0))</f>
        <v>23073</v>
      </c>
      <c r="Z76" s="184">
        <f>IF(ISERR(VLOOKUP(VALUE(Z$44),'HR DATA'!$F$68:$AA$144,4,0)="TRUE"),0,VLOOKUP(VALUE(Z$44),'HR DATA'!$F$68:$AA$144,4,0))</f>
        <v>11773</v>
      </c>
      <c r="AA76" s="184">
        <f>IF(ISERR(VLOOKUP(VALUE(AA$44),'HR DATA'!$F$68:$AA$144,4,0)="TRUE"),0,VLOOKUP(VALUE(AA$44),'HR DATA'!$F$68:$AA$144,4,0))</f>
        <v>0</v>
      </c>
      <c r="AB76" s="184">
        <f>IF(ISERR(VLOOKUP(VALUE(AB$44),'HR DATA'!$F$68:$AA$144,4,0)="TRUE"),0,VLOOKUP(VALUE(AB$44),'HR DATA'!$F$68:$AA$144,4,0))</f>
        <v>5552</v>
      </c>
      <c r="AC76" s="184">
        <f>IF(ISERR(VLOOKUP(VALUE(AC$44),'HR DATA'!$F$68:$AA$144,4,0)="TRUE"),0,VLOOKUP(VALUE(AC$44),'HR DATA'!$F$68:$AA$144,4,0))</f>
        <v>7609</v>
      </c>
      <c r="AD76" s="184">
        <f>IF(ISERR(VLOOKUP(VALUE(AD$44),'HR DATA'!$F$68:$AA$144,4,0)="TRUE"),0,VLOOKUP(VALUE(AD$44),'HR DATA'!$F$68:$AA$144,4,0))</f>
        <v>810</v>
      </c>
      <c r="AE76" s="184">
        <f>IF(ISERR(VLOOKUP(VALUE(AE$44),'HR DATA'!$F$68:$AA$144,4,0)="TRUE"),0,VLOOKUP(VALUE(AE$44),'HR DATA'!$F$68:$AA$144,4,0))</f>
        <v>21850</v>
      </c>
      <c r="AF76" s="184">
        <f>IF(ISERR(VLOOKUP(VALUE(AF$44),'HR DATA'!$F$68:$AA$144,4,0)="TRUE"),0,VLOOKUP(VALUE(AF$44),'HR DATA'!$F$68:$AA$144,4,0))</f>
        <v>0</v>
      </c>
      <c r="AG76" s="184">
        <f>IF(ISERR(VLOOKUP(VALUE(AG$44),'HR DATA'!$F$68:$AA$144,4,0)="TRUE"),0,VLOOKUP(VALUE(AG$44),'HR DATA'!$F$68:$AA$144,4,0))</f>
        <v>28510</v>
      </c>
      <c r="AH76" s="184">
        <f>IF(ISERR(VLOOKUP(VALUE(AH$44),'HR DATA'!$F$68:$AA$144,4,0)="TRUE"),0,VLOOKUP(VALUE(AH$44),'HR DATA'!$F$68:$AA$144,4,0))</f>
        <v>0</v>
      </c>
      <c r="AI76" s="184">
        <f>IF(ISERR(VLOOKUP(VALUE(AI$44),'HR DATA'!$F$68:$AA$144,4,0)="TRUE"),0,VLOOKUP(VALUE(AI$44),'HR DATA'!$F$68:$AA$144,4,0))</f>
        <v>0</v>
      </c>
      <c r="AJ76" s="184">
        <f>IF(ISERR(VLOOKUP(VALUE(AJ$44),'HR DATA'!$F$68:$AA$144,4,0)="TRUE"),0,VLOOKUP(VALUE(AJ$44),'HR DATA'!$F$68:$AA$144,4,0))</f>
        <v>0</v>
      </c>
      <c r="AK76" s="184">
        <f>IF(ISERR(VLOOKUP(VALUE(AK$44),'HR DATA'!$F$68:$AA$144,4,0)="TRUE"),0,VLOOKUP(VALUE(AK$44),'HR DATA'!$F$68:$AA$144,4,0))</f>
        <v>4681</v>
      </c>
      <c r="AL76" s="184">
        <f>IF(ISERR(VLOOKUP(VALUE(AL$44),'HR DATA'!$F$68:$AA$144,4,0)="TRUE"),0,VLOOKUP(VALUE(AL$44),'HR DATA'!$F$68:$AA$144,4,0))</f>
        <v>1540</v>
      </c>
      <c r="AM76" s="184">
        <f>IF(ISERR(VLOOKUP(VALUE(AM$44),'HR DATA'!$F$68:$AA$144,4,0)="TRUE"),0,VLOOKUP(VALUE(AM$44),'HR DATA'!$F$68:$AA$144,4,0))</f>
        <v>0</v>
      </c>
      <c r="AN76" s="184">
        <f>IF(ISERR(VLOOKUP(VALUE(AN$44),'HR DATA'!$F$68:$AA$144,4,0)="TRUE"),0,VLOOKUP(VALUE(AN$44),'HR DATA'!$F$68:$AA$144,4,0))</f>
        <v>0</v>
      </c>
      <c r="AO76" s="184">
        <f>IF(ISERR(VLOOKUP(VALUE(AO$44),'HR DATA'!$F$68:$AA$144,4,0)="TRUE"),0,VLOOKUP(VALUE(AO$44),'HR DATA'!$F$68:$AA$144,4,0))</f>
        <v>0</v>
      </c>
      <c r="AP76" s="184">
        <f>IF(ISERR(VLOOKUP(VALUE(AP$44),'HR DATA'!$F$68:$AA$144,4,0)="TRUE"),0,VLOOKUP(VALUE(AP$44),'HR DATA'!$F$68:$AA$144,4,0))</f>
        <v>63472</v>
      </c>
      <c r="AQ76" s="184">
        <f>IF(ISERR(VLOOKUP(VALUE(AQ$44),'HR DATA'!$F$68:$AA$144,4,0)="TRUE"),0,VLOOKUP(VALUE(AQ$44),'HR DATA'!$F$68:$AA$144,4,0))</f>
        <v>0</v>
      </c>
      <c r="AR76" s="184">
        <f>IF(ISERR(VLOOKUP(VALUE(AR$44),'HR DATA'!$F$68:$AA$144,4,0)="TRUE"),0,VLOOKUP(VALUE(AR$44),'HR DATA'!$F$68:$AA$144,4,0))</f>
        <v>0</v>
      </c>
      <c r="AS76" s="184">
        <f>IF(ISERR(VLOOKUP(VALUE(AS$44),'HR DATA'!$F$68:$AA$144,4,0)="TRUE"),0,VLOOKUP(VALUE(AS$44),'HR DATA'!$F$68:$AA$144,4,0))</f>
        <v>0</v>
      </c>
      <c r="AT76" s="184">
        <f>IF(ISERR(VLOOKUP(VALUE(AT$44),'HR DATA'!$F$68:$AA$144,4,0)="TRUE"),0,VLOOKUP(VALUE(AT$44),'HR DATA'!$F$68:$AA$144,4,0))</f>
        <v>0</v>
      </c>
      <c r="AU76" s="184">
        <f>IF(ISERR(VLOOKUP(VALUE(AU$44),'HR DATA'!$F$68:$AA$144,4,0)="TRUE"),0,VLOOKUP(VALUE(AU$44),'HR DATA'!$F$68:$AA$144,4,0))</f>
        <v>0</v>
      </c>
      <c r="AV76" s="184">
        <f>IF(ISERR(VLOOKUP(VALUE(AV$44),'HR DATA'!$F$68:$AA$144,4,0)="TRUE"),0,VLOOKUP(VALUE(AV$44),'HR DATA'!$F$68:$AA$144,4,0))</f>
        <v>3169</v>
      </c>
      <c r="AW76" s="184">
        <f>IF(ISERR(VLOOKUP(VALUE(AW$44),'HR DATA'!$F$68:$AA$144,4,0)="TRUE"),0,VLOOKUP(VALUE(AW$44),'HR DATA'!$F$68:$AA$144,4,0))</f>
        <v>0</v>
      </c>
      <c r="AX76" s="184">
        <f>IF(ISERR(VLOOKUP(VALUE(AX$44),'HR DATA'!$F$68:$AA$144,4,0)="TRUE"),0,VLOOKUP(VALUE(AX$44),'HR DATA'!$F$68:$AA$144,4,0))</f>
        <v>0</v>
      </c>
      <c r="AY76" s="184">
        <f>IF(ISERR(VLOOKUP(VALUE(AY$44),'HR DATA'!$F$68:$AA$144,4,0)="TRUE"),0,VLOOKUP(VALUE(AY$44),'HR DATA'!$F$68:$AA$144,4,0))</f>
        <v>19152</v>
      </c>
      <c r="AZ76" s="184">
        <f>IF(ISERR(VLOOKUP(VALUE(AZ$44),'HR DATA'!$F$68:$AA$144,4,0)="TRUE"),0,VLOOKUP(VALUE(AZ$44),'HR DATA'!$F$68:$AA$144,4,0))</f>
        <v>0</v>
      </c>
      <c r="BA76" s="184">
        <f>IF(ISERR(VLOOKUP(VALUE(BA$44),'HR DATA'!$F$68:$AA$144,4,0)="TRUE"),0,VLOOKUP(VALUE(BA$44),'HR DATA'!$F$68:$AA$144,4,0))</f>
        <v>3718</v>
      </c>
      <c r="BB76" s="184">
        <f>IF(ISERR(VLOOKUP(VALUE(BB$44),'HR DATA'!$F$68:$AA$144,4,0)="TRUE"),0,VLOOKUP(VALUE(BB$44),'HR DATA'!$F$68:$AA$144,4,0))</f>
        <v>1144</v>
      </c>
      <c r="BC76" s="184">
        <f>IF(ISERR(VLOOKUP(VALUE(BC$44),'HR DATA'!$F$68:$AA$144,4,0)="TRUE"),0,VLOOKUP(VALUE(BC$44),'HR DATA'!$F$68:$AA$144,4,0))</f>
        <v>0</v>
      </c>
      <c r="BD76" s="184">
        <f>IF(ISERR(VLOOKUP(VALUE(BD$44),'HR DATA'!$F$68:$AA$144,4,0)="TRUE"),0,VLOOKUP(VALUE(BD$44),'HR DATA'!$F$68:$AA$144,4,0))</f>
        <v>52614</v>
      </c>
      <c r="BE76" s="184">
        <f>IF(ISERR(VLOOKUP(VALUE(BE$44),'HR DATA'!$F$68:$AA$144,4,0)="TRUE"),0,VLOOKUP(VALUE(BE$44),'HR DATA'!$F$68:$AA$144,4,0))</f>
        <v>81349</v>
      </c>
      <c r="BF76" s="184">
        <f>IF(ISERR(VLOOKUP(VALUE(BF$44),'HR DATA'!$F$68:$AA$144,4,0)="TRUE"),0,VLOOKUP(VALUE(BF$44),'HR DATA'!$F$68:$AA$144,4,0))</f>
        <v>10852</v>
      </c>
      <c r="BG76" s="184">
        <f>IF(ISERR(VLOOKUP(VALUE(BG$44),'HR DATA'!$F$68:$AA$144,4,0)="TRUE"),0,VLOOKUP(VALUE(BG$44),'HR DATA'!$F$68:$AA$144,4,0))</f>
        <v>0</v>
      </c>
      <c r="BH76" s="184">
        <f>IF(ISERR(VLOOKUP(VALUE(BH$44),'HR DATA'!$F$68:$AA$144,4,0)="TRUE"),0,VLOOKUP(VALUE(BH$44),'HR DATA'!$F$68:$AA$144,4,0))</f>
        <v>0</v>
      </c>
      <c r="BI76" s="184">
        <f>IF(ISERR(VLOOKUP(VALUE(BI$44),'HR DATA'!$F$68:$AA$144,4,0)="TRUE"),0,VLOOKUP(VALUE(BI$44),'HR DATA'!$F$68:$AA$144,4,0))</f>
        <v>0</v>
      </c>
      <c r="BJ76" s="184">
        <f>IF(ISERR(VLOOKUP(VALUE(BJ$44),'HR DATA'!$F$68:$AA$144,4,0)="TRUE"),0,VLOOKUP(VALUE(BJ$44),'HR DATA'!$F$68:$AA$144,4,0))</f>
        <v>0</v>
      </c>
      <c r="BK76" s="184">
        <f>IF(ISERR(VLOOKUP(VALUE(BK$44),'HR DATA'!$F$68:$AA$144,4,0)="TRUE"),0,VLOOKUP(VALUE(BK$44),'HR DATA'!$F$68:$AA$144,4,0))</f>
        <v>0</v>
      </c>
      <c r="BL76" s="184">
        <f>IF(ISERR(VLOOKUP(VALUE(BL$44),'HR DATA'!$F$68:$AA$144,4,0)="TRUE"),0,VLOOKUP(VALUE(BL$44),'HR DATA'!$F$68:$AA$144,4,0))</f>
        <v>0</v>
      </c>
      <c r="BM76" s="184">
        <f>IF(ISERR(VLOOKUP(VALUE(BM$44),'HR DATA'!$F$68:$AA$144,4,0)="TRUE"),0,VLOOKUP(VALUE(BM$44),'HR DATA'!$F$68:$AA$144,4,0))</f>
        <v>0</v>
      </c>
      <c r="BN76" s="184">
        <f>IF(ISERR(VLOOKUP(VALUE(BN$44),'HR DATA'!$F$68:$AA$144,4,0)="TRUE"),0,VLOOKUP(VALUE(BN$44),'HR DATA'!$F$68:$AA$144,4,0))</f>
        <v>10802</v>
      </c>
      <c r="BO76" s="184">
        <f>IF(ISERR(VLOOKUP(VALUE(BO$44),'HR DATA'!$F$68:$AA$144,4,0)="TRUE"),0,VLOOKUP(VALUE(BO$44),'HR DATA'!$F$68:$AA$144,4,0))</f>
        <v>0</v>
      </c>
      <c r="BP76" s="184">
        <f>IF(ISERR(VLOOKUP(VALUE(BP$44),'HR DATA'!$F$68:$AA$144,4,0)="TRUE"),0,VLOOKUP(VALUE(BP$44),'HR DATA'!$F$68:$AA$144,4,0))</f>
        <v>0</v>
      </c>
      <c r="BQ76" s="184">
        <f>IF(ISERR(VLOOKUP(VALUE(BQ$44),'HR DATA'!$F$68:$AA$144,4,0)="TRUE"),0,VLOOKUP(VALUE(BQ$44),'HR DATA'!$F$68:$AA$144,4,0))</f>
        <v>0</v>
      </c>
      <c r="BR76" s="184">
        <f>IF(ISERR(VLOOKUP(VALUE(BR$44),'HR DATA'!$F$68:$AA$144,4,0)="TRUE"),0,VLOOKUP(VALUE(BR$44),'HR DATA'!$F$68:$AA$144,4,0))-3982</f>
        <v>0</v>
      </c>
      <c r="BS76" s="184">
        <f>IF(ISERR(VLOOKUP(VALUE(BS$44),'HR DATA'!$F$68:$AA$144,4,0)="TRUE"),0,VLOOKUP(VALUE(BS$44),'HR DATA'!$F$68:$AA$144,4,0))</f>
        <v>4251</v>
      </c>
      <c r="BT76" s="184">
        <f>IF(ISERR(VLOOKUP(VALUE(BT$44),'HR DATA'!$F$68:$AA$144,4,0)="TRUE"),0,VLOOKUP(VALUE(BT$44),'HR DATA'!$F$68:$AA$144,4,0))</f>
        <v>0</v>
      </c>
      <c r="BU76" s="184">
        <f>IF(ISERR(VLOOKUP(VALUE(BU$44),'HR DATA'!$F$68:$AA$144,4,0)="TRUE"),0,VLOOKUP(VALUE(BU$44),'HR DATA'!$F$68:$AA$144,4,0))</f>
        <v>2688</v>
      </c>
      <c r="BV76" s="184">
        <f>IF(ISERR(VLOOKUP(VALUE(BV$44),'HR DATA'!$F$68:$AA$144,4,0)="TRUE"),0,VLOOKUP(VALUE(BV$44),'HR DATA'!$F$68:$AA$144,4,0))</f>
        <v>7535</v>
      </c>
      <c r="BW76" s="184">
        <f>IF(ISERR(VLOOKUP(VALUE(BW$44),'HR DATA'!$F$68:$AA$144,4,0)="TRUE"),0,VLOOKUP(VALUE(BW$44),'HR DATA'!$F$68:$AA$144,4,0))</f>
        <v>0</v>
      </c>
      <c r="BX76" s="184">
        <f>IF(ISERR(VLOOKUP(VALUE(BX$44),'HR DATA'!$F$68:$AA$144,4,0)="TRUE"),0,VLOOKUP(VALUE(BX$44),'HR DATA'!$F$68:$AA$144,4,0))</f>
        <v>0</v>
      </c>
      <c r="BY76" s="184">
        <f>IF(ISERR(VLOOKUP(VALUE(BY$44),'HR DATA'!$F$68:$AA$144,4,0)="TRUE"),0,VLOOKUP(VALUE(BY$44),'HR DATA'!$F$68:$AA$144,4,0))</f>
        <v>2637</v>
      </c>
      <c r="BZ76" s="184">
        <f>IF(ISERR(VLOOKUP(VALUE(BZ$44),'HR DATA'!$F$68:$AA$144,4,0)="TRUE"),0,VLOOKUP(VALUE(BZ$44),'HR DATA'!$F$68:$AA$144,4,0))</f>
        <v>0</v>
      </c>
      <c r="CA76" s="184">
        <f>IF(ISERR(VLOOKUP(VALUE(CA$44),'HR DATA'!$F$68:$AA$144,4,0)="TRUE"),0,VLOOKUP(VALUE(CA$44),'HR DATA'!$F$68:$AA$144,4,0))</f>
        <v>1853</v>
      </c>
      <c r="CB76" s="184">
        <f>IF(ISERR(VLOOKUP(VALUE(CB$44),'HR DATA'!$F$68:$AA$144,4,0)="TRUE"),0,VLOOKUP(VALUE(CB$44),'HR DATA'!$F$68:$AA$144,4,0))</f>
        <v>0</v>
      </c>
      <c r="CC76" s="184">
        <f>IF(ISERR(VLOOKUP(VALUE(CC$44),'HR DATA'!$F$68:$AA$144,4,0)="TRUE"),0,VLOOKUP(VALUE(CC$44),'HR DATA'!$F$68:$AA$144,4,0))</f>
        <v>0</v>
      </c>
      <c r="CD76" s="244" t="s">
        <v>221</v>
      </c>
      <c r="CE76" s="193">
        <f t="shared" si="8"/>
        <v>577281</v>
      </c>
      <c r="CF76" s="193">
        <f>BE59-CE76</f>
        <v>0</v>
      </c>
    </row>
    <row r="77" spans="1:84" ht="12.6" customHeight="1">
      <c r="A77" s="171" t="s">
        <v>249</v>
      </c>
      <c r="B77" s="175"/>
      <c r="C77" s="184">
        <v>5806</v>
      </c>
      <c r="D77" s="184">
        <v>0</v>
      </c>
      <c r="E77" s="184">
        <f>211077-11330</f>
        <v>199747</v>
      </c>
      <c r="F77" s="184">
        <v>0</v>
      </c>
      <c r="G77" s="184">
        <v>0</v>
      </c>
      <c r="H77" s="184">
        <v>0</v>
      </c>
      <c r="I77" s="184">
        <v>0</v>
      </c>
      <c r="J77" s="184">
        <v>11330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10104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4" t="s">
        <v>221</v>
      </c>
      <c r="AY77" s="244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4" t="s">
        <v>221</v>
      </c>
      <c r="BE77" s="244" t="s">
        <v>221</v>
      </c>
      <c r="BF77" s="184">
        <v>0</v>
      </c>
      <c r="BG77" s="244" t="s">
        <v>221</v>
      </c>
      <c r="BH77" s="184">
        <v>0</v>
      </c>
      <c r="BI77" s="184">
        <v>0</v>
      </c>
      <c r="BJ77" s="244" t="s">
        <v>221</v>
      </c>
      <c r="BK77" s="184">
        <v>0</v>
      </c>
      <c r="BL77" s="184">
        <v>0</v>
      </c>
      <c r="BM77" s="184">
        <v>0</v>
      </c>
      <c r="BN77" s="244" t="s">
        <v>221</v>
      </c>
      <c r="BO77" s="244" t="s">
        <v>221</v>
      </c>
      <c r="BP77" s="244" t="s">
        <v>221</v>
      </c>
      <c r="BQ77" s="244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4" t="s">
        <v>221</v>
      </c>
      <c r="CD77" s="244" t="s">
        <v>221</v>
      </c>
      <c r="CE77" s="193">
        <f>SUM(C77:CD77)</f>
        <v>226987</v>
      </c>
      <c r="CF77" s="193">
        <f>AY59-CE77</f>
        <v>0</v>
      </c>
    </row>
    <row r="78" spans="1:84" ht="12.6" customHeight="1">
      <c r="A78" s="171" t="s">
        <v>250</v>
      </c>
      <c r="B78" s="175"/>
      <c r="C78" s="184">
        <f>IF(ISERR(VLOOKUP(VALUE(C$44),'HR DATA'!$F$152:$AA$228,3,0)="TRUE"),0,VLOOKUP(VALUE(C$44),'HR DATA'!$F$152:$AA$228,3,0))</f>
        <v>2514.2745955400092</v>
      </c>
      <c r="D78" s="184">
        <f>IF(ISERR(VLOOKUP(VALUE(D$44),'HR DATA'!$F$152:$AA$228,3,0)="TRUE"),0,VLOOKUP(VALUE(D$44),'HR DATA'!$F$152:$AA$228,3,0))</f>
        <v>0</v>
      </c>
      <c r="E78" s="184">
        <f>IF(ISERR(VLOOKUP(VALUE(E$44),'HR DATA'!$F$152:$AA$228,3,0)="TRUE"),0,VLOOKUP(VALUE(E$44),'HR DATA'!$F$152:$AA$228,3,0))</f>
        <v>25797.028776284933</v>
      </c>
      <c r="F78" s="184">
        <f>IF(ISERR(VLOOKUP(VALUE(F$44),'HR DATA'!$F$152:$AA$228,3,0)="TRUE"),0,VLOOKUP(VALUE(F$44),'HR DATA'!$F$152:$AA$228,3,0))</f>
        <v>0</v>
      </c>
      <c r="G78" s="184">
        <f>IF(ISERR(VLOOKUP(VALUE(G$44),'HR DATA'!$F$152:$AA$228,3,0)="TRUE"),0,VLOOKUP(VALUE(G$44),'HR DATA'!$F$152:$AA$228,3,0))</f>
        <v>0</v>
      </c>
      <c r="H78" s="184">
        <f>IF(ISERR(VLOOKUP(VALUE(H$44),'HR DATA'!$F$152:$AA$228,3,0)="TRUE"),0,VLOOKUP(VALUE(H$44),'HR DATA'!$F$152:$AA$228,3,0))</f>
        <v>0</v>
      </c>
      <c r="I78" s="184">
        <f>IF(ISERR(VLOOKUP(VALUE(I$44),'HR DATA'!$F$152:$AA$228,3,0)="TRUE"),0,VLOOKUP(VALUE(I$44),'HR DATA'!$F$152:$AA$228,3,0))</f>
        <v>0</v>
      </c>
      <c r="J78" s="184">
        <f>IF(ISERR(VLOOKUP(VALUE(J$44),'HR DATA'!$F$152:$AA$228,3,0)="TRUE"),0,VLOOKUP(VALUE(J$44),'HR DATA'!$F$152:$AA$228,3,0))</f>
        <v>4583.1225894383279</v>
      </c>
      <c r="K78" s="184">
        <f>IF(ISERR(VLOOKUP(VALUE(K$44),'HR DATA'!$F$152:$AA$228,3,0)="TRUE"),0,VLOOKUP(VALUE(K$44),'HR DATA'!$F$152:$AA$228,3,0))</f>
        <v>0</v>
      </c>
      <c r="L78" s="184">
        <f>IF(ISERR(VLOOKUP(VALUE(L$44),'HR DATA'!$F$152:$AA$228,3,0)="TRUE"),0,VLOOKUP(VALUE(L$44),'HR DATA'!$F$152:$AA$228,3,0))</f>
        <v>0</v>
      </c>
      <c r="M78" s="184">
        <f>IF(ISERR(VLOOKUP(VALUE(M$44),'HR DATA'!$F$152:$AA$228,3,0)="TRUE"),0,VLOOKUP(VALUE(M$44),'HR DATA'!$F$152:$AA$228,3,0))</f>
        <v>0</v>
      </c>
      <c r="N78" s="184">
        <f>IF(ISERR(VLOOKUP(VALUE(N$44),'HR DATA'!$F$152:$AA$228,3,0)="TRUE"),0,VLOOKUP(VALUE(N$44),'HR DATA'!$F$152:$AA$228,3,0))</f>
        <v>0</v>
      </c>
      <c r="O78" s="184">
        <f>IF(ISERR(VLOOKUP(VALUE(O$44),'HR DATA'!$F$152:$AA$228,3,0)="TRUE"),0,VLOOKUP(VALUE(O$44),'HR DATA'!$F$152:$AA$228,3,0))</f>
        <v>0</v>
      </c>
      <c r="P78" s="184">
        <f>IF(ISERR(VLOOKUP(VALUE(P$44),'HR DATA'!$F$152:$AA$228,3,0)="TRUE"),0,VLOOKUP(VALUE(P$44),'HR DATA'!$F$152:$AA$228,3,0))</f>
        <v>16796.497150296142</v>
      </c>
      <c r="Q78" s="184">
        <f>IF(ISERR(VLOOKUP(VALUE(Q$44),'HR DATA'!$F$152:$AA$228,3,0)="TRUE"),0,VLOOKUP(VALUE(Q$44),'HR DATA'!$F$152:$AA$228,3,0))</f>
        <v>2464.8462426958704</v>
      </c>
      <c r="R78" s="184">
        <f>IF(ISERR(VLOOKUP(VALUE(R$44),'HR DATA'!$F$152:$AA$228,3,0)="TRUE"),0,VLOOKUP(VALUE(R$44),'HR DATA'!$F$152:$AA$228,3,0))</f>
        <v>33.142710577572842</v>
      </c>
      <c r="S78" s="184">
        <f>IF(ISERR(VLOOKUP(VALUE(S$44),'HR DATA'!$F$152:$AA$228,3,0)="TRUE"),0,VLOOKUP(VALUE(S$44),'HR DATA'!$F$152:$AA$228,3,0))</f>
        <v>2405.4179340740156</v>
      </c>
      <c r="T78" s="184">
        <f>IF(ISERR(VLOOKUP(VALUE(T$44),'HR DATA'!$F$152:$AA$228,3,0)="TRUE"),0,VLOOKUP(VALUE(T$44),'HR DATA'!$F$152:$AA$228,3,0))</f>
        <v>0</v>
      </c>
      <c r="U78" s="184">
        <f>IF(ISERR(VLOOKUP(VALUE(U$44),'HR DATA'!$F$152:$AA$228,3,0)="TRUE"),0,VLOOKUP(VALUE(U$44),'HR DATA'!$F$152:$AA$228,3,0))</f>
        <v>3821.1259591763728</v>
      </c>
      <c r="V78" s="184">
        <f>IF(ISERR(VLOOKUP(VALUE(V$44),'HR DATA'!$F$152:$AA$228,3,0)="TRUE"),0,VLOOKUP(VALUE(V$44),'HR DATA'!$F$152:$AA$228,3,0))</f>
        <v>0</v>
      </c>
      <c r="W78" s="184">
        <f>IF(ISERR(VLOOKUP(VALUE(W$44),'HR DATA'!$F$152:$AA$228,3,0)="TRUE"),0,VLOOKUP(VALUE(W$44),'HR DATA'!$F$152:$AA$228,3,0))</f>
        <v>626.28294470723858</v>
      </c>
      <c r="X78" s="184">
        <f>IF(ISERR(VLOOKUP(VALUE(X$44),'HR DATA'!$F$152:$AA$228,3,0)="TRUE"),0,VLOOKUP(VALUE(X$44),'HR DATA'!$F$152:$AA$228,3,0))</f>
        <v>0</v>
      </c>
      <c r="Y78" s="184">
        <f>IF(ISERR(VLOOKUP(VALUE(Y$44),'HR DATA'!$F$152:$AA$228,3,0)="TRUE"),0,VLOOKUP(VALUE(Y$44),'HR DATA'!$F$152:$AA$228,3,0))</f>
        <v>6592.2565616925713</v>
      </c>
      <c r="Z78" s="184">
        <f>IF(ISERR(VLOOKUP(VALUE(Z$44),'HR DATA'!$F$152:$AA$228,3,0)="TRUE"),0,VLOOKUP(VALUE(Z$44),'HR DATA'!$F$152:$AA$228,3,0))</f>
        <v>3363.6994106014236</v>
      </c>
      <c r="AA78" s="184">
        <f>IF(ISERR(VLOOKUP(VALUE(AA$44),'HR DATA'!$F$152:$AA$228,3,0)="TRUE"),0,VLOOKUP(VALUE(AA$44),'HR DATA'!$F$152:$AA$228,3,0))</f>
        <v>0</v>
      </c>
      <c r="AB78" s="184">
        <f>IF(ISERR(VLOOKUP(VALUE(AB$44),'HR DATA'!$F$152:$AA$228,3,0)="TRUE"),0,VLOOKUP(VALUE(AB$44),'HR DATA'!$F$152:$AA$228,3,0))</f>
        <v>1586.2786993679692</v>
      </c>
      <c r="AC78" s="184">
        <f>IF(ISERR(VLOOKUP(VALUE(AC$44),'HR DATA'!$F$152:$AA$228,3,0)="TRUE"),0,VLOOKUP(VALUE(AC$44),'HR DATA'!$F$152:$AA$228,3,0))</f>
        <v>2173.9903860754462</v>
      </c>
      <c r="AD78" s="184">
        <f>IF(ISERR(VLOOKUP(VALUE(AD$44),'HR DATA'!$F$152:$AA$228,3,0)="TRUE"),0,VLOOKUP(VALUE(AD$44),'HR DATA'!$F$152:$AA$228,3,0))</f>
        <v>231.42754799856903</v>
      </c>
      <c r="AE78" s="184">
        <f>IF(ISERR(VLOOKUP(VALUE(AE$44),'HR DATA'!$F$152:$AA$228,3,0)="TRUE"),0,VLOOKUP(VALUE(AE$44),'HR DATA'!$F$152:$AA$228,3,0))</f>
        <v>6242.8295355169548</v>
      </c>
      <c r="AF78" s="184">
        <f>IF(ISERR(VLOOKUP(VALUE(AF$44),'HR DATA'!$F$152:$AA$228,3,0)="TRUE"),0,VLOOKUP(VALUE(AF$44),'HR DATA'!$F$152:$AA$228,3,0))</f>
        <v>0</v>
      </c>
      <c r="AG78" s="184">
        <f>IF(ISERR(VLOOKUP(VALUE(AG$44),'HR DATA'!$F$152:$AA$228,3,0)="TRUE"),0,VLOOKUP(VALUE(AG$44),'HR DATA'!$F$152:$AA$228,3,0))</f>
        <v>8145.6782635051877</v>
      </c>
      <c r="AH78" s="184">
        <f>IF(ISERR(VLOOKUP(VALUE(AH$44),'HR DATA'!$F$152:$AA$228,3,0)="TRUE"),0,VLOOKUP(VALUE(AH$44),'HR DATA'!$F$152:$AA$228,3,0))</f>
        <v>0</v>
      </c>
      <c r="AI78" s="184">
        <f>IF(ISERR(VLOOKUP(VALUE(AI$44),'HR DATA'!$F$152:$AA$228,3,0)="TRUE"),0,VLOOKUP(VALUE(AI$44),'HR DATA'!$F$152:$AA$228,3,0))</f>
        <v>0</v>
      </c>
      <c r="AJ78" s="184">
        <f>IF(ISERR(VLOOKUP(VALUE(AJ$44),'HR DATA'!$F$152:$AA$228,3,0)="TRUE"),0,VLOOKUP(VALUE(AJ$44),'HR DATA'!$F$152:$AA$228,3,0))</f>
        <v>0</v>
      </c>
      <c r="AK78" s="184">
        <f>IF(ISERR(VLOOKUP(VALUE(AK$44),'HR DATA'!$F$152:$AA$228,3,0)="TRUE"),0,VLOOKUP(VALUE(AK$44),'HR DATA'!$F$152:$AA$228,3,0))</f>
        <v>1337.4226570139526</v>
      </c>
      <c r="AL78" s="184">
        <f>IF(ISERR(VLOOKUP(VALUE(AL$44),'HR DATA'!$F$152:$AA$228,3,0)="TRUE"),0,VLOOKUP(VALUE(AL$44),'HR DATA'!$F$152:$AA$228,3,0))</f>
        <v>439.99805421950163</v>
      </c>
      <c r="AM78" s="184">
        <f>IF(ISERR(VLOOKUP(VALUE(AM$44),'HR DATA'!$F$152:$AA$228,3,0)="TRUE"),0,VLOOKUP(VALUE(AM$44),'HR DATA'!$F$152:$AA$228,3,0))</f>
        <v>0</v>
      </c>
      <c r="AN78" s="184">
        <f>IF(ISERR(VLOOKUP(VALUE(AN$44),'HR DATA'!$F$152:$AA$228,3,0)="TRUE"),0,VLOOKUP(VALUE(AN$44),'HR DATA'!$F$152:$AA$228,3,0))</f>
        <v>0</v>
      </c>
      <c r="AO78" s="184">
        <f>IF(ISERR(VLOOKUP(VALUE(AO$44),'HR DATA'!$F$152:$AA$228,3,0)="TRUE"),0,VLOOKUP(VALUE(AO$44),'HR DATA'!$F$152:$AA$228,3,0))</f>
        <v>0</v>
      </c>
      <c r="AP78" s="184">
        <f>IF(ISERR(VLOOKUP(VALUE(AP$44),'HR DATA'!$F$152:$AA$228,3,0)="TRUE"),0,VLOOKUP(VALUE(AP$44),'HR DATA'!$F$152:$AA$228,3,0))</f>
        <v>18134.776946376758</v>
      </c>
      <c r="AQ78" s="184">
        <f>IF(ISERR(VLOOKUP(VALUE(AQ$44),'HR DATA'!$F$152:$AA$228,3,0)="TRUE"),0,VLOOKUP(VALUE(AQ$44),'HR DATA'!$F$152:$AA$228,3,0))</f>
        <v>0</v>
      </c>
      <c r="AR78" s="184">
        <f>IF(ISERR(VLOOKUP(VALUE(AR$44),'HR DATA'!$F$152:$AA$228,3,0)="TRUE"),0,VLOOKUP(VALUE(AR$44),'HR DATA'!$F$152:$AA$228,3,0))</f>
        <v>0</v>
      </c>
      <c r="AS78" s="184">
        <f>IF(ISERR(VLOOKUP(VALUE(AS$44),'HR DATA'!$F$152:$AA$228,3,0)="TRUE"),0,VLOOKUP(VALUE(AS$44),'HR DATA'!$F$152:$AA$228,3,0))</f>
        <v>0</v>
      </c>
      <c r="AT78" s="184">
        <f>IF(ISERR(VLOOKUP(VALUE(AT$44),'HR DATA'!$F$152:$AA$228,3,0)="TRUE"),0,VLOOKUP(VALUE(AT$44),'HR DATA'!$F$152:$AA$228,3,0))</f>
        <v>0</v>
      </c>
      <c r="AU78" s="184">
        <f>IF(ISERR(VLOOKUP(VALUE(AU$44),'HR DATA'!$F$152:$AA$228,3,0)="TRUE"),0,VLOOKUP(VALUE(AU$44),'HR DATA'!$F$152:$AA$228,3,0))</f>
        <v>0</v>
      </c>
      <c r="AV78" s="184">
        <f>IF(ISERR(VLOOKUP(VALUE(AV$44),'HR DATA'!$F$152:$AA$228,3,0)="TRUE"),0,VLOOKUP(VALUE(AV$44),'HR DATA'!$F$152:$AA$228,3,0))</f>
        <v>905.42456741662374</v>
      </c>
      <c r="AW78" s="184">
        <f>IF(ISERR(VLOOKUP(VALUE(AW$44),'HR DATA'!$F$152:$AA$228,3,0)="TRUE"),0,VLOOKUP(VALUE(AW$44),'HR DATA'!$F$152:$AA$228,3,0))</f>
        <v>0</v>
      </c>
      <c r="AX78" s="244" t="s">
        <v>221</v>
      </c>
      <c r="AY78" s="244" t="s">
        <v>221</v>
      </c>
      <c r="AZ78" s="244" t="s">
        <v>221</v>
      </c>
      <c r="BA78" s="184">
        <f>IF(ISERR(VLOOKUP(VALUE(BA$44),'HR DATA'!$F$152:$AA$228,3,0)="TRUE"),0,VLOOKUP(VALUE(BA$44),'HR DATA'!$F$152:$AA$228,3,0))</f>
        <v>1062.2810166156537</v>
      </c>
      <c r="BB78" s="184">
        <f>IF(ISERR(VLOOKUP(VALUE(BB$44),'HR DATA'!$F$152:$AA$228,3,0)="TRUE"),0,VLOOKUP(VALUE(BB$44),'HR DATA'!$F$152:$AA$228,3,0))</f>
        <v>326.85569742020118</v>
      </c>
      <c r="BC78" s="184">
        <f>IF(ISERR(VLOOKUP(VALUE(BC$44),'HR DATA'!$F$152:$AA$228,3,0)="TRUE"),0,VLOOKUP(VALUE(BC$44),'HR DATA'!$F$152:$AA$228,3,0))</f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f>IF(ISERR(VLOOKUP(VALUE(BH$44),'HR DATA'!$F$152:$AA$228,3,0)="TRUE"),0,VLOOKUP(VALUE(BH$44),'HR DATA'!$F$152:$AA$228,3,0))</f>
        <v>0</v>
      </c>
      <c r="BI78" s="184">
        <f>IF(ISERR(VLOOKUP(VALUE(BI$44),'HR DATA'!$F$152:$AA$228,3,0)="TRUE"),0,VLOOKUP(VALUE(BI$44),'HR DATA'!$F$152:$AA$228,3,0))</f>
        <v>0</v>
      </c>
      <c r="BJ78" s="244" t="s">
        <v>221</v>
      </c>
      <c r="BK78" s="184">
        <f>IF(ISERR(VLOOKUP(VALUE(BK$44),'HR DATA'!$F$152:$AA$228,3,0)="TRUE"),0,VLOOKUP(VALUE(BK$44),'HR DATA'!$F$152:$AA$228,3,0))</f>
        <v>0</v>
      </c>
      <c r="BL78" s="184">
        <f>IF(ISERR(VLOOKUP(VALUE(BL$44),'HR DATA'!$F$152:$AA$228,3,0)="TRUE"),0,VLOOKUP(VALUE(BL$44),'HR DATA'!$F$152:$AA$228,3,0))</f>
        <v>0</v>
      </c>
      <c r="BM78" s="184">
        <f>IF(ISERR(VLOOKUP(VALUE(BM$44),'HR DATA'!$F$152:$AA$228,3,0)="TRUE"),0,VLOOKUP(VALUE(BM$44),'HR DATA'!$F$152:$AA$228,3,0))</f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f>IF(ISERR(VLOOKUP(VALUE(BS$44),'HR DATA'!$F$152:$AA$228,3,0)="TRUE"),0,VLOOKUP(VALUE(BS$44),'HR DATA'!$F$152:$AA$228,3,0))</f>
        <v>1214.5660574591566</v>
      </c>
      <c r="BT78" s="184">
        <f>IF(ISERR(VLOOKUP(VALUE(BT$44),'HR DATA'!$F$152:$AA$228,3,0)="TRUE"),0,VLOOKUP(VALUE(BT$44),'HR DATA'!$F$152:$AA$228,3,0))</f>
        <v>0</v>
      </c>
      <c r="BU78" s="184">
        <f>IF(ISERR(VLOOKUP(VALUE(BU$44),'HR DATA'!$F$152:$AA$228,3,0)="TRUE"),0,VLOOKUP(VALUE(BU$44),'HR DATA'!$F$152:$AA$228,3,0))</f>
        <v>767.99660372858466</v>
      </c>
      <c r="BV78" s="184">
        <f>IF(ISERR(VLOOKUP(VALUE(BV$44),'HR DATA'!$F$152:$AA$228,3,0)="TRUE"),0,VLOOKUP(VALUE(BV$44),'HR DATA'!$F$152:$AA$228,3,0))</f>
        <v>2152.8476224311325</v>
      </c>
      <c r="BW78" s="184">
        <f>IF(ISERR(VLOOKUP(VALUE(BW$44),'HR DATA'!$F$152:$AA$228,3,0)="TRUE"),0,VLOOKUP(VALUE(BW$44),'HR DATA'!$F$152:$AA$228,3,0))</f>
        <v>0</v>
      </c>
      <c r="BX78" s="184">
        <f>IF(ISERR(VLOOKUP(VALUE(BX$44),'HR DATA'!$F$152:$AA$228,3,0)="TRUE"),0,VLOOKUP(VALUE(BX$44),'HR DATA'!$F$152:$AA$228,3,0))</f>
        <v>0</v>
      </c>
      <c r="BY78" s="184">
        <f>IF(ISERR(VLOOKUP(VALUE(BY$44),'HR DATA'!$F$152:$AA$228,3,0)="TRUE"),0,VLOOKUP(VALUE(BY$44),'HR DATA'!$F$152:$AA$228,3,0))</f>
        <v>753.42523959534128</v>
      </c>
      <c r="BZ78" s="184">
        <f>IF(ISERR(VLOOKUP(VALUE(BZ$44),'HR DATA'!$F$152:$AA$228,3,0)="TRUE"),0,VLOOKUP(VALUE(BZ$44),'HR DATA'!$F$152:$AA$228,3,0))</f>
        <v>0</v>
      </c>
      <c r="CA78" s="184">
        <f>IF(ISERR(VLOOKUP(VALUE(CA$44),'HR DATA'!$F$152:$AA$228,3,0)="TRUE"),0,VLOOKUP(VALUE(CA$44),'HR DATA'!$F$152:$AA$228,3,0))</f>
        <v>529.4262301745041</v>
      </c>
      <c r="CB78" s="184">
        <f>IF(ISERR(VLOOKUP(VALUE(CB$44),'HR DATA'!$F$152:$AA$228,3,0)="TRUE"),0,VLOOKUP(VALUE(CB$44),'HR DATA'!$F$152:$AA$228,3,0))</f>
        <v>0</v>
      </c>
      <c r="CC78" s="244" t="s">
        <v>221</v>
      </c>
      <c r="CD78" s="244" t="s">
        <v>221</v>
      </c>
      <c r="CE78" s="193">
        <f t="shared" si="8"/>
        <v>115002.92000000003</v>
      </c>
      <c r="CF78" s="193"/>
    </row>
    <row r="79" spans="1:84" ht="12.6" customHeight="1">
      <c r="A79" s="171" t="s">
        <v>251</v>
      </c>
      <c r="B79" s="175"/>
      <c r="C79" s="221">
        <v>65061</v>
      </c>
      <c r="D79" s="221">
        <v>0</v>
      </c>
      <c r="E79" s="184">
        <v>640945</v>
      </c>
      <c r="F79" s="184">
        <v>0</v>
      </c>
      <c r="G79" s="184">
        <v>0</v>
      </c>
      <c r="H79" s="184">
        <v>0</v>
      </c>
      <c r="I79" s="184">
        <v>0</v>
      </c>
      <c r="J79" s="184">
        <v>83794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f>61521+312554</f>
        <v>374075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102572</v>
      </c>
      <c r="Z79" s="184">
        <v>25657</v>
      </c>
      <c r="AA79" s="184">
        <v>0</v>
      </c>
      <c r="AB79" s="184">
        <v>0</v>
      </c>
      <c r="AC79" s="184">
        <v>18204</v>
      </c>
      <c r="AD79" s="184">
        <v>0</v>
      </c>
      <c r="AE79" s="184">
        <f>92+40276</f>
        <v>40368</v>
      </c>
      <c r="AF79" s="184">
        <v>0</v>
      </c>
      <c r="AG79" s="184">
        <f>377108+146459</f>
        <v>523567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12305</v>
      </c>
      <c r="AW79" s="184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184">
        <v>0</v>
      </c>
      <c r="BC79" s="184">
        <v>0</v>
      </c>
      <c r="BD79" s="244" t="s">
        <v>221</v>
      </c>
      <c r="BE79" s="244" t="s">
        <v>221</v>
      </c>
      <c r="BF79" s="244" t="s">
        <v>221</v>
      </c>
      <c r="BG79" s="244" t="s">
        <v>221</v>
      </c>
      <c r="BH79" s="184">
        <v>0</v>
      </c>
      <c r="BI79" s="184">
        <v>0</v>
      </c>
      <c r="BJ79" s="244" t="s">
        <v>221</v>
      </c>
      <c r="BK79" s="184">
        <v>0</v>
      </c>
      <c r="BL79" s="184">
        <v>0</v>
      </c>
      <c r="BM79" s="184">
        <v>0</v>
      </c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4" t="s">
        <v>221</v>
      </c>
      <c r="CD79" s="244" t="s">
        <v>221</v>
      </c>
      <c r="CE79" s="193">
        <f t="shared" si="8"/>
        <v>1886548</v>
      </c>
      <c r="CF79" s="193">
        <f>BA59</f>
        <v>0</v>
      </c>
    </row>
    <row r="80" spans="1:84" ht="21" customHeight="1">
      <c r="A80" s="171" t="s">
        <v>252</v>
      </c>
      <c r="B80" s="175"/>
      <c r="C80" s="184">
        <f>IF(ISERR(VLOOKUP(VALUE(C$44),'HR DATA'!$A$68:$AB$102,3,0)="TRUE"),0,VLOOKUP(VALUE(C$44),'HR DATA'!$A$68:$AB$102,3,0))</f>
        <v>37.431908653846151</v>
      </c>
      <c r="D80" s="184">
        <f>IF(ISERR(VLOOKUP(VALUE(D$44),'HR DATA'!$A$68:$AB$102,3,0)="TRUE"),0,VLOOKUP(VALUE(D$44),'HR DATA'!$A$68:$AB$102,3,0))</f>
        <v>0</v>
      </c>
      <c r="E80" s="184">
        <f>IF(ISERR(VLOOKUP(VALUE(E$44),'HR DATA'!$A$68:$AB$102,3,0)="TRUE"),0,VLOOKUP(VALUE(E$44),'HR DATA'!$A$68:$AB$102,3,0))</f>
        <v>199.36947596153846</v>
      </c>
      <c r="F80" s="184">
        <f>IF(ISERR(VLOOKUP(VALUE(F$44),'HR DATA'!$A$68:$AB$102,3,0)="TRUE"),0,VLOOKUP(VALUE(F$44),'HR DATA'!$A$68:$AB$102,3,0))</f>
        <v>0</v>
      </c>
      <c r="G80" s="184">
        <f>IF(ISERR(VLOOKUP(VALUE(G$44),'HR DATA'!$A$68:$AB$102,3,0)="TRUE"),0,VLOOKUP(VALUE(G$44),'HR DATA'!$A$68:$AB$102,3,0))</f>
        <v>0</v>
      </c>
      <c r="H80" s="184">
        <f>IF(ISERR(VLOOKUP(VALUE(H$44),'HR DATA'!$A$68:$AB$102,3,0)="TRUE"),0,VLOOKUP(VALUE(H$44),'HR DATA'!$A$68:$AB$102,3,0))</f>
        <v>0</v>
      </c>
      <c r="I80" s="184">
        <f>IF(ISERR(VLOOKUP(VALUE(I$44),'HR DATA'!$A$68:$AB$102,3,0)="TRUE"),0,VLOOKUP(VALUE(I$44),'HR DATA'!$A$68:$AB$102,3,0))</f>
        <v>0</v>
      </c>
      <c r="J80" s="184">
        <f>IF(ISERR(VLOOKUP(VALUE(J$44),'HR DATA'!$A$68:$AB$102,3,0)="TRUE"),0,VLOOKUP(VALUE(J$44),'HR DATA'!$A$68:$AB$102,3,0))</f>
        <v>53.456235576923078</v>
      </c>
      <c r="K80" s="184">
        <f>IF(ISERR(VLOOKUP(VALUE(K$44),'HR DATA'!$A$68:$AB$102,3,0)="TRUE"),0,VLOOKUP(VALUE(K$44),'HR DATA'!$A$68:$AB$102,3,0))</f>
        <v>0</v>
      </c>
      <c r="L80" s="184">
        <f>IF(ISERR(VLOOKUP(VALUE(L$44),'HR DATA'!$A$68:$AB$102,3,0)="TRUE"),0,VLOOKUP(VALUE(L$44),'HR DATA'!$A$68:$AB$102,3,0))</f>
        <v>0</v>
      </c>
      <c r="M80" s="184">
        <f>IF(ISERR(VLOOKUP(VALUE(M$44),'HR DATA'!$A$68:$AB$102,3,0)="TRUE"),0,VLOOKUP(VALUE(M$44),'HR DATA'!$A$68:$AB$102,3,0))</f>
        <v>0</v>
      </c>
      <c r="N80" s="184">
        <f>IF(ISERR(VLOOKUP(VALUE(N$44),'HR DATA'!$A$68:$AB$102,3,0)="TRUE"),0,VLOOKUP(VALUE(N$44),'HR DATA'!$A$68:$AB$102,3,0))</f>
        <v>0</v>
      </c>
      <c r="O80" s="184">
        <f>IF(ISERR(VLOOKUP(VALUE(O$44),'HR DATA'!$A$68:$AB$102,3,0)="TRUE"),0,VLOOKUP(VALUE(O$44),'HR DATA'!$A$68:$AB$102,3,0))</f>
        <v>0</v>
      </c>
      <c r="P80" s="184">
        <f>IF(ISERR(VLOOKUP(VALUE(P$44),'HR DATA'!$A$68:$AB$102,3,0)="TRUE"),0,VLOOKUP(VALUE(P$44),'HR DATA'!$A$68:$AB$102,3,0))</f>
        <v>43.042163461538465</v>
      </c>
      <c r="Q80" s="184">
        <f>IF(ISERR(VLOOKUP(VALUE(Q$44),'HR DATA'!$A$68:$AB$102,3,0)="TRUE"),0,VLOOKUP(VALUE(Q$44),'HR DATA'!$A$68:$AB$102,3,0))</f>
        <v>31.203600961538463</v>
      </c>
      <c r="R80" s="184">
        <f>IF(ISERR(VLOOKUP(VALUE(R$44),'HR DATA'!$A$68:$AB$102,3,0)="TRUE"),0,VLOOKUP(VALUE(R$44),'HR DATA'!$A$68:$AB$102,3,0))</f>
        <v>3.7007451923076924</v>
      </c>
      <c r="S80" s="184">
        <f>IF(ISERR(VLOOKUP(VALUE(S$44),'HR DATA'!$A$68:$AB$102,3,0)="TRUE"),0,VLOOKUP(VALUE(S$44),'HR DATA'!$A$68:$AB$102,3,0))</f>
        <v>2.403846153846154E-3</v>
      </c>
      <c r="T80" s="184">
        <f>IF(ISERR(VLOOKUP(VALUE(T$44),'HR DATA'!$A$68:$AB$102,3,0)="TRUE"),0,VLOOKUP(VALUE(T$44),'HR DATA'!$A$68:$AB$102,3,0))</f>
        <v>0</v>
      </c>
      <c r="U80" s="184">
        <f>IF(ISERR(VLOOKUP(VALUE(U$44),'HR DATA'!$A$68:$AB$102,3,0)="TRUE"),0,VLOOKUP(VALUE(U$44),'HR DATA'!$A$68:$AB$102,3,0))</f>
        <v>0</v>
      </c>
      <c r="V80" s="184">
        <f>IF(ISERR(VLOOKUP(VALUE(V$44),'HR DATA'!$A$68:$AB$102,3,0)="TRUE"),0,VLOOKUP(VALUE(V$44),'HR DATA'!$A$68:$AB$102,3,0))</f>
        <v>0</v>
      </c>
      <c r="W80" s="184">
        <f>IF(ISERR(VLOOKUP(VALUE(W$44),'HR DATA'!$A$68:$AB$102,3,0)="TRUE"),0,VLOOKUP(VALUE(W$44),'HR DATA'!$A$68:$AB$102,3,0))</f>
        <v>0</v>
      </c>
      <c r="X80" s="184">
        <f>IF(ISERR(VLOOKUP(VALUE(X$44),'HR DATA'!$A$68:$AB$102,3,0)="TRUE"),0,VLOOKUP(VALUE(X$44),'HR DATA'!$A$68:$AB$102,3,0))</f>
        <v>0</v>
      </c>
      <c r="Y80" s="184">
        <f>IF(ISERR(VLOOKUP(VALUE(Y$44),'HR DATA'!$A$68:$AB$102,3,0)="TRUE"),0,VLOOKUP(VALUE(Y$44),'HR DATA'!$A$68:$AB$102,3,0))</f>
        <v>19.305326923076922</v>
      </c>
      <c r="Z80" s="184">
        <f>IF(ISERR(VLOOKUP(VALUE(Z$44),'HR DATA'!$A$68:$AB$102,3,0)="TRUE"),0,VLOOKUP(VALUE(Z$44),'HR DATA'!$A$68:$AB$102,3,0))</f>
        <v>2.4004038461538459</v>
      </c>
      <c r="AA80" s="184">
        <f>IF(ISERR(VLOOKUP(VALUE(AA$44),'HR DATA'!$A$68:$AB$102,3,0)="TRUE"),0,VLOOKUP(VALUE(AA$44),'HR DATA'!$A$68:$AB$102,3,0))</f>
        <v>3.8461538461538464E-3</v>
      </c>
      <c r="AB80" s="184">
        <f>IF(ISERR(VLOOKUP(VALUE(AB$44),'HR DATA'!$A$68:$AB$102,3,0)="TRUE"),0,VLOOKUP(VALUE(AB$44),'HR DATA'!$A$68:$AB$102,3,0))</f>
        <v>0</v>
      </c>
      <c r="AC80" s="184">
        <f>IF(ISERR(VLOOKUP(VALUE(AC$44),'HR DATA'!$A$68:$AB$102,3,0)="TRUE"),0,VLOOKUP(VALUE(AC$44),'HR DATA'!$A$68:$AB$102,3,0))</f>
        <v>1.9638653846153846</v>
      </c>
      <c r="AD80" s="184">
        <f>IF(ISERR(VLOOKUP(VALUE(AD$44),'HR DATA'!$A$68:$AB$102,3,0)="TRUE"),0,VLOOKUP(VALUE(AD$44),'HR DATA'!$A$68:$AB$102,3,0))</f>
        <v>0</v>
      </c>
      <c r="AE80" s="184">
        <f>IF(ISERR(VLOOKUP(VALUE(AE$44),'HR DATA'!$A$68:$AB$102,3,0)="TRUE"),0,VLOOKUP(VALUE(AE$44),'HR DATA'!$A$68:$AB$102,3,0))</f>
        <v>6.4009278846153848</v>
      </c>
      <c r="AF80" s="184">
        <f>IF(ISERR(VLOOKUP(VALUE(AF$44),'HR DATA'!$A$68:$AB$102,3,0)="TRUE"),0,VLOOKUP(VALUE(AF$44),'HR DATA'!$A$68:$AB$102,3,0))</f>
        <v>0</v>
      </c>
      <c r="AG80" s="184">
        <f>IF(ISERR(VLOOKUP(VALUE(AG$44),'HR DATA'!$A$68:$AB$102,3,0)="TRUE"),0,VLOOKUP(VALUE(AG$44),'HR DATA'!$A$68:$AB$102,3,0))</f>
        <v>62.653269230769233</v>
      </c>
      <c r="AH80" s="184">
        <f>IF(ISERR(VLOOKUP(VALUE(AH$44),'HR DATA'!$A$68:$AB$102,3,0)="TRUE"),0,VLOOKUP(VALUE(AH$44),'HR DATA'!$A$68:$AB$102,3,0))</f>
        <v>0</v>
      </c>
      <c r="AI80" s="184">
        <f>IF(ISERR(VLOOKUP(VALUE(AI$44),'HR DATA'!$A$68:$AB$102,3,0)="TRUE"),0,VLOOKUP(VALUE(AI$44),'HR DATA'!$A$68:$AB$102,3,0))</f>
        <v>0</v>
      </c>
      <c r="AJ80" s="184">
        <f>IF(ISERR(VLOOKUP(VALUE(AJ$44),'HR DATA'!$A$68:$AB$102,3,0)="TRUE"),0,VLOOKUP(VALUE(AJ$44),'HR DATA'!$A$68:$AB$102,3,0))</f>
        <v>29.26</v>
      </c>
      <c r="AK80" s="184">
        <f>IF(ISERR(VLOOKUP(VALUE(AK$44),'HR DATA'!$A$68:$AB$102,3,0)="TRUE"),0,VLOOKUP(VALUE(AK$44),'HR DATA'!$A$68:$AB$102,3,0))</f>
        <v>0</v>
      </c>
      <c r="AL80" s="184">
        <f>IF(ISERR(VLOOKUP(VALUE(AL$44),'HR DATA'!$A$68:$AB$102,3,0)="TRUE"),0,VLOOKUP(VALUE(AL$44),'HR DATA'!$A$68:$AB$102,3,0))</f>
        <v>0</v>
      </c>
      <c r="AM80" s="184">
        <f>IF(ISERR(VLOOKUP(VALUE(AM$44),'HR DATA'!$A$68:$AB$102,3,0)="TRUE"),0,VLOOKUP(VALUE(AM$44),'HR DATA'!$A$68:$AB$102,3,0))</f>
        <v>0</v>
      </c>
      <c r="AN80" s="184">
        <f>IF(ISERR(VLOOKUP(VALUE(AN$44),'HR DATA'!$A$68:$AB$102,3,0)="TRUE"),0,VLOOKUP(VALUE(AN$44),'HR DATA'!$A$68:$AB$102,3,0))</f>
        <v>0</v>
      </c>
      <c r="AO80" s="184">
        <f>IF(ISERR(VLOOKUP(VALUE(AO$44),'HR DATA'!$A$68:$AB$102,3,0)="TRUE"),0,VLOOKUP(VALUE(AO$44),'HR DATA'!$A$68:$AB$102,3,0))</f>
        <v>0</v>
      </c>
      <c r="AP80" s="184">
        <f>IF(ISERR(VLOOKUP(VALUE(AP$44),'HR DATA'!$A$68:$AB$102,3,0)="TRUE"),0,VLOOKUP(VALUE(AP$44),'HR DATA'!$A$68:$AB$102,3,0))</f>
        <v>32.223875</v>
      </c>
      <c r="AQ80" s="184">
        <f>IF(ISERR(VLOOKUP(VALUE(AQ$44),'HR DATA'!$A$68:$AB$102,3,0)="TRUE"),0,VLOOKUP(VALUE(AQ$44),'HR DATA'!$A$68:$AB$102,3,0))</f>
        <v>0</v>
      </c>
      <c r="AR80" s="184">
        <f>IF(ISERR(VLOOKUP(VALUE(AR$44),'HR DATA'!$A$68:$AB$102,3,0)="TRUE"),0,VLOOKUP(VALUE(AR$44),'HR DATA'!$A$68:$AB$102,3,0))</f>
        <v>0</v>
      </c>
      <c r="AS80" s="184">
        <f>IF(ISERR(VLOOKUP(VALUE(AS$44),'HR DATA'!$A$68:$AB$102,3,0)="TRUE"),0,VLOOKUP(VALUE(AS$44),'HR DATA'!$A$68:$AB$102,3,0))</f>
        <v>0</v>
      </c>
      <c r="AT80" s="184">
        <f>IF(ISERR(VLOOKUP(VALUE(AT$44),'HR DATA'!$A$68:$AB$102,3,0)="TRUE"),0,VLOOKUP(VALUE(AT$44),'HR DATA'!$A$68:$AB$102,3,0))</f>
        <v>0</v>
      </c>
      <c r="AU80" s="184">
        <f>IF(ISERR(VLOOKUP(VALUE(AU$44),'HR DATA'!$A$68:$AB$102,3,0)="TRUE"),0,VLOOKUP(VALUE(AU$44),'HR DATA'!$A$68:$AB$102,3,0))</f>
        <v>0</v>
      </c>
      <c r="AV80" s="184">
        <f>IF(ISERR(VLOOKUP(VALUE(AV$44),'HR DATA'!$A$68:$AB$102,3,0)="TRUE"),0,VLOOKUP(VALUE(AV$44),'HR DATA'!$A$68:$AB$102,3,0))</f>
        <v>0.56800480769230766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522.98605288461533</v>
      </c>
      <c r="CF80" s="250"/>
    </row>
    <row r="81" spans="1:5" ht="12.6" customHeight="1">
      <c r="A81" s="206" t="s">
        <v>253</v>
      </c>
      <c r="B81" s="206"/>
      <c r="C81" s="206"/>
      <c r="D81" s="206"/>
      <c r="E81" s="206"/>
    </row>
    <row r="82" spans="1:5" ht="12.6" customHeight="1">
      <c r="A82" s="171" t="s">
        <v>254</v>
      </c>
      <c r="B82" s="172"/>
      <c r="C82" s="276" t="s">
        <v>1267</v>
      </c>
      <c r="D82" s="251"/>
      <c r="E82" s="175"/>
    </row>
    <row r="83" spans="1:5" ht="12.6" customHeight="1">
      <c r="A83" s="173" t="s">
        <v>255</v>
      </c>
      <c r="B83" s="172" t="s">
        <v>256</v>
      </c>
      <c r="C83" s="222" t="s">
        <v>1273</v>
      </c>
      <c r="D83" s="251"/>
      <c r="E83" s="175"/>
    </row>
    <row r="84" spans="1:5" ht="12.6" customHeight="1">
      <c r="A84" s="173" t="s">
        <v>257</v>
      </c>
      <c r="B84" s="172" t="s">
        <v>256</v>
      </c>
      <c r="C84" s="225" t="s">
        <v>1274</v>
      </c>
      <c r="D84" s="203"/>
      <c r="E84" s="202"/>
    </row>
    <row r="85" spans="1:5" ht="12.6" customHeight="1">
      <c r="A85" s="173" t="s">
        <v>1251</v>
      </c>
      <c r="B85" s="172"/>
      <c r="C85" s="265" t="s">
        <v>1275</v>
      </c>
      <c r="D85" s="203"/>
      <c r="E85" s="202"/>
    </row>
    <row r="86" spans="1:5" ht="12.6" customHeight="1">
      <c r="A86" s="173" t="s">
        <v>1252</v>
      </c>
      <c r="B86" s="172" t="s">
        <v>256</v>
      </c>
      <c r="C86" s="226" t="s">
        <v>1275</v>
      </c>
      <c r="D86" s="203"/>
      <c r="E86" s="202"/>
    </row>
    <row r="87" spans="1:5" ht="12.6" customHeight="1">
      <c r="A87" s="173" t="s">
        <v>258</v>
      </c>
      <c r="B87" s="172" t="s">
        <v>256</v>
      </c>
      <c r="C87" s="225" t="s">
        <v>1276</v>
      </c>
      <c r="D87" s="203"/>
      <c r="E87" s="202"/>
    </row>
    <row r="88" spans="1:5" ht="12.6" customHeight="1">
      <c r="A88" s="173" t="s">
        <v>259</v>
      </c>
      <c r="B88" s="172" t="s">
        <v>256</v>
      </c>
      <c r="C88" s="225" t="s">
        <v>1277</v>
      </c>
      <c r="D88" s="203"/>
      <c r="E88" s="202"/>
    </row>
    <row r="89" spans="1:5" ht="12.6" customHeight="1">
      <c r="A89" s="173" t="s">
        <v>260</v>
      </c>
      <c r="B89" s="172" t="s">
        <v>256</v>
      </c>
      <c r="C89" s="222" t="s">
        <v>1268</v>
      </c>
      <c r="D89" s="203"/>
      <c r="E89" s="202"/>
    </row>
    <row r="90" spans="1:5" ht="12.6" customHeight="1">
      <c r="A90" s="173" t="s">
        <v>261</v>
      </c>
      <c r="B90" s="172" t="s">
        <v>256</v>
      </c>
      <c r="C90" s="222" t="s">
        <v>1269</v>
      </c>
      <c r="D90" s="203"/>
      <c r="E90" s="202"/>
    </row>
    <row r="91" spans="1:5" ht="12.6" customHeight="1">
      <c r="A91" s="173" t="s">
        <v>262</v>
      </c>
      <c r="B91" s="172" t="s">
        <v>256</v>
      </c>
      <c r="C91" s="222" t="s">
        <v>1270</v>
      </c>
      <c r="D91" s="203"/>
      <c r="E91" s="202"/>
    </row>
    <row r="92" spans="1:5" ht="12.6" customHeight="1">
      <c r="A92" s="173" t="s">
        <v>263</v>
      </c>
      <c r="B92" s="172" t="s">
        <v>256</v>
      </c>
      <c r="C92" s="222" t="s">
        <v>1271</v>
      </c>
      <c r="D92" s="251"/>
      <c r="E92" s="175"/>
    </row>
    <row r="93" spans="1:5" ht="12.6" customHeight="1">
      <c r="A93" s="173" t="s">
        <v>264</v>
      </c>
      <c r="B93" s="172" t="s">
        <v>256</v>
      </c>
      <c r="C93" s="222" t="s">
        <v>1272</v>
      </c>
      <c r="D93" s="251"/>
      <c r="E93" s="175"/>
    </row>
    <row r="94" spans="1:5" ht="12.6" customHeight="1">
      <c r="A94" s="173"/>
      <c r="B94" s="173"/>
      <c r="C94" s="189"/>
      <c r="D94" s="175"/>
      <c r="E94" s="175"/>
    </row>
    <row r="95" spans="1:5" ht="12.6" customHeight="1">
      <c r="A95" s="206" t="s">
        <v>265</v>
      </c>
      <c r="B95" s="206"/>
      <c r="C95" s="206"/>
      <c r="D95" s="206"/>
      <c r="E95" s="206"/>
    </row>
    <row r="96" spans="1:5" ht="12.6" customHeight="1">
      <c r="A96" s="252" t="s">
        <v>266</v>
      </c>
      <c r="B96" s="252"/>
      <c r="C96" s="252"/>
      <c r="D96" s="252"/>
      <c r="E96" s="252"/>
    </row>
    <row r="97" spans="1:5" ht="12.6" customHeight="1">
      <c r="A97" s="173" t="s">
        <v>267</v>
      </c>
      <c r="B97" s="172" t="s">
        <v>256</v>
      </c>
      <c r="C97" s="187"/>
      <c r="D97" s="175"/>
      <c r="E97" s="175"/>
    </row>
    <row r="98" spans="1:5" ht="12.6" customHeight="1">
      <c r="A98" s="173" t="s">
        <v>259</v>
      </c>
      <c r="B98" s="172" t="s">
        <v>256</v>
      </c>
      <c r="C98" s="187"/>
      <c r="D98" s="175"/>
      <c r="E98" s="175"/>
    </row>
    <row r="99" spans="1:5" ht="12.6" customHeight="1">
      <c r="A99" s="173" t="s">
        <v>268</v>
      </c>
      <c r="B99" s="172" t="s">
        <v>256</v>
      </c>
      <c r="C99" s="187"/>
      <c r="D99" s="175"/>
      <c r="E99" s="175"/>
    </row>
    <row r="100" spans="1:5" ht="12.6" customHeight="1">
      <c r="A100" s="252" t="s">
        <v>269</v>
      </c>
      <c r="B100" s="252"/>
      <c r="C100" s="252"/>
      <c r="D100" s="252"/>
      <c r="E100" s="252"/>
    </row>
    <row r="101" spans="1:5" ht="12.6" customHeight="1">
      <c r="A101" s="173" t="s">
        <v>270</v>
      </c>
      <c r="B101" s="172" t="s">
        <v>256</v>
      </c>
      <c r="C101" s="219">
        <v>1</v>
      </c>
      <c r="D101" s="175"/>
      <c r="E101" s="175"/>
    </row>
    <row r="102" spans="1:5" ht="12.6" customHeight="1">
      <c r="A102" s="173" t="s">
        <v>132</v>
      </c>
      <c r="B102" s="172" t="s">
        <v>256</v>
      </c>
      <c r="C102" s="219"/>
      <c r="D102" s="175"/>
      <c r="E102" s="175"/>
    </row>
    <row r="103" spans="1:5" ht="12.6" customHeight="1">
      <c r="A103" s="252" t="s">
        <v>271</v>
      </c>
      <c r="B103" s="252"/>
      <c r="C103" s="252"/>
      <c r="D103" s="252"/>
      <c r="E103" s="252"/>
    </row>
    <row r="104" spans="1:5" ht="12.6" customHeight="1">
      <c r="A104" s="173" t="s">
        <v>272</v>
      </c>
      <c r="B104" s="172" t="s">
        <v>256</v>
      </c>
      <c r="C104" s="187"/>
      <c r="D104" s="175"/>
      <c r="E104" s="175"/>
    </row>
    <row r="105" spans="1:5" ht="12.6" customHeight="1">
      <c r="A105" s="173" t="s">
        <v>273</v>
      </c>
      <c r="B105" s="172" t="s">
        <v>256</v>
      </c>
      <c r="C105" s="187"/>
      <c r="D105" s="175"/>
      <c r="E105" s="175"/>
    </row>
    <row r="106" spans="1:5" ht="12.6" customHeight="1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>
      <c r="A107" s="173"/>
      <c r="B107" s="172"/>
      <c r="C107" s="188"/>
      <c r="D107" s="175"/>
      <c r="E107" s="175"/>
    </row>
    <row r="108" spans="1:5" ht="13.5" customHeight="1">
      <c r="A108" s="205" t="s">
        <v>275</v>
      </c>
      <c r="B108" s="206"/>
      <c r="C108" s="206"/>
      <c r="D108" s="206"/>
      <c r="E108" s="206"/>
    </row>
    <row r="109" spans="1:5" ht="13.5" customHeight="1">
      <c r="A109" s="173"/>
      <c r="B109" s="172"/>
      <c r="C109" s="188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7">
        <v>13385</v>
      </c>
      <c r="D111" s="174">
        <v>61575</v>
      </c>
      <c r="E111" s="175"/>
    </row>
    <row r="112" spans="1:5" ht="12.6" customHeight="1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>
      <c r="A114" s="173" t="s">
        <v>281</v>
      </c>
      <c r="B114" s="172" t="s">
        <v>256</v>
      </c>
      <c r="C114" s="187">
        <v>1972</v>
      </c>
      <c r="D114" s="174">
        <v>3964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7">
        <v>20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7">
        <v>56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7">
        <v>192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7">
        <v>20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>
      <c r="A124" s="173" t="s">
        <v>289</v>
      </c>
      <c r="B124" s="172"/>
      <c r="C124" s="187">
        <v>0</v>
      </c>
      <c r="D124" s="175"/>
      <c r="E124" s="175"/>
    </row>
    <row r="125" spans="1:5" ht="12.6" customHeight="1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>
      <c r="A126" s="173" t="s">
        <v>290</v>
      </c>
      <c r="B126" s="172" t="s">
        <v>256</v>
      </c>
      <c r="C126" s="187">
        <v>10</v>
      </c>
      <c r="D126" s="175"/>
      <c r="E126" s="175"/>
    </row>
    <row r="127" spans="1:5" ht="12.6" customHeight="1">
      <c r="A127" s="173" t="s">
        <v>291</v>
      </c>
      <c r="B127" s="175"/>
      <c r="C127" s="189"/>
      <c r="D127" s="175"/>
      <c r="E127" s="175">
        <f>SUM(C116:C126)</f>
        <v>298</v>
      </c>
    </row>
    <row r="128" spans="1:5" ht="12.6" customHeight="1">
      <c r="A128" s="173" t="s">
        <v>292</v>
      </c>
      <c r="B128" s="172" t="s">
        <v>256</v>
      </c>
      <c r="C128" s="187">
        <v>336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7">
        <v>22</v>
      </c>
      <c r="D129" s="175"/>
      <c r="E129" s="175"/>
    </row>
    <row r="130" spans="1:6" ht="12.6" customHeight="1">
      <c r="A130" s="173"/>
      <c r="B130" s="175"/>
      <c r="C130" s="189"/>
      <c r="D130" s="175"/>
      <c r="E130" s="175"/>
    </row>
    <row r="131" spans="1:6" ht="12.6" customHeight="1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>
      <c r="A132" s="173"/>
      <c r="B132" s="173"/>
      <c r="C132" s="189"/>
      <c r="D132" s="175"/>
      <c r="E132" s="175"/>
    </row>
    <row r="133" spans="1:6" ht="12.6" customHeight="1">
      <c r="A133" s="173"/>
      <c r="B133" s="173"/>
      <c r="C133" s="189"/>
      <c r="D133" s="175"/>
      <c r="E133" s="175"/>
    </row>
    <row r="134" spans="1:6" ht="12.6" customHeight="1">
      <c r="A134" s="173"/>
      <c r="B134" s="173"/>
      <c r="C134" s="189"/>
      <c r="D134" s="175"/>
      <c r="E134" s="175"/>
    </row>
    <row r="135" spans="1:6" ht="18" customHeight="1">
      <c r="A135" s="173"/>
      <c r="B135" s="173"/>
      <c r="C135" s="189"/>
      <c r="D135" s="175"/>
      <c r="E135" s="175"/>
    </row>
    <row r="136" spans="1:6" ht="12.6" customHeight="1">
      <c r="A136" s="206" t="s">
        <v>1240</v>
      </c>
      <c r="B136" s="205"/>
      <c r="C136" s="205"/>
      <c r="D136" s="205"/>
      <c r="E136" s="205"/>
    </row>
    <row r="137" spans="1:6" ht="12.6" customHeight="1">
      <c r="A137" s="253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f>5913+1357+2</f>
        <v>7272</v>
      </c>
      <c r="C138" s="187">
        <f>323+2013+4</f>
        <v>2340</v>
      </c>
      <c r="D138" s="174">
        <f>2858+12+742+122+39</f>
        <v>3773</v>
      </c>
      <c r="E138" s="175">
        <f>SUM(B138:D138)</f>
        <v>13385</v>
      </c>
    </row>
    <row r="139" spans="1:6" ht="12.6" customHeight="1">
      <c r="A139" s="173" t="s">
        <v>215</v>
      </c>
      <c r="B139" s="174">
        <f>30288+7643</f>
        <v>37931</v>
      </c>
      <c r="C139" s="187">
        <f>1555+8901+12</f>
        <v>10468</v>
      </c>
      <c r="D139" s="174">
        <f>9823+33+2720+443+157</f>
        <v>13176</v>
      </c>
      <c r="E139" s="175">
        <f>SUM(B139:D139)</f>
        <v>61575</v>
      </c>
    </row>
    <row r="140" spans="1:6" ht="12.6" customHeight="1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>
      <c r="A141" s="173" t="s">
        <v>245</v>
      </c>
      <c r="B141" s="174">
        <v>650822579.09000003</v>
      </c>
      <c r="C141" s="187">
        <v>160319185.94999999</v>
      </c>
      <c r="D141" s="174">
        <f>10654171.65+62388155.93+105832351.07+7022045.85+55635597</f>
        <v>241532321.49999997</v>
      </c>
      <c r="E141" s="175">
        <f>SUM(B141:D141)</f>
        <v>1052674086.54</v>
      </c>
      <c r="F141" s="197"/>
    </row>
    <row r="142" spans="1:6" ht="12.6" customHeight="1">
      <c r="A142" s="173" t="s">
        <v>246</v>
      </c>
      <c r="B142" s="174">
        <f>624221807.34+1518508.07+106515073.19</f>
        <v>732255388.60000014</v>
      </c>
      <c r="C142" s="187">
        <f>238483878.92+282761.18+27771599.67</f>
        <v>266538239.76999998</v>
      </c>
      <c r="D142" s="174">
        <f>27409308.34+130167991.59+215429511.42+20032873.35+117642963.91+29145.42+129837.53+413658.87+18146.86+185653.3+4467515.09+19396210.66+63585428.12+4850995.53+23348377.42</f>
        <v>627107617.40999997</v>
      </c>
      <c r="E142" s="175">
        <f>SUM(B142:D142)</f>
        <v>1625901245.7800002</v>
      </c>
      <c r="F142" s="197"/>
    </row>
    <row r="143" spans="1:6" ht="12.6" customHeight="1">
      <c r="A143" s="253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>
      <c r="A149" s="253" t="s">
        <v>300</v>
      </c>
      <c r="B149" s="176"/>
      <c r="C149" s="190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>
        <v>0</v>
      </c>
      <c r="C150" s="187">
        <v>0</v>
      </c>
      <c r="D150" s="174">
        <v>0</v>
      </c>
      <c r="E150" s="175">
        <f t="shared" ref="E150:E155" si="10">SUM(B150:D150)</f>
        <v>0</v>
      </c>
    </row>
    <row r="151" spans="1:5" ht="12.6" customHeight="1">
      <c r="A151" s="173" t="s">
        <v>215</v>
      </c>
      <c r="B151" s="174">
        <v>0</v>
      </c>
      <c r="C151" s="187">
        <v>0</v>
      </c>
      <c r="D151" s="174">
        <v>0</v>
      </c>
      <c r="E151" s="175">
        <f t="shared" si="10"/>
        <v>0</v>
      </c>
    </row>
    <row r="152" spans="1:5" ht="12.6" customHeight="1">
      <c r="A152" s="173" t="s">
        <v>298</v>
      </c>
      <c r="B152" s="174">
        <v>0</v>
      </c>
      <c r="C152" s="187">
        <v>0</v>
      </c>
      <c r="D152" s="174">
        <v>0</v>
      </c>
      <c r="E152" s="175">
        <f t="shared" si="10"/>
        <v>0</v>
      </c>
    </row>
    <row r="153" spans="1:5" ht="12.6" customHeight="1">
      <c r="A153" s="173" t="s">
        <v>245</v>
      </c>
      <c r="B153" s="174">
        <v>0</v>
      </c>
      <c r="C153" s="187">
        <v>0</v>
      </c>
      <c r="D153" s="174">
        <v>0</v>
      </c>
      <c r="E153" s="175">
        <f t="shared" si="10"/>
        <v>0</v>
      </c>
    </row>
    <row r="154" spans="1:5" ht="12.6" customHeight="1">
      <c r="A154" s="173" t="s">
        <v>246</v>
      </c>
      <c r="B154" s="174">
        <v>0</v>
      </c>
      <c r="C154" s="187">
        <v>0</v>
      </c>
      <c r="D154" s="174">
        <v>0</v>
      </c>
      <c r="E154" s="175">
        <f t="shared" si="10"/>
        <v>0</v>
      </c>
    </row>
    <row r="155" spans="1:5" ht="12.6" customHeight="1">
      <c r="A155" s="177"/>
      <c r="B155" s="177"/>
      <c r="C155" s="191"/>
      <c r="D155" s="178"/>
      <c r="E155" s="175">
        <f t="shared" si="10"/>
        <v>0</v>
      </c>
    </row>
    <row r="156" spans="1:5" ht="12.6" customHeight="1">
      <c r="A156" s="253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>
      <c r="A157" s="177" t="s">
        <v>304</v>
      </c>
      <c r="B157" s="174">
        <v>4022206</v>
      </c>
      <c r="C157" s="174">
        <v>2416330</v>
      </c>
      <c r="D157" s="175"/>
      <c r="E157" s="175"/>
    </row>
    <row r="158" spans="1:5" ht="12.6" customHeight="1">
      <c r="A158" s="177"/>
      <c r="B158" s="178"/>
      <c r="C158" s="191"/>
      <c r="D158" s="175"/>
      <c r="E158" s="175"/>
    </row>
    <row r="159" spans="1:5" ht="12.6" customHeight="1">
      <c r="A159" s="177"/>
      <c r="B159" s="177"/>
      <c r="C159" s="191"/>
      <c r="D159" s="178"/>
      <c r="E159" s="175"/>
    </row>
    <row r="160" spans="1:5" ht="12.6" customHeight="1">
      <c r="A160" s="177"/>
      <c r="B160" s="177"/>
      <c r="C160" s="191"/>
      <c r="D160" s="178"/>
      <c r="E160" s="175"/>
    </row>
    <row r="161" spans="1:5" ht="12.6" customHeight="1">
      <c r="A161" s="177"/>
      <c r="B161" s="177"/>
      <c r="C161" s="191"/>
      <c r="D161" s="178"/>
      <c r="E161" s="175"/>
    </row>
    <row r="162" spans="1:5" ht="21.75" customHeight="1">
      <c r="A162" s="177"/>
      <c r="B162" s="177"/>
      <c r="C162" s="191"/>
      <c r="D162" s="178"/>
      <c r="E162" s="175"/>
    </row>
    <row r="163" spans="1:5" ht="11.4" customHeight="1">
      <c r="A163" s="205" t="s">
        <v>305</v>
      </c>
      <c r="B163" s="206"/>
      <c r="C163" s="206"/>
      <c r="D163" s="206"/>
      <c r="E163" s="206"/>
    </row>
    <row r="164" spans="1:5" ht="11.4" customHeight="1">
      <c r="A164" s="252" t="s">
        <v>306</v>
      </c>
      <c r="B164" s="252"/>
      <c r="C164" s="252"/>
      <c r="D164" s="252"/>
      <c r="E164" s="252"/>
    </row>
    <row r="165" spans="1:5" ht="11.4" customHeight="1">
      <c r="A165" s="173" t="s">
        <v>307</v>
      </c>
      <c r="B165" s="172" t="s">
        <v>256</v>
      </c>
      <c r="C165" s="187">
        <f>9447897.16+2830148.91</f>
        <v>12278046.07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7">
        <f>125893.84+46202</f>
        <v>172095.84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187">
        <f>1521460.44-156585.15+110577</f>
        <v>1475452.29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187">
        <f>973.96+17634044.02-1939509.42+54.25+727322.72-275047.03+1.79+119151.23-118721.34+287487.76+4276866</f>
        <v>20712623.940000001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7">
        <f>220415.63-154718.69+53501</f>
        <v>119197.94</v>
      </c>
      <c r="D169" s="175"/>
      <c r="E169" s="175"/>
    </row>
    <row r="170" spans="1:5" ht="11.4" customHeight="1">
      <c r="A170" s="173" t="s">
        <v>312</v>
      </c>
      <c r="B170" s="172" t="s">
        <v>256</v>
      </c>
      <c r="C170" s="187">
        <f>3795779.55-2524616.04+2898543.97-359866.05+2192674</f>
        <v>6002515.4299999997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187">
        <f>106607.5-12142.66+47213.89+11503.31+63271.73+20000+10014.67+66600.84+1542.15+545112</f>
        <v>859723.43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>
      <c r="A173" s="173" t="s">
        <v>203</v>
      </c>
      <c r="B173" s="175"/>
      <c r="C173" s="189"/>
      <c r="D173" s="175">
        <f>SUM(C165:C172)</f>
        <v>41619654.939999998</v>
      </c>
      <c r="E173" s="175"/>
    </row>
    <row r="174" spans="1:5" ht="11.4" customHeight="1">
      <c r="A174" s="252" t="s">
        <v>314</v>
      </c>
      <c r="B174" s="252"/>
      <c r="C174" s="252"/>
      <c r="D174" s="252"/>
      <c r="E174" s="252"/>
    </row>
    <row r="175" spans="1:5" ht="11.4" customHeight="1">
      <c r="A175" s="173" t="s">
        <v>315</v>
      </c>
      <c r="B175" s="172" t="s">
        <v>256</v>
      </c>
      <c r="C175" s="187">
        <f>7323288.58+2212789.14+988038.39</f>
        <v>10524116.110000001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7">
        <f>2070325.91+623515.8+0</f>
        <v>2693841.71</v>
      </c>
      <c r="D176" s="175"/>
      <c r="E176" s="175"/>
    </row>
    <row r="177" spans="1:5" ht="11.4" customHeight="1">
      <c r="A177" s="173" t="s">
        <v>203</v>
      </c>
      <c r="B177" s="175"/>
      <c r="C177" s="189"/>
      <c r="D177" s="175">
        <f>SUM(C175:C176)</f>
        <v>13217957.82</v>
      </c>
      <c r="E177" s="175"/>
    </row>
    <row r="178" spans="1:5" ht="11.4" customHeight="1">
      <c r="A178" s="252" t="s">
        <v>317</v>
      </c>
      <c r="B178" s="252"/>
      <c r="C178" s="252"/>
      <c r="D178" s="252"/>
      <c r="E178" s="252"/>
    </row>
    <row r="179" spans="1:5" ht="11.4" customHeight="1">
      <c r="A179" s="173" t="s">
        <v>318</v>
      </c>
      <c r="B179" s="172" t="s">
        <v>256</v>
      </c>
      <c r="C179" s="187">
        <f>3815760.88+902793.23</f>
        <v>4718554.1099999994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7">
        <f>971379.82-136271.75+8014.85</f>
        <v>843122.91999999993</v>
      </c>
      <c r="D180" s="175"/>
      <c r="E180" s="175"/>
    </row>
    <row r="181" spans="1:5" ht="11.4" customHeight="1">
      <c r="A181" s="173" t="s">
        <v>203</v>
      </c>
      <c r="B181" s="175"/>
      <c r="C181" s="189"/>
      <c r="D181" s="175">
        <f>SUM(C179:C180)</f>
        <v>5561677.0299999993</v>
      </c>
      <c r="E181" s="175"/>
    </row>
    <row r="182" spans="1:5" ht="11.4" customHeight="1">
      <c r="A182" s="252" t="s">
        <v>320</v>
      </c>
      <c r="B182" s="252"/>
      <c r="C182" s="252"/>
      <c r="D182" s="252"/>
      <c r="E182" s="252"/>
    </row>
    <row r="183" spans="1:5" ht="11.4" customHeight="1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7">
        <v>14935935.68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>
      <c r="A186" s="173" t="s">
        <v>203</v>
      </c>
      <c r="B186" s="175"/>
      <c r="C186" s="189"/>
      <c r="D186" s="175">
        <f>SUM(C183:C185)</f>
        <v>14935935.68</v>
      </c>
      <c r="E186" s="175"/>
    </row>
    <row r="187" spans="1:5" ht="11.4" customHeight="1">
      <c r="A187" s="252" t="s">
        <v>323</v>
      </c>
      <c r="B187" s="252"/>
      <c r="C187" s="252"/>
      <c r="D187" s="252"/>
      <c r="E187" s="252"/>
    </row>
    <row r="188" spans="1:5" ht="11.4" customHeight="1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>
      <c r="A189" s="173" t="s">
        <v>325</v>
      </c>
      <c r="B189" s="172" t="s">
        <v>256</v>
      </c>
      <c r="C189" s="187">
        <v>-5045428.8099999996</v>
      </c>
      <c r="D189" s="175"/>
      <c r="E189" s="175"/>
    </row>
    <row r="190" spans="1:5" ht="11.4" customHeight="1">
      <c r="A190" s="173" t="s">
        <v>203</v>
      </c>
      <c r="B190" s="175"/>
      <c r="C190" s="189"/>
      <c r="D190" s="175">
        <f>SUM(C188:C189)</f>
        <v>-5045428.8099999996</v>
      </c>
      <c r="E190" s="175"/>
    </row>
    <row r="191" spans="1:5" ht="18" customHeight="1">
      <c r="A191" s="173"/>
      <c r="B191" s="175"/>
      <c r="C191" s="189"/>
      <c r="D191" s="175"/>
      <c r="E191" s="175"/>
    </row>
    <row r="192" spans="1:5" ht="12.6" customHeight="1">
      <c r="A192" s="206" t="s">
        <v>326</v>
      </c>
      <c r="B192" s="206"/>
      <c r="C192" s="206"/>
      <c r="D192" s="206"/>
      <c r="E192" s="206"/>
    </row>
    <row r="193" spans="1:8" ht="12.6" customHeight="1">
      <c r="A193" s="205" t="s">
        <v>327</v>
      </c>
      <c r="B193" s="206"/>
      <c r="C193" s="206"/>
      <c r="D193" s="206"/>
      <c r="E193" s="206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10245719</v>
      </c>
      <c r="C195" s="187">
        <v>0</v>
      </c>
      <c r="D195" s="174">
        <v>0</v>
      </c>
      <c r="E195" s="175">
        <f t="shared" ref="E195:E203" si="11">SUM(B195:C195)-D195</f>
        <v>10245719</v>
      </c>
    </row>
    <row r="196" spans="1:8" ht="12.6" customHeight="1">
      <c r="A196" s="173" t="s">
        <v>333</v>
      </c>
      <c r="B196" s="174">
        <v>2319119</v>
      </c>
      <c r="C196" s="187">
        <v>0</v>
      </c>
      <c r="D196" s="174">
        <v>0</v>
      </c>
      <c r="E196" s="175">
        <f t="shared" si="11"/>
        <v>2319119</v>
      </c>
    </row>
    <row r="197" spans="1:8" ht="12.6" customHeight="1">
      <c r="A197" s="173" t="s">
        <v>334</v>
      </c>
      <c r="B197" s="174">
        <v>99727204</v>
      </c>
      <c r="C197" s="187">
        <v>0</v>
      </c>
      <c r="D197" s="174">
        <v>0</v>
      </c>
      <c r="E197" s="175">
        <f t="shared" si="11"/>
        <v>99727204</v>
      </c>
    </row>
    <row r="198" spans="1:8" ht="12.6" customHeight="1">
      <c r="A198" s="173" t="s">
        <v>335</v>
      </c>
      <c r="B198" s="174">
        <f>14335837+146024.77</f>
        <v>14481861.77</v>
      </c>
      <c r="C198" s="187">
        <v>947224.6</v>
      </c>
      <c r="D198" s="174">
        <v>0</v>
      </c>
      <c r="E198" s="175">
        <f t="shared" si="11"/>
        <v>15429086.369999999</v>
      </c>
    </row>
    <row r="199" spans="1:8" ht="12.6" customHeight="1">
      <c r="A199" s="173" t="s">
        <v>336</v>
      </c>
      <c r="B199" s="174">
        <f>4503445+716417.55</f>
        <v>5219862.55</v>
      </c>
      <c r="C199" s="187">
        <f>64003.78</f>
        <v>64003.78</v>
      </c>
      <c r="D199" s="174">
        <v>0</v>
      </c>
      <c r="E199" s="175">
        <f t="shared" si="11"/>
        <v>5283866.33</v>
      </c>
    </row>
    <row r="200" spans="1:8" ht="12.6" customHeight="1">
      <c r="A200" s="173" t="s">
        <v>337</v>
      </c>
      <c r="B200" s="174">
        <f>114493343+35961241.73</f>
        <v>150454584.72999999</v>
      </c>
      <c r="C200" s="187">
        <f>5866322.84+1651042.28</f>
        <v>7517365.1200000001</v>
      </c>
      <c r="D200" s="174">
        <f>108749+66843.31+147702.62</f>
        <v>323294.93</v>
      </c>
      <c r="E200" s="175">
        <f t="shared" si="11"/>
        <v>157648654.91999999</v>
      </c>
    </row>
    <row r="201" spans="1:8" ht="12.6" customHeight="1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1"/>
        <v>0</v>
      </c>
    </row>
    <row r="202" spans="1:8" ht="12.6" customHeight="1">
      <c r="A202" s="173" t="s">
        <v>339</v>
      </c>
      <c r="B202" s="174">
        <f>13194159+17957701.71</f>
        <v>31151860.710000001</v>
      </c>
      <c r="C202" s="187">
        <f>56142.77+2325868.36</f>
        <v>2382011.13</v>
      </c>
      <c r="D202" s="174">
        <f>+-5628.4+28731.15</f>
        <v>23102.75</v>
      </c>
      <c r="E202" s="175">
        <f t="shared" si="11"/>
        <v>33510769.09</v>
      </c>
    </row>
    <row r="203" spans="1:8" ht="12.6" customHeight="1">
      <c r="A203" s="173" t="s">
        <v>340</v>
      </c>
      <c r="B203" s="174">
        <f>136158316+3175981.24+224887.69</f>
        <v>139559184.93000001</v>
      </c>
      <c r="C203" s="187">
        <f>149385052.54-2957931.43-142630.44-5922718.68</f>
        <v>140361771.98999998</v>
      </c>
      <c r="D203" s="174">
        <v>0</v>
      </c>
      <c r="E203" s="175">
        <f t="shared" si="11"/>
        <v>279920956.91999996</v>
      </c>
    </row>
    <row r="204" spans="1:8" ht="12.6" customHeight="1">
      <c r="A204" s="173" t="s">
        <v>203</v>
      </c>
      <c r="B204" s="175">
        <f>SUM(B195:B203)</f>
        <v>453159396.68999994</v>
      </c>
      <c r="C204" s="189">
        <f>SUM(C195:C203)</f>
        <v>151272376.61999997</v>
      </c>
      <c r="D204" s="175">
        <f>SUM(D195:D203)</f>
        <v>346397.68</v>
      </c>
      <c r="E204" s="175">
        <f>SUM(E195:E203)</f>
        <v>604085375.62999988</v>
      </c>
    </row>
    <row r="205" spans="1:8" ht="12.6" customHeight="1">
      <c r="A205" s="173"/>
      <c r="B205" s="173"/>
      <c r="C205" s="189"/>
      <c r="D205" s="175"/>
      <c r="E205" s="175"/>
    </row>
    <row r="206" spans="1:8" ht="12.6" customHeight="1">
      <c r="A206" s="205" t="s">
        <v>341</v>
      </c>
      <c r="B206" s="205"/>
      <c r="C206" s="205"/>
      <c r="D206" s="205"/>
      <c r="E206" s="205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>
      <c r="A208" s="173" t="s">
        <v>332</v>
      </c>
      <c r="B208" s="178"/>
      <c r="C208" s="191"/>
      <c r="D208" s="178"/>
      <c r="E208" s="175"/>
      <c r="H208" s="254"/>
    </row>
    <row r="209" spans="1:8" ht="12.6" customHeight="1">
      <c r="A209" s="173" t="s">
        <v>333</v>
      </c>
      <c r="B209" s="174">
        <v>424527</v>
      </c>
      <c r="C209" s="187">
        <f>83038.88+71400</f>
        <v>154438.88</v>
      </c>
      <c r="D209" s="174">
        <v>0</v>
      </c>
      <c r="E209" s="175">
        <f t="shared" ref="E209:E216" si="12">SUM(B209:C209)-D209</f>
        <v>578965.88</v>
      </c>
      <c r="H209" s="254"/>
    </row>
    <row r="210" spans="1:8" ht="12.6" customHeight="1">
      <c r="A210" s="173" t="s">
        <v>334</v>
      </c>
      <c r="B210" s="174">
        <v>31193841</v>
      </c>
      <c r="C210" s="187">
        <f>3821404.01+16701276</f>
        <v>20522680.009999998</v>
      </c>
      <c r="D210" s="174">
        <v>0</v>
      </c>
      <c r="E210" s="175">
        <f t="shared" si="12"/>
        <v>51716521.009999998</v>
      </c>
      <c r="H210" s="254"/>
    </row>
    <row r="211" spans="1:8" ht="12.6" customHeight="1">
      <c r="A211" s="173" t="s">
        <v>335</v>
      </c>
      <c r="B211" s="174">
        <f>3698196+23724.25</f>
        <v>3721920.25</v>
      </c>
      <c r="C211" s="187">
        <f>641578.33+235788+108936.01</f>
        <v>986302.34</v>
      </c>
      <c r="D211" s="174">
        <v>0</v>
      </c>
      <c r="E211" s="175">
        <f t="shared" si="12"/>
        <v>4708222.59</v>
      </c>
      <c r="H211" s="254"/>
    </row>
    <row r="212" spans="1:8" ht="12.6" customHeight="1">
      <c r="A212" s="173" t="s">
        <v>336</v>
      </c>
      <c r="B212" s="174">
        <f>2204483+407964.41</f>
        <v>2612447.41</v>
      </c>
      <c r="C212" s="187">
        <f>463367.13+359064+75274.06</f>
        <v>897705.19</v>
      </c>
      <c r="D212" s="174">
        <v>0</v>
      </c>
      <c r="E212" s="175">
        <f t="shared" si="12"/>
        <v>3510152.6</v>
      </c>
      <c r="H212" s="254"/>
    </row>
    <row r="213" spans="1:8" ht="12.6" customHeight="1">
      <c r="A213" s="173" t="s">
        <v>337</v>
      </c>
      <c r="B213" s="174">
        <f>73966478+20458359.18</f>
        <v>94424837.180000007</v>
      </c>
      <c r="C213" s="187">
        <f>13319981.82+2574848+3613836.73+1075462</f>
        <v>20584128.550000001</v>
      </c>
      <c r="D213" s="174">
        <f>308356.33+66843.31+1075462</f>
        <v>1450661.6400000001</v>
      </c>
      <c r="E213" s="175">
        <f t="shared" si="12"/>
        <v>113558304.09</v>
      </c>
      <c r="H213" s="254"/>
    </row>
    <row r="214" spans="1:8" ht="12.6" customHeight="1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2"/>
        <v>0</v>
      </c>
      <c r="H214" s="254"/>
    </row>
    <row r="215" spans="1:8" ht="12.6" customHeight="1">
      <c r="A215" s="173" t="s">
        <v>339</v>
      </c>
      <c r="B215" s="174">
        <f>7975717+8974741.56</f>
        <v>16950458.560000002</v>
      </c>
      <c r="C215" s="187">
        <f>1070842.04+2020369.91</f>
        <v>3091211.95</v>
      </c>
      <c r="D215" s="174">
        <v>0</v>
      </c>
      <c r="E215" s="175">
        <f t="shared" si="12"/>
        <v>20041670.510000002</v>
      </c>
      <c r="H215" s="254"/>
    </row>
    <row r="216" spans="1:8" ht="12.6" customHeight="1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2"/>
        <v>0</v>
      </c>
      <c r="H216" s="254"/>
    </row>
    <row r="217" spans="1:8" ht="12.6" customHeight="1">
      <c r="A217" s="173" t="s">
        <v>203</v>
      </c>
      <c r="B217" s="175">
        <f>SUM(B208:B216)</f>
        <v>149328031.40000001</v>
      </c>
      <c r="C217" s="189">
        <f>SUM(C208:C216)</f>
        <v>46236466.920000002</v>
      </c>
      <c r="D217" s="175">
        <f>SUM(D208:D216)</f>
        <v>1450661.6400000001</v>
      </c>
      <c r="E217" s="175">
        <f>SUM(E208:E216)</f>
        <v>194113836.68000001</v>
      </c>
    </row>
    <row r="218" spans="1:8" ht="21.75" customHeight="1">
      <c r="A218" s="173"/>
      <c r="B218" s="175"/>
      <c r="C218" s="189"/>
      <c r="D218" s="175"/>
      <c r="E218" s="175"/>
    </row>
    <row r="219" spans="1:8" ht="12.6" customHeight="1">
      <c r="A219" s="206" t="s">
        <v>342</v>
      </c>
      <c r="B219" s="206"/>
      <c r="C219" s="206"/>
      <c r="D219" s="206"/>
      <c r="E219" s="206"/>
    </row>
    <row r="220" spans="1:8" ht="12.6" customHeight="1">
      <c r="A220" s="206"/>
      <c r="B220" s="339" t="s">
        <v>1255</v>
      </c>
      <c r="C220" s="339"/>
      <c r="D220" s="206"/>
      <c r="E220" s="206"/>
    </row>
    <row r="221" spans="1:8" ht="12.6" customHeight="1">
      <c r="A221" s="266" t="s">
        <v>1255</v>
      </c>
      <c r="B221" s="206"/>
      <c r="C221" s="187">
        <v>12497585.57</v>
      </c>
      <c r="D221" s="172">
        <f>C221</f>
        <v>12497585.57</v>
      </c>
      <c r="E221" s="206"/>
    </row>
    <row r="222" spans="1:8" ht="12.6" customHeight="1">
      <c r="A222" s="252" t="s">
        <v>343</v>
      </c>
      <c r="B222" s="252"/>
      <c r="C222" s="252"/>
      <c r="D222" s="252"/>
      <c r="E222" s="252"/>
    </row>
    <row r="223" spans="1:8" ht="12.6" customHeight="1">
      <c r="A223" s="173" t="s">
        <v>344</v>
      </c>
      <c r="B223" s="172" t="s">
        <v>256</v>
      </c>
      <c r="C223" s="187">
        <f>544149162.22-1020606-529011-788350.28+529500196.4+940608.76+72146494.6</f>
        <v>1144398494.7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7">
        <f>137046591.58+93978.52-5008218.7-6240072.21+218132394.29+207863.96+20252094.19</f>
        <v>364484631.63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>
      <c r="A228" s="173" t="s">
        <v>349</v>
      </c>
      <c r="B228" s="172" t="s">
        <v>256</v>
      </c>
      <c r="C228" s="187">
        <f>2692655.82+30805130.25+50815477.46+42841513.42-933650.46+7396183.55+62661705.66+109999948.6+97072234.43+14251.39+63677.9+193418.69+111705.84+2132067.22+8829164.38+29696212.23-720318.92+13142644.65+1</f>
        <v>456814023.1099999</v>
      </c>
      <c r="D228" s="175"/>
      <c r="E228" s="175"/>
    </row>
    <row r="229" spans="1:5" ht="12.6" customHeight="1">
      <c r="A229" s="173" t="s">
        <v>350</v>
      </c>
      <c r="B229" s="175"/>
      <c r="C229" s="189"/>
      <c r="D229" s="175">
        <f>SUM(C223:C228)</f>
        <v>1965697149.4399998</v>
      </c>
      <c r="E229" s="175"/>
    </row>
    <row r="230" spans="1:5" ht="12.6" customHeight="1">
      <c r="A230" s="252" t="s">
        <v>351</v>
      </c>
      <c r="B230" s="252"/>
      <c r="C230" s="252"/>
      <c r="D230" s="252"/>
      <c r="E230" s="252"/>
    </row>
    <row r="231" spans="1:5" ht="12.6" customHeight="1">
      <c r="A231" s="171" t="s">
        <v>352</v>
      </c>
      <c r="B231" s="172" t="s">
        <v>256</v>
      </c>
      <c r="C231" s="187">
        <v>11035</v>
      </c>
      <c r="D231" s="175"/>
      <c r="E231" s="175"/>
    </row>
    <row r="232" spans="1:5" ht="12.6" customHeight="1">
      <c r="A232" s="171"/>
      <c r="B232" s="172"/>
      <c r="C232" s="189"/>
      <c r="D232" s="175"/>
      <c r="E232" s="175"/>
    </row>
    <row r="233" spans="1:5" ht="12.6" customHeight="1">
      <c r="A233" s="171" t="s">
        <v>353</v>
      </c>
      <c r="B233" s="172" t="s">
        <v>256</v>
      </c>
      <c r="C233" s="187">
        <v>4758089.33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7">
        <f>9604579.58+1008186.92</f>
        <v>10612766.5</v>
      </c>
      <c r="D234" s="175"/>
      <c r="E234" s="175"/>
    </row>
    <row r="235" spans="1:5" ht="12.6" customHeight="1">
      <c r="A235" s="173"/>
      <c r="B235" s="175"/>
      <c r="C235" s="189"/>
      <c r="D235" s="175"/>
      <c r="E235" s="175"/>
    </row>
    <row r="236" spans="1:5" ht="12.6" customHeight="1">
      <c r="A236" s="171" t="s">
        <v>355</v>
      </c>
      <c r="B236" s="175"/>
      <c r="C236" s="189"/>
      <c r="D236" s="175">
        <f>SUM(C233:C235)</f>
        <v>15370855.83</v>
      </c>
      <c r="E236" s="175"/>
    </row>
    <row r="237" spans="1:5" ht="12.6" customHeight="1">
      <c r="A237" s="252" t="s">
        <v>356</v>
      </c>
      <c r="B237" s="252"/>
      <c r="C237" s="252"/>
      <c r="D237" s="252"/>
      <c r="E237" s="252"/>
    </row>
    <row r="238" spans="1:5" ht="12.6" customHeight="1">
      <c r="A238" s="173" t="s">
        <v>357</v>
      </c>
      <c r="B238" s="172" t="s">
        <v>256</v>
      </c>
      <c r="C238" s="187">
        <f>2615342.12+10168109.31+30.63+11722.96+440448.53-52842.12</f>
        <v>13182811.430000002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>
      <c r="A240" s="173" t="s">
        <v>358</v>
      </c>
      <c r="B240" s="175"/>
      <c r="C240" s="189"/>
      <c r="D240" s="175">
        <f>SUM(C238:C239)</f>
        <v>13182811.430000002</v>
      </c>
      <c r="E240" s="175"/>
    </row>
    <row r="241" spans="1:5" ht="12.6" customHeight="1">
      <c r="A241" s="173"/>
      <c r="B241" s="175"/>
      <c r="C241" s="189"/>
      <c r="D241" s="175"/>
      <c r="E241" s="175"/>
    </row>
    <row r="242" spans="1:5" ht="12.6" customHeight="1">
      <c r="A242" s="173" t="s">
        <v>359</v>
      </c>
      <c r="B242" s="175"/>
      <c r="C242" s="189"/>
      <c r="D242" s="175">
        <f>D221+D229+D236+D240</f>
        <v>2006748402.2699997</v>
      </c>
      <c r="E242" s="175"/>
    </row>
    <row r="243" spans="1:5" ht="12.6" customHeight="1">
      <c r="A243" s="173"/>
      <c r="B243" s="173"/>
      <c r="C243" s="189"/>
      <c r="D243" s="175"/>
      <c r="E243" s="175"/>
    </row>
    <row r="244" spans="1:5" ht="12.6" customHeight="1">
      <c r="A244" s="173"/>
      <c r="B244" s="173"/>
      <c r="C244" s="189"/>
      <c r="D244" s="175"/>
      <c r="E244" s="175"/>
    </row>
    <row r="245" spans="1:5" ht="12.6" customHeight="1">
      <c r="A245" s="173"/>
      <c r="B245" s="173"/>
      <c r="C245" s="189"/>
      <c r="D245" s="175"/>
      <c r="E245" s="175"/>
    </row>
    <row r="246" spans="1:5" ht="12.6" customHeight="1">
      <c r="A246" s="173"/>
      <c r="B246" s="173"/>
      <c r="C246" s="189"/>
      <c r="D246" s="175"/>
      <c r="E246" s="175"/>
    </row>
    <row r="247" spans="1:5" ht="21.75" customHeight="1">
      <c r="A247" s="173"/>
      <c r="B247" s="173"/>
      <c r="C247" s="189"/>
      <c r="D247" s="175"/>
      <c r="E247" s="175"/>
    </row>
    <row r="248" spans="1:5" ht="12.45" customHeight="1">
      <c r="A248" s="206" t="s">
        <v>360</v>
      </c>
      <c r="B248" s="206"/>
      <c r="C248" s="206"/>
      <c r="D248" s="206"/>
      <c r="E248" s="206"/>
    </row>
    <row r="249" spans="1:5" ht="11.25" customHeight="1">
      <c r="A249" s="252" t="s">
        <v>361</v>
      </c>
      <c r="B249" s="252"/>
      <c r="C249" s="252"/>
      <c r="D249" s="252"/>
      <c r="E249" s="252"/>
    </row>
    <row r="250" spans="1:5" ht="12.45" customHeight="1">
      <c r="A250" s="173" t="s">
        <v>362</v>
      </c>
      <c r="B250" s="172" t="s">
        <v>256</v>
      </c>
      <c r="C250" s="187">
        <f>42231840.35-3748558.85</f>
        <v>38483281.5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>
      <c r="A252" s="173" t="s">
        <v>364</v>
      </c>
      <c r="B252" s="172" t="s">
        <v>256</v>
      </c>
      <c r="C252" s="187">
        <f>291249828.87+33377934.28</f>
        <v>324627763.14999998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7">
        <f>205019507.11+12272919.28+20773499.89</f>
        <v>238065926.28000003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>
      <c r="A255" s="173" t="s">
        <v>366</v>
      </c>
      <c r="B255" s="172" t="s">
        <v>256</v>
      </c>
      <c r="C255" s="187">
        <f>2266669.74+800642.63</f>
        <v>3067312.37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>
      <c r="A257" s="173" t="s">
        <v>368</v>
      </c>
      <c r="B257" s="172" t="s">
        <v>256</v>
      </c>
      <c r="C257" s="187">
        <f>9373354.67+686568.62</f>
        <v>10059923.289999999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7">
        <f>502669.46+738805.68</f>
        <v>1241475.1400000001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>
      <c r="A260" s="173" t="s">
        <v>371</v>
      </c>
      <c r="B260" s="175"/>
      <c r="C260" s="189"/>
      <c r="D260" s="175">
        <f>SUM(C250:C252)-C253+SUM(C254:C259)</f>
        <v>139413829.16999996</v>
      </c>
      <c r="E260" s="175"/>
    </row>
    <row r="261" spans="1:5" ht="11.25" customHeight="1">
      <c r="A261" s="252" t="s">
        <v>372</v>
      </c>
      <c r="B261" s="252"/>
      <c r="C261" s="252"/>
      <c r="D261" s="252"/>
      <c r="E261" s="252"/>
    </row>
    <row r="262" spans="1:5" ht="12.45" customHeight="1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5" customHeight="1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5" customHeight="1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>
      <c r="A266" s="252" t="s">
        <v>375</v>
      </c>
      <c r="B266" s="252"/>
      <c r="C266" s="252"/>
      <c r="D266" s="252"/>
      <c r="E266" s="252"/>
    </row>
    <row r="267" spans="1:5" ht="12.45" customHeight="1">
      <c r="A267" s="173" t="s">
        <v>332</v>
      </c>
      <c r="B267" s="172" t="s">
        <v>256</v>
      </c>
      <c r="C267" s="187">
        <v>10245719.140000001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7">
        <v>2319119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7">
        <f>99727204.21</f>
        <v>99727204.209999993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7">
        <f>14335836.95+1093249.37</f>
        <v>15429086.32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7">
        <f>4503444.85+780421.34</f>
        <v>5283866.1899999995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7">
        <f>120184073.12+37464581.39</f>
        <v>157648654.50999999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7">
        <f>13255930.68+20254838.93</f>
        <v>33510769.609999999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7">
        <f>279565915.6+54734.45+218049.82+82257.25</f>
        <v>279920957.12</v>
      </c>
      <c r="D274" s="175"/>
      <c r="E274" s="175"/>
    </row>
    <row r="275" spans="1:5" ht="12.45" customHeight="1">
      <c r="A275" s="173" t="s">
        <v>379</v>
      </c>
      <c r="B275" s="175"/>
      <c r="C275" s="189"/>
      <c r="D275" s="175">
        <f>SUM(C267:C274)</f>
        <v>604085376.10000002</v>
      </c>
      <c r="E275" s="175"/>
    </row>
    <row r="276" spans="1:5" ht="12.6" customHeight="1">
      <c r="A276" s="173" t="s">
        <v>380</v>
      </c>
      <c r="B276" s="172" t="s">
        <v>256</v>
      </c>
      <c r="C276" s="187">
        <f>158430631.47+35683206.12</f>
        <v>194113837.59</v>
      </c>
      <c r="D276" s="175"/>
      <c r="E276" s="175"/>
    </row>
    <row r="277" spans="1:5" ht="12.6" customHeight="1">
      <c r="A277" s="173" t="s">
        <v>381</v>
      </c>
      <c r="B277" s="175"/>
      <c r="C277" s="189"/>
      <c r="D277" s="175">
        <f>D275-C276</f>
        <v>409971538.50999999</v>
      </c>
      <c r="E277" s="175"/>
    </row>
    <row r="278" spans="1:5" ht="12.6" customHeight="1">
      <c r="A278" s="252" t="s">
        <v>382</v>
      </c>
      <c r="B278" s="252"/>
      <c r="C278" s="252"/>
      <c r="D278" s="252"/>
      <c r="E278" s="252"/>
    </row>
    <row r="279" spans="1:5" ht="12.6" customHeight="1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>
      <c r="A281" s="173" t="s">
        <v>385</v>
      </c>
      <c r="B281" s="172" t="s">
        <v>256</v>
      </c>
      <c r="C281" s="187">
        <v>325677991.24000001</v>
      </c>
      <c r="D281" s="175"/>
      <c r="E281" s="175"/>
    </row>
    <row r="282" spans="1:5" ht="12.6" customHeight="1">
      <c r="A282" s="173" t="s">
        <v>373</v>
      </c>
      <c r="B282" s="172" t="s">
        <v>256</v>
      </c>
      <c r="C282" s="187">
        <f>261311.73+26549.23</f>
        <v>287860.96000000002</v>
      </c>
      <c r="D282" s="175"/>
      <c r="E282" s="175"/>
    </row>
    <row r="283" spans="1:5" ht="12.6" customHeight="1">
      <c r="A283" s="173" t="s">
        <v>386</v>
      </c>
      <c r="B283" s="175"/>
      <c r="C283" s="189"/>
      <c r="D283" s="175">
        <f>C279-C280+C281+C282</f>
        <v>325965852.19999999</v>
      </c>
      <c r="E283" s="175"/>
    </row>
    <row r="284" spans="1:5" ht="12.6" customHeight="1">
      <c r="A284" s="173"/>
      <c r="B284" s="175"/>
      <c r="C284" s="189"/>
      <c r="D284" s="175"/>
      <c r="E284" s="175"/>
    </row>
    <row r="285" spans="1:5" ht="12.6" customHeight="1">
      <c r="A285" s="252" t="s">
        <v>387</v>
      </c>
      <c r="B285" s="252"/>
      <c r="C285" s="252"/>
      <c r="D285" s="252"/>
      <c r="E285" s="252"/>
    </row>
    <row r="286" spans="1:5" ht="12.6" customHeight="1">
      <c r="A286" s="173" t="s">
        <v>388</v>
      </c>
      <c r="B286" s="172" t="s">
        <v>256</v>
      </c>
      <c r="C286" s="187">
        <f>3831214.66+4511034.37</f>
        <v>8342249.0300000003</v>
      </c>
      <c r="D286" s="175"/>
      <c r="E286" s="175"/>
    </row>
    <row r="287" spans="1:5" ht="12.6" customHeight="1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>
      <c r="A289" s="173" t="s">
        <v>391</v>
      </c>
      <c r="B289" s="172" t="s">
        <v>256</v>
      </c>
      <c r="C289" s="187">
        <f>25211723.14+3831214.67-6588721.7+413190.76</f>
        <v>22867406.870000005</v>
      </c>
      <c r="D289" s="175"/>
      <c r="E289" s="175"/>
    </row>
    <row r="290" spans="1:5" ht="12.6" customHeight="1">
      <c r="A290" s="173" t="s">
        <v>392</v>
      </c>
      <c r="B290" s="175"/>
      <c r="C290" s="189"/>
      <c r="D290" s="175">
        <f>SUM(C286:C289)</f>
        <v>31209655.900000006</v>
      </c>
      <c r="E290" s="175"/>
    </row>
    <row r="291" spans="1:5" ht="12.6" customHeight="1">
      <c r="A291" s="173"/>
      <c r="B291" s="175"/>
      <c r="C291" s="189"/>
      <c r="D291" s="175"/>
      <c r="E291" s="175"/>
    </row>
    <row r="292" spans="1:5" ht="12.6" customHeight="1">
      <c r="A292" s="173" t="s">
        <v>393</v>
      </c>
      <c r="B292" s="175"/>
      <c r="C292" s="189"/>
      <c r="D292" s="175">
        <f>D260+D265+D277+D283+D290</f>
        <v>906560875.77999985</v>
      </c>
      <c r="E292" s="175"/>
    </row>
    <row r="293" spans="1:5" ht="12.6" customHeight="1">
      <c r="A293" s="173"/>
      <c r="B293" s="173"/>
      <c r="C293" s="189"/>
      <c r="D293" s="175"/>
      <c r="E293" s="175"/>
    </row>
    <row r="294" spans="1:5" ht="12.6" customHeight="1">
      <c r="A294" s="173"/>
      <c r="B294" s="173"/>
      <c r="C294" s="189"/>
      <c r="D294" s="175"/>
      <c r="E294" s="175"/>
    </row>
    <row r="295" spans="1:5" ht="12.6" customHeight="1">
      <c r="A295" s="173"/>
      <c r="B295" s="173"/>
      <c r="C295" s="189"/>
      <c r="D295" s="175"/>
      <c r="E295" s="175"/>
    </row>
    <row r="296" spans="1:5" ht="12.6" customHeight="1">
      <c r="A296" s="173"/>
      <c r="B296" s="173"/>
      <c r="C296" s="189"/>
      <c r="D296" s="175"/>
      <c r="E296" s="175"/>
    </row>
    <row r="297" spans="1:5" ht="12.6" customHeight="1">
      <c r="A297" s="173"/>
      <c r="B297" s="173"/>
      <c r="C297" s="189"/>
      <c r="D297" s="175"/>
      <c r="E297" s="175"/>
    </row>
    <row r="298" spans="1:5" ht="12.6" customHeight="1">
      <c r="A298" s="173"/>
      <c r="B298" s="173"/>
      <c r="C298" s="189"/>
      <c r="D298" s="175"/>
      <c r="E298" s="175"/>
    </row>
    <row r="299" spans="1:5" ht="12.6" customHeight="1">
      <c r="A299" s="173"/>
      <c r="B299" s="173"/>
      <c r="C299" s="189"/>
      <c r="D299" s="175"/>
      <c r="E299" s="175"/>
    </row>
    <row r="300" spans="1:5" ht="12.6" customHeight="1">
      <c r="A300" s="173"/>
      <c r="B300" s="173"/>
      <c r="C300" s="189"/>
      <c r="D300" s="175"/>
      <c r="E300" s="175"/>
    </row>
    <row r="301" spans="1:5" ht="20.25" customHeight="1">
      <c r="A301" s="173"/>
      <c r="B301" s="173"/>
      <c r="C301" s="189"/>
      <c r="D301" s="175"/>
      <c r="E301" s="175"/>
    </row>
    <row r="302" spans="1:5" ht="12.6" customHeight="1">
      <c r="A302" s="206" t="s">
        <v>394</v>
      </c>
      <c r="B302" s="206"/>
      <c r="C302" s="206"/>
      <c r="D302" s="206"/>
      <c r="E302" s="206"/>
    </row>
    <row r="303" spans="1:5" ht="14.25" customHeight="1">
      <c r="A303" s="252" t="s">
        <v>395</v>
      </c>
      <c r="B303" s="252"/>
      <c r="C303" s="252"/>
      <c r="D303" s="252"/>
      <c r="E303" s="252"/>
    </row>
    <row r="304" spans="1:5" ht="12.6" customHeight="1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>
      <c r="A305" s="173" t="s">
        <v>397</v>
      </c>
      <c r="B305" s="172" t="s">
        <v>256</v>
      </c>
      <c r="C305" s="187">
        <f>5788806.61+542669.29</f>
        <v>6331475.9000000004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7">
        <f>14025213.78+6979355.24</f>
        <v>21004569.02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7">
        <f>6991211.91+10177344.31+787078.18+21307594.51+8266254.15</f>
        <v>47529483.059999995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187">
        <f>5108174</f>
        <v>5108174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>
      <c r="A312" s="173" t="s">
        <v>403</v>
      </c>
      <c r="B312" s="172" t="s">
        <v>256</v>
      </c>
      <c r="C312" s="187">
        <v>0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7">
        <f>4634831.28+378571.11+509920.27</f>
        <v>5523322.6600000001</v>
      </c>
      <c r="D313" s="175"/>
      <c r="E313" s="175"/>
    </row>
    <row r="314" spans="1:5" ht="12.6" customHeight="1">
      <c r="A314" s="173" t="s">
        <v>405</v>
      </c>
      <c r="B314" s="175"/>
      <c r="C314" s="189"/>
      <c r="D314" s="175">
        <f>SUM(C304:C313)</f>
        <v>85497024.639999986</v>
      </c>
      <c r="E314" s="175"/>
    </row>
    <row r="315" spans="1:5" ht="12.6" customHeight="1">
      <c r="A315" s="252" t="s">
        <v>406</v>
      </c>
      <c r="B315" s="252"/>
      <c r="C315" s="252"/>
      <c r="D315" s="252"/>
      <c r="E315" s="252"/>
    </row>
    <row r="316" spans="1:5" ht="12.6" customHeight="1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>
      <c r="A318" s="173" t="s">
        <v>409</v>
      </c>
      <c r="B318" s="172" t="s">
        <v>256</v>
      </c>
      <c r="C318" s="187">
        <v>6352816</v>
      </c>
      <c r="D318" s="175"/>
      <c r="E318" s="175"/>
    </row>
    <row r="319" spans="1:5" ht="12.6" customHeight="1">
      <c r="A319" s="173" t="s">
        <v>410</v>
      </c>
      <c r="B319" s="175"/>
      <c r="C319" s="189"/>
      <c r="D319" s="175">
        <f>SUM(C316:C318)</f>
        <v>6352816</v>
      </c>
      <c r="E319" s="175"/>
    </row>
    <row r="320" spans="1:5" ht="12.6" customHeight="1">
      <c r="A320" s="252" t="s">
        <v>411</v>
      </c>
      <c r="B320" s="252"/>
      <c r="C320" s="252"/>
      <c r="D320" s="252"/>
      <c r="E320" s="252"/>
    </row>
    <row r="321" spans="1:5" ht="12.6" customHeight="1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>
      <c r="A323" s="173" t="s">
        <v>414</v>
      </c>
      <c r="B323" s="172" t="s">
        <v>256</v>
      </c>
      <c r="C323" s="187">
        <f>1019840.53+509920.27</f>
        <v>1529760.8</v>
      </c>
      <c r="D323" s="175"/>
      <c r="E323" s="175"/>
    </row>
    <row r="324" spans="1:5" ht="12.6" customHeight="1">
      <c r="A324" s="171" t="s">
        <v>415</v>
      </c>
      <c r="B324" s="172" t="s">
        <v>256</v>
      </c>
      <c r="C324" s="187">
        <f>470395.05+141106.59+378571.11</f>
        <v>990072.75</v>
      </c>
      <c r="D324" s="175"/>
      <c r="E324" s="175"/>
    </row>
    <row r="325" spans="1:5" ht="12.6" customHeight="1">
      <c r="A325" s="173" t="s">
        <v>416</v>
      </c>
      <c r="B325" s="172" t="s">
        <v>256</v>
      </c>
      <c r="C325" s="187">
        <v>0</v>
      </c>
      <c r="D325" s="175"/>
      <c r="E325" s="175"/>
    </row>
    <row r="326" spans="1:5" ht="12.6" customHeight="1">
      <c r="A326" s="171" t="s">
        <v>417</v>
      </c>
      <c r="B326" s="172" t="s">
        <v>256</v>
      </c>
      <c r="C326" s="187">
        <f>78157063.48+4493724.69</f>
        <v>82650788.170000002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187">
        <v>2511059</v>
      </c>
      <c r="D327" s="175"/>
      <c r="E327" s="175"/>
    </row>
    <row r="328" spans="1:5" ht="19.5" customHeight="1">
      <c r="A328" s="173" t="s">
        <v>203</v>
      </c>
      <c r="B328" s="175"/>
      <c r="C328" s="189"/>
      <c r="D328" s="175">
        <f>SUM(C321:C327)</f>
        <v>87681680.719999999</v>
      </c>
      <c r="E328" s="175"/>
    </row>
    <row r="329" spans="1:5" ht="12.6" customHeight="1">
      <c r="A329" s="173" t="s">
        <v>419</v>
      </c>
      <c r="B329" s="175"/>
      <c r="C329" s="189"/>
      <c r="D329" s="175">
        <f>C313</f>
        <v>5523322.6600000001</v>
      </c>
      <c r="E329" s="175"/>
    </row>
    <row r="330" spans="1:5" ht="12.6" customHeight="1">
      <c r="A330" s="173" t="s">
        <v>420</v>
      </c>
      <c r="B330" s="175"/>
      <c r="C330" s="189"/>
      <c r="D330" s="175">
        <f>D328-D329</f>
        <v>82158358.060000002</v>
      </c>
      <c r="E330" s="175"/>
    </row>
    <row r="331" spans="1:5" ht="12.6" customHeight="1">
      <c r="A331" s="173"/>
      <c r="B331" s="175"/>
      <c r="C331" s="189"/>
      <c r="D331" s="175"/>
      <c r="E331" s="175"/>
    </row>
    <row r="332" spans="1:5" ht="12.6" customHeight="1">
      <c r="A332" s="173" t="s">
        <v>421</v>
      </c>
      <c r="B332" s="172" t="s">
        <v>256</v>
      </c>
      <c r="C332" s="219">
        <f>716829640.27+15723037.35</f>
        <v>732552677.62</v>
      </c>
      <c r="D332" s="175"/>
      <c r="E332" s="175"/>
    </row>
    <row r="333" spans="1:5" ht="12.6" customHeight="1">
      <c r="A333" s="173"/>
      <c r="B333" s="172"/>
      <c r="C333" s="227"/>
      <c r="D333" s="175"/>
      <c r="E333" s="175"/>
    </row>
    <row r="334" spans="1:5" ht="12.6" customHeight="1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>
      <c r="A339" s="173" t="s">
        <v>424</v>
      </c>
      <c r="B339" s="175"/>
      <c r="C339" s="189"/>
      <c r="D339" s="175">
        <f>D314+D319+D330+C332+C336+C337</f>
        <v>906560876.31999993</v>
      </c>
      <c r="E339" s="175"/>
    </row>
    <row r="340" spans="1:5" ht="12.6" customHeight="1">
      <c r="A340" s="173"/>
      <c r="B340" s="175"/>
      <c r="C340" s="189"/>
      <c r="D340" s="175"/>
      <c r="E340" s="175"/>
    </row>
    <row r="341" spans="1:5" ht="12.6" customHeight="1">
      <c r="A341" s="173" t="s">
        <v>425</v>
      </c>
      <c r="B341" s="175"/>
      <c r="C341" s="189"/>
      <c r="D341" s="175">
        <f>D292</f>
        <v>906560875.77999985</v>
      </c>
      <c r="E341" s="175"/>
    </row>
    <row r="342" spans="1:5" ht="12.6" customHeight="1">
      <c r="A342" s="173"/>
      <c r="B342" s="173"/>
      <c r="C342" s="189"/>
      <c r="D342" s="175"/>
      <c r="E342" s="175"/>
    </row>
    <row r="343" spans="1:5" ht="12.6" customHeight="1">
      <c r="A343" s="173"/>
      <c r="B343" s="173"/>
      <c r="C343" s="189"/>
      <c r="D343" s="175"/>
      <c r="E343" s="175"/>
    </row>
    <row r="344" spans="1:5" ht="12.6" customHeight="1">
      <c r="A344" s="173"/>
      <c r="B344" s="173"/>
      <c r="C344" s="189"/>
      <c r="D344" s="175"/>
      <c r="E344" s="175"/>
    </row>
    <row r="345" spans="1:5" ht="12.6" customHeight="1">
      <c r="A345" s="173"/>
      <c r="B345" s="173"/>
      <c r="C345" s="189"/>
      <c r="D345" s="175"/>
      <c r="E345" s="175"/>
    </row>
    <row r="346" spans="1:5" ht="12.6" customHeight="1">
      <c r="A346" s="173"/>
      <c r="B346" s="173"/>
      <c r="C346" s="189"/>
      <c r="D346" s="175"/>
      <c r="E346" s="175"/>
    </row>
    <row r="347" spans="1:5" ht="12.6" customHeight="1">
      <c r="A347" s="173"/>
      <c r="B347" s="173"/>
      <c r="C347" s="189"/>
      <c r="D347" s="175"/>
      <c r="E347" s="175"/>
    </row>
    <row r="348" spans="1:5" ht="12.6" customHeight="1">
      <c r="A348" s="173"/>
      <c r="B348" s="173"/>
      <c r="C348" s="189"/>
      <c r="D348" s="175"/>
      <c r="E348" s="175"/>
    </row>
    <row r="349" spans="1:5" ht="12.6" customHeight="1">
      <c r="A349" s="173"/>
      <c r="B349" s="173"/>
      <c r="C349" s="189"/>
      <c r="D349" s="175"/>
      <c r="E349" s="175"/>
    </row>
    <row r="350" spans="1:5" ht="12.6" customHeight="1">
      <c r="A350" s="173"/>
      <c r="B350" s="173"/>
      <c r="C350" s="189"/>
      <c r="D350" s="175"/>
      <c r="E350" s="175"/>
    </row>
    <row r="351" spans="1:5" ht="12.6" customHeight="1">
      <c r="A351" s="173"/>
      <c r="B351" s="173"/>
      <c r="C351" s="189"/>
      <c r="D351" s="175"/>
      <c r="E351" s="175"/>
    </row>
    <row r="352" spans="1:5" ht="12.6" customHeight="1">
      <c r="A352" s="173"/>
      <c r="B352" s="173"/>
      <c r="C352" s="189"/>
      <c r="D352" s="175"/>
      <c r="E352" s="175"/>
    </row>
    <row r="353" spans="1:5" ht="12.6" customHeight="1">
      <c r="A353" s="173"/>
      <c r="B353" s="173"/>
      <c r="C353" s="189"/>
      <c r="D353" s="175"/>
      <c r="E353" s="175"/>
    </row>
    <row r="354" spans="1:5" ht="12.6" customHeight="1">
      <c r="A354" s="173"/>
      <c r="B354" s="173"/>
      <c r="C354" s="189"/>
      <c r="D354" s="175"/>
      <c r="E354" s="175"/>
    </row>
    <row r="355" spans="1:5" ht="12.6" customHeight="1">
      <c r="A355" s="173"/>
      <c r="B355" s="173"/>
      <c r="C355" s="189"/>
      <c r="D355" s="175"/>
      <c r="E355" s="175"/>
    </row>
    <row r="356" spans="1:5" ht="20.25" customHeight="1">
      <c r="A356" s="173"/>
      <c r="B356" s="173"/>
      <c r="C356" s="189"/>
      <c r="D356" s="175"/>
      <c r="E356" s="175"/>
    </row>
    <row r="357" spans="1:5" ht="12.6" customHeight="1">
      <c r="A357" s="206" t="s">
        <v>426</v>
      </c>
      <c r="B357" s="206"/>
      <c r="C357" s="206"/>
      <c r="D357" s="206"/>
      <c r="E357" s="206"/>
    </row>
    <row r="358" spans="1:5" ht="12.6" customHeight="1">
      <c r="A358" s="252" t="s">
        <v>427</v>
      </c>
      <c r="B358" s="252"/>
      <c r="C358" s="252"/>
      <c r="D358" s="252"/>
      <c r="E358" s="252"/>
    </row>
    <row r="359" spans="1:5" ht="12.6" customHeight="1">
      <c r="A359" s="173" t="s">
        <v>428</v>
      </c>
      <c r="B359" s="172" t="s">
        <v>256</v>
      </c>
      <c r="C359" s="187">
        <v>1052674086.54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7">
        <f>1373388334.87+2577711.23+249935199.68</f>
        <v>1625901245.78</v>
      </c>
      <c r="D360" s="175"/>
      <c r="E360" s="175"/>
    </row>
    <row r="361" spans="1:5" ht="12.6" customHeight="1">
      <c r="A361" s="173" t="s">
        <v>430</v>
      </c>
      <c r="B361" s="175"/>
      <c r="C361" s="189"/>
      <c r="D361" s="175">
        <f>SUM(C359:C360)</f>
        <v>2678575332.3199997</v>
      </c>
      <c r="E361" s="175"/>
    </row>
    <row r="362" spans="1:5" ht="12.6" customHeight="1">
      <c r="A362" s="252" t="s">
        <v>431</v>
      </c>
      <c r="B362" s="252"/>
      <c r="C362" s="252"/>
      <c r="D362" s="252"/>
      <c r="E362" s="252"/>
    </row>
    <row r="363" spans="1:5" ht="12.6" customHeight="1">
      <c r="A363" s="173" t="s">
        <v>1255</v>
      </c>
      <c r="B363" s="252"/>
      <c r="C363" s="187">
        <v>12497585.57</v>
      </c>
      <c r="D363" s="175"/>
      <c r="E363" s="252"/>
    </row>
    <row r="364" spans="1:5" ht="12.6" customHeight="1">
      <c r="A364" s="173" t="s">
        <v>432</v>
      </c>
      <c r="B364" s="172" t="s">
        <v>256</v>
      </c>
      <c r="C364" s="187">
        <f>-2615342.12+-10168109.31+803568366.23+1027902349.75-11722.96-30.63+1543280.13-440448.53+52842.12+145865964.76</f>
        <v>1965697149.4400001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7">
        <v>15370855.83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7">
        <f>2615342.12+10168109.31+30.63+11722.96+440448.53-52842.12</f>
        <v>13182811.430000002</v>
      </c>
      <c r="D366" s="175"/>
      <c r="E366" s="175"/>
    </row>
    <row r="367" spans="1:5" ht="12.6" customHeight="1">
      <c r="A367" s="173" t="s">
        <v>359</v>
      </c>
      <c r="B367" s="175"/>
      <c r="C367" s="189"/>
      <c r="D367" s="175">
        <f>SUM(C363:C366)</f>
        <v>2006748402.27</v>
      </c>
      <c r="E367" s="175"/>
    </row>
    <row r="368" spans="1:5" ht="12.6" customHeight="1">
      <c r="A368" s="173" t="s">
        <v>435</v>
      </c>
      <c r="B368" s="175"/>
      <c r="C368" s="189"/>
      <c r="D368" s="175">
        <f>D361-D367</f>
        <v>671826930.04999971</v>
      </c>
      <c r="E368" s="175"/>
    </row>
    <row r="369" spans="1:5" ht="12.6" customHeight="1">
      <c r="A369" s="252" t="s">
        <v>436</v>
      </c>
      <c r="B369" s="252"/>
      <c r="C369" s="252"/>
      <c r="D369" s="252"/>
      <c r="E369" s="252"/>
    </row>
    <row r="370" spans="1:5" ht="12.6" customHeight="1">
      <c r="A370" s="173" t="s">
        <v>437</v>
      </c>
      <c r="B370" s="172" t="s">
        <v>256</v>
      </c>
      <c r="C370" s="187">
        <f>5409990.33+336474.24+0</f>
        <v>5746464.5700000003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>
      <c r="A372" s="173" t="s">
        <v>439</v>
      </c>
      <c r="B372" s="175"/>
      <c r="C372" s="189"/>
      <c r="D372" s="175">
        <f>SUM(C370:C371)</f>
        <v>5746464.5700000003</v>
      </c>
      <c r="E372" s="175"/>
    </row>
    <row r="373" spans="1:5" ht="12.6" customHeight="1">
      <c r="A373" s="173" t="s">
        <v>440</v>
      </c>
      <c r="B373" s="175"/>
      <c r="C373" s="189"/>
      <c r="D373" s="175">
        <f>D368+D372</f>
        <v>677573394.61999977</v>
      </c>
      <c r="E373" s="175"/>
    </row>
    <row r="374" spans="1:5" ht="12.6" customHeight="1">
      <c r="A374" s="173"/>
      <c r="B374" s="175"/>
      <c r="C374" s="189"/>
      <c r="D374" s="175"/>
      <c r="E374" s="175"/>
    </row>
    <row r="375" spans="1:5" ht="12.6" customHeight="1">
      <c r="A375" s="173"/>
      <c r="B375" s="175"/>
      <c r="C375" s="189"/>
      <c r="D375" s="175"/>
      <c r="E375" s="175"/>
    </row>
    <row r="376" spans="1:5" ht="12.6" customHeight="1">
      <c r="A376" s="173"/>
      <c r="B376" s="175"/>
      <c r="C376" s="189"/>
      <c r="D376" s="175"/>
      <c r="E376" s="175"/>
    </row>
    <row r="377" spans="1:5" ht="12.6" customHeight="1">
      <c r="A377" s="252" t="s">
        <v>441</v>
      </c>
      <c r="B377" s="252"/>
      <c r="C377" s="252"/>
      <c r="D377" s="252"/>
      <c r="E377" s="252"/>
    </row>
    <row r="378" spans="1:5" ht="12.6" customHeight="1">
      <c r="A378" s="173" t="s">
        <v>442</v>
      </c>
      <c r="B378" s="172" t="s">
        <v>256</v>
      </c>
      <c r="C378" s="187">
        <f>184731736.5+8908663.14</f>
        <v>193640399.63999999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7">
        <v>41619655.539999999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7">
        <v>42048900.119999997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7">
        <v>107520410.94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7">
        <v>4642352.87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7">
        <f>72871.82+136554348.66+4135415.06+5575972.2</f>
        <v>146338607.73999998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7">
        <v>46236466.659999996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7">
        <v>13217957.82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7">
        <v>5561677.0300000003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7">
        <v>14935935.68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7">
        <v>-5045428.8099999996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7">
        <f>277185.74+791061.01+479208.98+279396+231538+77697.2-1868.68+6242669.72-114850.06</f>
        <v>8262037.9100000001</v>
      </c>
      <c r="D389" s="175"/>
      <c r="E389" s="175"/>
    </row>
    <row r="390" spans="1:6" ht="12.6" customHeight="1">
      <c r="A390" s="173" t="s">
        <v>452</v>
      </c>
      <c r="B390" s="175"/>
      <c r="C390" s="189"/>
      <c r="D390" s="175">
        <f>SUM(C378:C389)</f>
        <v>618978973.13999987</v>
      </c>
      <c r="E390" s="175"/>
    </row>
    <row r="391" spans="1:6" ht="12.6" customHeight="1">
      <c r="A391" s="173" t="s">
        <v>453</v>
      </c>
      <c r="B391" s="175"/>
      <c r="C391" s="189"/>
      <c r="D391" s="175">
        <f>D373-D390</f>
        <v>58594421.4799999</v>
      </c>
      <c r="E391" s="175"/>
    </row>
    <row r="392" spans="1:6" ht="12.6" customHeight="1">
      <c r="A392" s="173" t="s">
        <v>454</v>
      </c>
      <c r="B392" s="172" t="s">
        <v>256</v>
      </c>
      <c r="C392" s="187">
        <v>15539323.24</v>
      </c>
      <c r="D392" s="175"/>
      <c r="E392" s="175"/>
    </row>
    <row r="393" spans="1:6" ht="12.6" customHeight="1">
      <c r="A393" s="173" t="s">
        <v>455</v>
      </c>
      <c r="B393" s="175"/>
      <c r="C393" s="189"/>
      <c r="D393" s="193">
        <f>D391+C392</f>
        <v>74133744.719999894</v>
      </c>
      <c r="E393" s="175"/>
      <c r="F393" s="195"/>
    </row>
    <row r="394" spans="1:6" ht="12.6" customHeight="1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>
      <c r="A396" s="173" t="s">
        <v>458</v>
      </c>
      <c r="B396" s="175"/>
      <c r="C396" s="189"/>
      <c r="D396" s="175">
        <f>D393+C394-C395</f>
        <v>74133744.719999894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55"/>
    </row>
    <row r="412" spans="1:5" ht="12.6" customHeight="1">
      <c r="A412" s="179" t="str">
        <f>C84&amp;"   "&amp;"H-"&amp;FIXED(C83,0,TRUE)&amp;"     FYE "&amp;C82</f>
        <v>Harrison Medical Center   H-0     FYE 06/30/2019</v>
      </c>
      <c r="B412" s="179"/>
      <c r="C412" s="179"/>
      <c r="D412" s="179"/>
      <c r="E412" s="255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13385</v>
      </c>
      <c r="C414" s="192">
        <f>E138</f>
        <v>13385</v>
      </c>
      <c r="D414" s="179"/>
    </row>
    <row r="415" spans="1:5" ht="12.6" customHeight="1">
      <c r="A415" s="179" t="s">
        <v>464</v>
      </c>
      <c r="B415" s="179">
        <f>D111</f>
        <v>61575</v>
      </c>
      <c r="C415" s="179">
        <f>E139</f>
        <v>61575</v>
      </c>
      <c r="D415" s="192">
        <f>SUM(C59:H59)+N59</f>
        <v>61575</v>
      </c>
    </row>
    <row r="416" spans="1:5" ht="12.6" customHeight="1">
      <c r="A416" s="179"/>
      <c r="B416" s="179"/>
      <c r="C416" s="192"/>
      <c r="D416" s="179"/>
    </row>
    <row r="417" spans="1:7" ht="12.6" customHeight="1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2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4"/>
      <c r="B422" s="204"/>
      <c r="C422" s="181"/>
      <c r="D422" s="179"/>
    </row>
    <row r="423" spans="1:7" ht="12.6" customHeight="1">
      <c r="A423" s="180" t="s">
        <v>469</v>
      </c>
      <c r="B423" s="180">
        <f>C114</f>
        <v>1972</v>
      </c>
    </row>
    <row r="424" spans="1:7" ht="12.6" customHeight="1">
      <c r="A424" s="179" t="s">
        <v>1244</v>
      </c>
      <c r="B424" s="179">
        <f>D114</f>
        <v>3964</v>
      </c>
      <c r="D424" s="179">
        <f>J59</f>
        <v>3964</v>
      </c>
    </row>
    <row r="425" spans="1:7" ht="12.6" customHeight="1">
      <c r="A425" s="204"/>
      <c r="B425" s="204"/>
      <c r="C425" s="204"/>
      <c r="D425" s="204"/>
      <c r="F425" s="204"/>
      <c r="G425" s="204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3">C378</f>
        <v>193640399.63999999</v>
      </c>
      <c r="C427" s="179">
        <f t="shared" ref="C427:C434" si="14">CE61</f>
        <v>193640400.35999998</v>
      </c>
      <c r="D427" s="179"/>
    </row>
    <row r="428" spans="1:7" ht="12.6" customHeight="1">
      <c r="A428" s="179" t="s">
        <v>3</v>
      </c>
      <c r="B428" s="179">
        <f t="shared" si="13"/>
        <v>41619655.539999999</v>
      </c>
      <c r="C428" s="179">
        <f t="shared" si="14"/>
        <v>41619656</v>
      </c>
      <c r="D428" s="179">
        <f>D173</f>
        <v>41619654.939999998</v>
      </c>
    </row>
    <row r="429" spans="1:7" ht="12.6" customHeight="1">
      <c r="A429" s="179" t="s">
        <v>236</v>
      </c>
      <c r="B429" s="179">
        <f t="shared" si="13"/>
        <v>42048900.119999997</v>
      </c>
      <c r="C429" s="179">
        <f t="shared" si="14"/>
        <v>42048899.690000005</v>
      </c>
      <c r="D429" s="179"/>
    </row>
    <row r="430" spans="1:7" ht="12.6" customHeight="1">
      <c r="A430" s="179" t="s">
        <v>237</v>
      </c>
      <c r="B430" s="179">
        <f t="shared" si="13"/>
        <v>107520410.94</v>
      </c>
      <c r="C430" s="179">
        <f t="shared" si="14"/>
        <v>107520410.71999995</v>
      </c>
      <c r="D430" s="179"/>
    </row>
    <row r="431" spans="1:7" ht="12.6" customHeight="1">
      <c r="A431" s="179" t="s">
        <v>444</v>
      </c>
      <c r="B431" s="179">
        <f t="shared" si="13"/>
        <v>4642352.87</v>
      </c>
      <c r="C431" s="179">
        <f t="shared" si="14"/>
        <v>4642352.74</v>
      </c>
      <c r="D431" s="179"/>
    </row>
    <row r="432" spans="1:7" ht="12.6" customHeight="1">
      <c r="A432" s="179" t="s">
        <v>445</v>
      </c>
      <c r="B432" s="179">
        <f t="shared" si="13"/>
        <v>146338607.73999998</v>
      </c>
      <c r="C432" s="179">
        <f t="shared" si="14"/>
        <v>146338607.73560297</v>
      </c>
      <c r="D432" s="179"/>
      <c r="E432" s="180">
        <f>B432-C432</f>
        <v>4.3970048427581787E-3</v>
      </c>
    </row>
    <row r="433" spans="1:7" ht="12.6" customHeight="1">
      <c r="A433" s="179" t="s">
        <v>6</v>
      </c>
      <c r="B433" s="179">
        <f t="shared" si="13"/>
        <v>46236466.659999996</v>
      </c>
      <c r="C433" s="179">
        <f t="shared" si="14"/>
        <v>46236470</v>
      </c>
      <c r="D433" s="179">
        <f>C217</f>
        <v>46236466.920000002</v>
      </c>
    </row>
    <row r="434" spans="1:7" ht="12.6" customHeight="1">
      <c r="A434" s="179" t="s">
        <v>474</v>
      </c>
      <c r="B434" s="179">
        <f t="shared" si="13"/>
        <v>13217957.82</v>
      </c>
      <c r="C434" s="179">
        <f t="shared" si="14"/>
        <v>13217957.749999996</v>
      </c>
      <c r="D434" s="179">
        <f>D177</f>
        <v>13217957.82</v>
      </c>
    </row>
    <row r="435" spans="1:7" ht="12.6" customHeight="1">
      <c r="A435" s="179" t="s">
        <v>447</v>
      </c>
      <c r="B435" s="179">
        <f t="shared" si="13"/>
        <v>5561677.0300000003</v>
      </c>
      <c r="C435" s="179"/>
      <c r="D435" s="179">
        <f>D181</f>
        <v>5561677.0299999993</v>
      </c>
    </row>
    <row r="436" spans="1:7" ht="12.6" customHeight="1">
      <c r="A436" s="179" t="s">
        <v>475</v>
      </c>
      <c r="B436" s="179">
        <f t="shared" si="13"/>
        <v>14935935.68</v>
      </c>
      <c r="C436" s="179"/>
      <c r="D436" s="179">
        <f>D186</f>
        <v>14935935.68</v>
      </c>
    </row>
    <row r="437" spans="1:7" ht="12.6" customHeight="1">
      <c r="A437" s="192" t="s">
        <v>449</v>
      </c>
      <c r="B437" s="192">
        <f t="shared" si="13"/>
        <v>-5045428.8099999996</v>
      </c>
      <c r="C437" s="192"/>
      <c r="D437" s="192">
        <f>D190</f>
        <v>-5045428.8099999996</v>
      </c>
    </row>
    <row r="438" spans="1:7" ht="12.6" customHeight="1">
      <c r="A438" s="192" t="s">
        <v>476</v>
      </c>
      <c r="B438" s="192">
        <f>C386+C387+C388</f>
        <v>15452183.900000002</v>
      </c>
      <c r="C438" s="192">
        <f>CD69</f>
        <v>15452184</v>
      </c>
      <c r="D438" s="192">
        <f>D181+D186+D190</f>
        <v>15452183.900000002</v>
      </c>
    </row>
    <row r="439" spans="1:7" ht="12.6" customHeight="1">
      <c r="A439" s="179" t="s">
        <v>451</v>
      </c>
      <c r="B439" s="192">
        <f>C389</f>
        <v>8262037.9100000001</v>
      </c>
      <c r="C439" s="192">
        <f>SUM(C69:CC69)</f>
        <v>8262038.3699999982</v>
      </c>
      <c r="D439" s="179"/>
    </row>
    <row r="440" spans="1:7" ht="12.6" customHeight="1">
      <c r="A440" s="179" t="s">
        <v>477</v>
      </c>
      <c r="B440" s="192">
        <f>B438+B439</f>
        <v>23714221.810000002</v>
      </c>
      <c r="C440" s="192">
        <f>CE69</f>
        <v>23714222.369999997</v>
      </c>
      <c r="D440" s="179"/>
    </row>
    <row r="441" spans="1:7" ht="12.6" customHeight="1">
      <c r="A441" s="179" t="s">
        <v>478</v>
      </c>
      <c r="B441" s="179">
        <f>D390</f>
        <v>618978973.13999987</v>
      </c>
      <c r="C441" s="179">
        <f>SUM(C427:C437)+C440</f>
        <v>618978977.36560297</v>
      </c>
      <c r="D441" s="179"/>
    </row>
    <row r="442" spans="1:7" ht="12.6" customHeight="1">
      <c r="A442" s="204"/>
      <c r="B442" s="204"/>
      <c r="C442" s="204"/>
      <c r="D442" s="204"/>
      <c r="F442" s="204"/>
      <c r="G442" s="204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12497585.57</v>
      </c>
      <c r="C444" s="179">
        <f>C363</f>
        <v>12497585.57</v>
      </c>
      <c r="D444" s="179"/>
    </row>
    <row r="445" spans="1:7" ht="12.6" customHeight="1">
      <c r="A445" s="179" t="s">
        <v>343</v>
      </c>
      <c r="B445" s="179">
        <f>D229</f>
        <v>1965697149.4399998</v>
      </c>
      <c r="C445" s="179">
        <f>C364</f>
        <v>1965697149.4400001</v>
      </c>
      <c r="D445" s="179"/>
    </row>
    <row r="446" spans="1:7" ht="12.6" customHeight="1">
      <c r="A446" s="179" t="s">
        <v>351</v>
      </c>
      <c r="B446" s="179">
        <f>D236</f>
        <v>15370855.83</v>
      </c>
      <c r="C446" s="179">
        <f>C365</f>
        <v>15370855.83</v>
      </c>
      <c r="D446" s="179"/>
    </row>
    <row r="447" spans="1:7" ht="12.6" customHeight="1">
      <c r="A447" s="179" t="s">
        <v>356</v>
      </c>
      <c r="B447" s="179">
        <f>D240</f>
        <v>13182811.430000002</v>
      </c>
      <c r="C447" s="179">
        <f>C366</f>
        <v>13182811.430000002</v>
      </c>
      <c r="D447" s="179"/>
    </row>
    <row r="448" spans="1:7" ht="12.6" customHeight="1">
      <c r="A448" s="179" t="s">
        <v>358</v>
      </c>
      <c r="B448" s="179">
        <f>D242</f>
        <v>2006748402.2699997</v>
      </c>
      <c r="C448" s="179">
        <f>D367</f>
        <v>2006748402.27</v>
      </c>
      <c r="D448" s="179"/>
    </row>
    <row r="449" spans="1:7" ht="12.6" customHeight="1">
      <c r="A449" s="204"/>
      <c r="B449" s="204"/>
      <c r="C449" s="204"/>
      <c r="D449" s="204"/>
      <c r="F449" s="204"/>
      <c r="G449" s="204"/>
    </row>
    <row r="450" spans="1:7" ht="12.6" customHeight="1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7" t="s">
        <v>484</v>
      </c>
      <c r="B453" s="180">
        <f>C231</f>
        <v>11035</v>
      </c>
    </row>
    <row r="454" spans="1:7" ht="12.6" customHeight="1">
      <c r="A454" s="179" t="s">
        <v>168</v>
      </c>
      <c r="B454" s="179">
        <f>C233</f>
        <v>4758089.33</v>
      </c>
      <c r="C454" s="179"/>
      <c r="D454" s="179"/>
    </row>
    <row r="455" spans="1:7" ht="12.6" customHeight="1">
      <c r="A455" s="179" t="s">
        <v>131</v>
      </c>
      <c r="B455" s="179">
        <f>C234</f>
        <v>10612766.5</v>
      </c>
      <c r="C455" s="179"/>
      <c r="D455" s="179"/>
    </row>
    <row r="456" spans="1:7" ht="12.6" customHeight="1">
      <c r="A456" s="204"/>
      <c r="B456" s="204"/>
      <c r="C456" s="204"/>
      <c r="D456" s="204"/>
      <c r="F456" s="204"/>
      <c r="G456" s="204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2">
        <f>C370</f>
        <v>5746464.5700000003</v>
      </c>
      <c r="C458" s="192">
        <f>CE70</f>
        <v>5746464.2699999977</v>
      </c>
      <c r="D458" s="192"/>
    </row>
    <row r="459" spans="1:7" ht="12.6" customHeight="1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>
      <c r="A460" s="204"/>
      <c r="B460" s="204"/>
      <c r="C460" s="204"/>
      <c r="D460" s="204"/>
      <c r="F460" s="204"/>
      <c r="G460" s="204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2">
        <f>C359</f>
        <v>1052674086.54</v>
      </c>
      <c r="C463" s="192">
        <f>CE73</f>
        <v>1052674086.1299999</v>
      </c>
      <c r="D463" s="192">
        <f>E141+E147+E153</f>
        <v>1052674086.54</v>
      </c>
    </row>
    <row r="464" spans="1:7" ht="12.6" customHeight="1">
      <c r="A464" s="179" t="s">
        <v>246</v>
      </c>
      <c r="B464" s="192">
        <f>C360</f>
        <v>1625901245.78</v>
      </c>
      <c r="C464" s="192">
        <f>CE74</f>
        <v>1625901245.6000001</v>
      </c>
      <c r="D464" s="192">
        <f>E142+E148+E154</f>
        <v>1625901245.7800002</v>
      </c>
    </row>
    <row r="465" spans="1:7" ht="12.6" customHeight="1">
      <c r="A465" s="179" t="s">
        <v>247</v>
      </c>
      <c r="B465" s="192">
        <f>D361</f>
        <v>2678575332.3199997</v>
      </c>
      <c r="C465" s="192">
        <f>CE75</f>
        <v>2678575331.7300005</v>
      </c>
      <c r="D465" s="192">
        <f>D463+D464</f>
        <v>2678575332.3200002</v>
      </c>
    </row>
    <row r="466" spans="1:7" ht="12.6" customHeight="1">
      <c r="A466" s="204"/>
      <c r="B466" s="204"/>
      <c r="C466" s="204"/>
      <c r="D466" s="204"/>
      <c r="F466" s="204"/>
      <c r="G466" s="204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5">C267</f>
        <v>10245719.140000001</v>
      </c>
      <c r="C468" s="179">
        <f>E195</f>
        <v>10245719</v>
      </c>
      <c r="D468" s="179"/>
    </row>
    <row r="469" spans="1:7" ht="12.6" customHeight="1">
      <c r="A469" s="179" t="s">
        <v>333</v>
      </c>
      <c r="B469" s="179">
        <f t="shared" si="15"/>
        <v>2319119</v>
      </c>
      <c r="C469" s="179">
        <f>E196</f>
        <v>2319119</v>
      </c>
      <c r="D469" s="179"/>
    </row>
    <row r="470" spans="1:7" ht="12.6" customHeight="1">
      <c r="A470" s="179" t="s">
        <v>334</v>
      </c>
      <c r="B470" s="179">
        <f t="shared" si="15"/>
        <v>99727204.209999993</v>
      </c>
      <c r="C470" s="179">
        <f>E197</f>
        <v>99727204</v>
      </c>
      <c r="D470" s="179"/>
    </row>
    <row r="471" spans="1:7" ht="12.6" customHeight="1">
      <c r="A471" s="179" t="s">
        <v>494</v>
      </c>
      <c r="B471" s="179">
        <f t="shared" si="15"/>
        <v>15429086.32</v>
      </c>
      <c r="C471" s="179">
        <f>E198</f>
        <v>15429086.369999999</v>
      </c>
      <c r="D471" s="179"/>
    </row>
    <row r="472" spans="1:7" ht="12.6" customHeight="1">
      <c r="A472" s="179" t="s">
        <v>377</v>
      </c>
      <c r="B472" s="179">
        <f t="shared" si="15"/>
        <v>5283866.1899999995</v>
      </c>
      <c r="C472" s="179">
        <f>E199</f>
        <v>5283866.33</v>
      </c>
      <c r="D472" s="179"/>
    </row>
    <row r="473" spans="1:7" ht="12.6" customHeight="1">
      <c r="A473" s="179" t="s">
        <v>495</v>
      </c>
      <c r="B473" s="179">
        <f t="shared" si="15"/>
        <v>157648654.50999999</v>
      </c>
      <c r="C473" s="179">
        <f>SUM(E200:E201)</f>
        <v>157648654.91999999</v>
      </c>
      <c r="D473" s="179"/>
    </row>
    <row r="474" spans="1:7" ht="12.6" customHeight="1">
      <c r="A474" s="179" t="s">
        <v>339</v>
      </c>
      <c r="B474" s="179">
        <f t="shared" si="15"/>
        <v>33510769.609999999</v>
      </c>
      <c r="C474" s="179">
        <f>E202</f>
        <v>33510769.09</v>
      </c>
      <c r="D474" s="179"/>
    </row>
    <row r="475" spans="1:7" ht="12.6" customHeight="1">
      <c r="A475" s="179" t="s">
        <v>340</v>
      </c>
      <c r="B475" s="179">
        <f t="shared" si="15"/>
        <v>279920957.12</v>
      </c>
      <c r="C475" s="179">
        <f>E203</f>
        <v>279920956.91999996</v>
      </c>
      <c r="D475" s="179"/>
    </row>
    <row r="476" spans="1:7" ht="12.6" customHeight="1">
      <c r="A476" s="179" t="s">
        <v>203</v>
      </c>
      <c r="B476" s="179">
        <f>D275</f>
        <v>604085376.10000002</v>
      </c>
      <c r="C476" s="179">
        <f>E204</f>
        <v>604085375.62999988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194113837.59</v>
      </c>
      <c r="C478" s="179">
        <f>E217</f>
        <v>194113836.68000001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906560875.77999985</v>
      </c>
    </row>
    <row r="482" spans="1:12" ht="12.6" customHeight="1">
      <c r="A482" s="180" t="s">
        <v>499</v>
      </c>
      <c r="C482" s="180">
        <f>D339</f>
        <v>906560876.31999993</v>
      </c>
    </row>
    <row r="485" spans="1:12" ht="12.6" customHeight="1">
      <c r="A485" s="197" t="s">
        <v>500</v>
      </c>
    </row>
    <row r="486" spans="1:12" ht="12.6" customHeight="1">
      <c r="A486" s="197" t="s">
        <v>501</v>
      </c>
    </row>
    <row r="487" spans="1:12" ht="12.6" customHeight="1">
      <c r="A487" s="197" t="s">
        <v>502</v>
      </c>
    </row>
    <row r="488" spans="1:12" ht="12.6" customHeight="1">
      <c r="A488" s="197"/>
    </row>
    <row r="489" spans="1:12" ht="12.6" customHeight="1">
      <c r="A489" s="196" t="s">
        <v>503</v>
      </c>
    </row>
    <row r="490" spans="1:12" ht="12.6" customHeight="1">
      <c r="A490" s="197" t="s">
        <v>504</v>
      </c>
    </row>
    <row r="491" spans="1:12" ht="12.6" customHeight="1">
      <c r="A491" s="197"/>
    </row>
    <row r="493" spans="1:12" ht="12.6" customHeight="1">
      <c r="A493" s="180" t="str">
        <f>C83</f>
        <v>142</v>
      </c>
      <c r="B493" s="256" t="str">
        <f>RIGHT('Prior Year'!C82,4)</f>
        <v>2018</v>
      </c>
      <c r="C493" s="256" t="str">
        <f>RIGHT(C82,4)</f>
        <v>2019</v>
      </c>
      <c r="D493" s="256" t="str">
        <f>RIGHT('Prior Year'!C82,4)</f>
        <v>2018</v>
      </c>
      <c r="E493" s="256" t="str">
        <f>RIGHT(C82,4)</f>
        <v>2019</v>
      </c>
      <c r="F493" s="256" t="str">
        <f>RIGHT('Prior Year'!C82,4)</f>
        <v>2018</v>
      </c>
      <c r="G493" s="256" t="str">
        <f>RIGHT(C82,4)</f>
        <v>2019</v>
      </c>
      <c r="H493" s="256"/>
      <c r="K493" s="256"/>
      <c r="L493" s="256"/>
    </row>
    <row r="494" spans="1:12" ht="12.6" customHeight="1">
      <c r="A494" s="196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>
      <c r="A496" s="180" t="s">
        <v>512</v>
      </c>
      <c r="B496" s="235">
        <f>'Prior Year'!C71</f>
        <v>9300283.8499999996</v>
      </c>
      <c r="C496" s="235">
        <f>C71</f>
        <v>9274431.1799999997</v>
      </c>
      <c r="D496" s="235">
        <f>'Prior Year'!C59</f>
        <v>4986</v>
      </c>
      <c r="E496" s="180">
        <f>C59</f>
        <v>4916</v>
      </c>
      <c r="F496" s="258">
        <f t="shared" ref="F496:G511" si="16">IF(B496=0,"",IF(D496=0,"",B496/D496))</f>
        <v>1865.2795527476935</v>
      </c>
      <c r="G496" s="259">
        <f t="shared" si="16"/>
        <v>1886.5807933279089</v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>
      <c r="A497" s="180" t="s">
        <v>513</v>
      </c>
      <c r="B497" s="235">
        <f>'Prior Year'!D71</f>
        <v>0</v>
      </c>
      <c r="C497" s="235">
        <f>D71</f>
        <v>0</v>
      </c>
      <c r="D497" s="235">
        <f>'Prior Year'!D59</f>
        <v>0</v>
      </c>
      <c r="E497" s="180">
        <f>D59</f>
        <v>0</v>
      </c>
      <c r="F497" s="258" t="str">
        <f t="shared" si="16"/>
        <v/>
      </c>
      <c r="G497" s="258" t="str">
        <f t="shared" si="16"/>
        <v/>
      </c>
      <c r="H497" s="260" t="str">
        <f t="shared" ref="H497:H550" si="17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>
      <c r="A498" s="180" t="s">
        <v>514</v>
      </c>
      <c r="B498" s="235">
        <f>'Prior Year'!E71</f>
        <v>48062418.790000007</v>
      </c>
      <c r="C498" s="235">
        <f>E71</f>
        <v>54022814.152500011</v>
      </c>
      <c r="D498" s="235">
        <f>'Prior Year'!E59</f>
        <v>54605</v>
      </c>
      <c r="E498" s="180">
        <f>E59</f>
        <v>56659</v>
      </c>
      <c r="F498" s="258">
        <f t="shared" si="16"/>
        <v>880.18347752037369</v>
      </c>
      <c r="G498" s="258">
        <f t="shared" si="16"/>
        <v>953.47277842002177</v>
      </c>
      <c r="H498" s="260" t="str">
        <f t="shared" si="17"/>
        <v/>
      </c>
      <c r="I498" s="262"/>
      <c r="K498" s="256"/>
      <c r="L498" s="256"/>
    </row>
    <row r="499" spans="1:12" ht="12.6" customHeight="1">
      <c r="A499" s="180" t="s">
        <v>515</v>
      </c>
      <c r="B499" s="235">
        <f>'Prior Year'!F71</f>
        <v>0</v>
      </c>
      <c r="C499" s="235">
        <f>F71</f>
        <v>0</v>
      </c>
      <c r="D499" s="235">
        <f>'Prior Year'!F59</f>
        <v>0</v>
      </c>
      <c r="E499" s="180">
        <f>F59</f>
        <v>0</v>
      </c>
      <c r="F499" s="258" t="str">
        <f t="shared" si="16"/>
        <v/>
      </c>
      <c r="G499" s="258" t="str">
        <f t="shared" si="16"/>
        <v/>
      </c>
      <c r="H499" s="260" t="str">
        <f t="shared" si="17"/>
        <v/>
      </c>
      <c r="I499" s="262"/>
      <c r="K499" s="256"/>
      <c r="L499" s="256"/>
    </row>
    <row r="500" spans="1:12" ht="12.6" customHeight="1">
      <c r="A500" s="180" t="s">
        <v>516</v>
      </c>
      <c r="B500" s="235">
        <f>'Prior Year'!G71</f>
        <v>0</v>
      </c>
      <c r="C500" s="235">
        <f>G71</f>
        <v>119784.64750000001</v>
      </c>
      <c r="D500" s="235">
        <f>'Prior Year'!G59</f>
        <v>0</v>
      </c>
      <c r="E500" s="180">
        <f>G59</f>
        <v>0</v>
      </c>
      <c r="F500" s="258" t="str">
        <f t="shared" si="16"/>
        <v/>
      </c>
      <c r="G500" s="258" t="str">
        <f t="shared" si="16"/>
        <v/>
      </c>
      <c r="H500" s="260" t="str">
        <f t="shared" si="17"/>
        <v/>
      </c>
      <c r="I500" s="262"/>
      <c r="K500" s="256"/>
      <c r="L500" s="256"/>
    </row>
    <row r="501" spans="1:12" ht="12.6" customHeight="1">
      <c r="A501" s="180" t="s">
        <v>517</v>
      </c>
      <c r="B501" s="235">
        <f>'Prior Year'!H71</f>
        <v>758.92000000000007</v>
      </c>
      <c r="C501" s="235">
        <f>H71</f>
        <v>763.63</v>
      </c>
      <c r="D501" s="235">
        <f>'Prior Year'!H59</f>
        <v>0</v>
      </c>
      <c r="E501" s="180">
        <f>H59</f>
        <v>0</v>
      </c>
      <c r="F501" s="258" t="str">
        <f t="shared" si="16"/>
        <v/>
      </c>
      <c r="G501" s="258" t="str">
        <f t="shared" si="16"/>
        <v/>
      </c>
      <c r="H501" s="260" t="str">
        <f t="shared" si="17"/>
        <v/>
      </c>
      <c r="I501" s="262"/>
      <c r="K501" s="256"/>
      <c r="L501" s="256"/>
    </row>
    <row r="502" spans="1:12" ht="12.6" customHeight="1">
      <c r="A502" s="180" t="s">
        <v>518</v>
      </c>
      <c r="B502" s="235">
        <f>'Prior Year'!I71</f>
        <v>0</v>
      </c>
      <c r="C502" s="235">
        <f>I71</f>
        <v>0</v>
      </c>
      <c r="D502" s="235">
        <f>'Prior Year'!I59</f>
        <v>0</v>
      </c>
      <c r="E502" s="180">
        <f>I59</f>
        <v>0</v>
      </c>
      <c r="F502" s="258" t="str">
        <f t="shared" si="16"/>
        <v/>
      </c>
      <c r="G502" s="258" t="str">
        <f t="shared" si="16"/>
        <v/>
      </c>
      <c r="H502" s="260" t="str">
        <f t="shared" si="17"/>
        <v/>
      </c>
      <c r="I502" s="262"/>
      <c r="K502" s="256"/>
      <c r="L502" s="256"/>
    </row>
    <row r="503" spans="1:12" ht="12.6" customHeight="1">
      <c r="A503" s="180" t="s">
        <v>519</v>
      </c>
      <c r="B503" s="235">
        <f>'Prior Year'!J71</f>
        <v>12329251.000000002</v>
      </c>
      <c r="C503" s="235">
        <f>J71</f>
        <v>13564423.77</v>
      </c>
      <c r="D503" s="235">
        <f>'Prior Year'!J59</f>
        <v>3905</v>
      </c>
      <c r="E503" s="180">
        <f>J59</f>
        <v>3964</v>
      </c>
      <c r="F503" s="258">
        <f t="shared" si="16"/>
        <v>3157.2985915492964</v>
      </c>
      <c r="G503" s="258">
        <f t="shared" si="16"/>
        <v>3421.9030701311804</v>
      </c>
      <c r="H503" s="260" t="str">
        <f t="shared" si="17"/>
        <v/>
      </c>
      <c r="I503" s="262"/>
      <c r="K503" s="256"/>
      <c r="L503" s="256"/>
    </row>
    <row r="504" spans="1:12" ht="12.6" customHeight="1">
      <c r="A504" s="180" t="s">
        <v>520</v>
      </c>
      <c r="B504" s="235">
        <f>'Prior Year'!K71</f>
        <v>0</v>
      </c>
      <c r="C504" s="235">
        <f>K71</f>
        <v>0</v>
      </c>
      <c r="D504" s="235">
        <f>'Prior Year'!K59</f>
        <v>0</v>
      </c>
      <c r="E504" s="180">
        <f>K59</f>
        <v>0</v>
      </c>
      <c r="F504" s="258" t="str">
        <f t="shared" si="16"/>
        <v/>
      </c>
      <c r="G504" s="258" t="str">
        <f t="shared" si="16"/>
        <v/>
      </c>
      <c r="H504" s="260" t="str">
        <f t="shared" si="17"/>
        <v/>
      </c>
      <c r="I504" s="262"/>
      <c r="K504" s="256"/>
      <c r="L504" s="256"/>
    </row>
    <row r="505" spans="1:12" ht="12.6" customHeight="1">
      <c r="A505" s="180" t="s">
        <v>521</v>
      </c>
      <c r="B505" s="235">
        <f>'Prior Year'!L71</f>
        <v>0</v>
      </c>
      <c r="C505" s="235">
        <f>L71</f>
        <v>0</v>
      </c>
      <c r="D505" s="235">
        <f>'Prior Year'!L59</f>
        <v>0</v>
      </c>
      <c r="E505" s="180">
        <f>L59</f>
        <v>0</v>
      </c>
      <c r="F505" s="258" t="str">
        <f t="shared" si="16"/>
        <v/>
      </c>
      <c r="G505" s="258" t="str">
        <f t="shared" si="16"/>
        <v/>
      </c>
      <c r="H505" s="260" t="str">
        <f t="shared" si="17"/>
        <v/>
      </c>
      <c r="I505" s="262"/>
      <c r="K505" s="256"/>
      <c r="L505" s="256"/>
    </row>
    <row r="506" spans="1:12" ht="12.6" customHeight="1">
      <c r="A506" s="180" t="s">
        <v>522</v>
      </c>
      <c r="B506" s="235">
        <f>'Prior Year'!M71</f>
        <v>0</v>
      </c>
      <c r="C506" s="235">
        <f>M71</f>
        <v>0</v>
      </c>
      <c r="D506" s="235">
        <f>'Prior Year'!M59</f>
        <v>0</v>
      </c>
      <c r="E506" s="180">
        <f>M59</f>
        <v>0</v>
      </c>
      <c r="F506" s="258" t="str">
        <f t="shared" si="16"/>
        <v/>
      </c>
      <c r="G506" s="258" t="str">
        <f t="shared" si="16"/>
        <v/>
      </c>
      <c r="H506" s="260" t="str">
        <f t="shared" si="17"/>
        <v/>
      </c>
      <c r="I506" s="262"/>
      <c r="K506" s="256"/>
      <c r="L506" s="256"/>
    </row>
    <row r="507" spans="1:12" ht="12.6" customHeight="1">
      <c r="A507" s="180" t="s">
        <v>523</v>
      </c>
      <c r="B507" s="235">
        <f>'Prior Year'!N71</f>
        <v>0</v>
      </c>
      <c r="C507" s="235">
        <f>N71</f>
        <v>0</v>
      </c>
      <c r="D507" s="235">
        <f>'Prior Year'!N59</f>
        <v>0</v>
      </c>
      <c r="E507" s="180">
        <f>N59</f>
        <v>0</v>
      </c>
      <c r="F507" s="258" t="str">
        <f t="shared" si="16"/>
        <v/>
      </c>
      <c r="G507" s="258" t="str">
        <f t="shared" si="16"/>
        <v/>
      </c>
      <c r="H507" s="260" t="str">
        <f t="shared" si="17"/>
        <v/>
      </c>
      <c r="I507" s="262"/>
      <c r="K507" s="256"/>
      <c r="L507" s="256"/>
    </row>
    <row r="508" spans="1:12" ht="12.6" customHeight="1">
      <c r="A508" s="180" t="s">
        <v>524</v>
      </c>
      <c r="B508" s="235">
        <f>'Prior Year'!O71</f>
        <v>0</v>
      </c>
      <c r="C508" s="235">
        <f>O71</f>
        <v>0</v>
      </c>
      <c r="D508" s="235">
        <f>'Prior Year'!O59</f>
        <v>0</v>
      </c>
      <c r="E508" s="180">
        <f>O59</f>
        <v>0</v>
      </c>
      <c r="F508" s="258" t="str">
        <f t="shared" si="16"/>
        <v/>
      </c>
      <c r="G508" s="258" t="str">
        <f t="shared" si="16"/>
        <v/>
      </c>
      <c r="H508" s="260" t="str">
        <f t="shared" si="17"/>
        <v/>
      </c>
      <c r="I508" s="262"/>
      <c r="K508" s="256"/>
      <c r="L508" s="256"/>
    </row>
    <row r="509" spans="1:12" ht="12.6" customHeight="1">
      <c r="A509" s="180" t="s">
        <v>525</v>
      </c>
      <c r="B509" s="235">
        <f>'Prior Year'!P71</f>
        <v>40527366.009999998</v>
      </c>
      <c r="C509" s="235">
        <f>P71</f>
        <v>48223151.385000005</v>
      </c>
      <c r="D509" s="235">
        <f>'Prior Year'!P59</f>
        <v>965224</v>
      </c>
      <c r="E509" s="180">
        <f>P59</f>
        <v>1103372</v>
      </c>
      <c r="F509" s="258">
        <f t="shared" si="16"/>
        <v>41.987524149834648</v>
      </c>
      <c r="G509" s="258">
        <f t="shared" si="16"/>
        <v>43.705252068205468</v>
      </c>
      <c r="H509" s="260" t="str">
        <f t="shared" si="17"/>
        <v/>
      </c>
      <c r="I509" s="262"/>
      <c r="K509" s="256"/>
      <c r="L509" s="256"/>
    </row>
    <row r="510" spans="1:12" ht="12.6" customHeight="1">
      <c r="A510" s="180" t="s">
        <v>526</v>
      </c>
      <c r="B510" s="235">
        <f>'Prior Year'!Q71</f>
        <v>6397711.5</v>
      </c>
      <c r="C510" s="235">
        <f>Q71</f>
        <v>6604556.9600000009</v>
      </c>
      <c r="D510" s="235">
        <f>'Prior Year'!Q59</f>
        <v>31928</v>
      </c>
      <c r="E510" s="180">
        <f>Q59</f>
        <v>34537</v>
      </c>
      <c r="F510" s="258">
        <f t="shared" si="16"/>
        <v>200.3793378852418</v>
      </c>
      <c r="G510" s="258">
        <f t="shared" si="16"/>
        <v>191.23134493441819</v>
      </c>
      <c r="H510" s="260" t="str">
        <f t="shared" si="17"/>
        <v/>
      </c>
      <c r="I510" s="262"/>
      <c r="K510" s="256"/>
      <c r="L510" s="256"/>
    </row>
    <row r="511" spans="1:12" ht="12.6" customHeight="1">
      <c r="A511" s="180" t="s">
        <v>527</v>
      </c>
      <c r="B511" s="235">
        <f>'Prior Year'!R71</f>
        <v>1241472.2</v>
      </c>
      <c r="C511" s="235">
        <f>R71</f>
        <v>1577080.55</v>
      </c>
      <c r="D511" s="235">
        <f>'Prior Year'!R59</f>
        <v>572370</v>
      </c>
      <c r="E511" s="180">
        <f>R59</f>
        <v>642960</v>
      </c>
      <c r="F511" s="258">
        <f t="shared" si="16"/>
        <v>2.1690029176931005</v>
      </c>
      <c r="G511" s="258">
        <f t="shared" si="16"/>
        <v>2.4528439560781385</v>
      </c>
      <c r="H511" s="260" t="str">
        <f t="shared" si="17"/>
        <v/>
      </c>
      <c r="I511" s="262"/>
      <c r="K511" s="256"/>
      <c r="L511" s="256"/>
    </row>
    <row r="512" spans="1:12" ht="12.6" customHeight="1">
      <c r="A512" s="180" t="s">
        <v>528</v>
      </c>
      <c r="B512" s="235">
        <f>'Prior Year'!S71</f>
        <v>2659349.2025842182</v>
      </c>
      <c r="C512" s="235">
        <f>S71</f>
        <v>3318199.9894524994</v>
      </c>
      <c r="D512" s="181" t="s">
        <v>529</v>
      </c>
      <c r="E512" s="181" t="s">
        <v>529</v>
      </c>
      <c r="F512" s="258" t="str">
        <f t="shared" ref="F512:G527" si="18">IF(B512=0,"",IF(D512=0,"",B512/D512))</f>
        <v/>
      </c>
      <c r="G512" s="258" t="str">
        <f t="shared" si="18"/>
        <v/>
      </c>
      <c r="H512" s="260" t="str">
        <f t="shared" si="17"/>
        <v/>
      </c>
      <c r="I512" s="262"/>
      <c r="K512" s="256"/>
      <c r="L512" s="256"/>
    </row>
    <row r="513" spans="1:12" ht="12.6" customHeight="1">
      <c r="A513" s="180" t="s">
        <v>1246</v>
      </c>
      <c r="B513" s="235">
        <f>'Prior Year'!T71</f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8"/>
        <v/>
      </c>
      <c r="G513" s="258" t="str">
        <f t="shared" si="18"/>
        <v/>
      </c>
      <c r="H513" s="260" t="str">
        <f t="shared" si="17"/>
        <v/>
      </c>
      <c r="I513" s="262"/>
      <c r="K513" s="256"/>
      <c r="L513" s="256"/>
    </row>
    <row r="514" spans="1:12" ht="12.6" customHeight="1">
      <c r="A514" s="180" t="s">
        <v>530</v>
      </c>
      <c r="B514" s="235">
        <f>'Prior Year'!U71</f>
        <v>12635470.559999999</v>
      </c>
      <c r="C514" s="235">
        <f>U71</f>
        <v>14762912.51</v>
      </c>
      <c r="D514" s="235">
        <f>'Prior Year'!U59</f>
        <v>880523</v>
      </c>
      <c r="E514" s="180">
        <f>U59</f>
        <v>1127200</v>
      </c>
      <c r="F514" s="258">
        <f t="shared" si="18"/>
        <v>14.349960830097565</v>
      </c>
      <c r="G514" s="258">
        <f t="shared" si="18"/>
        <v>13.096977031582682</v>
      </c>
      <c r="H514" s="260" t="str">
        <f t="shared" si="17"/>
        <v/>
      </c>
      <c r="I514" s="262"/>
      <c r="K514" s="256"/>
      <c r="L514" s="256"/>
    </row>
    <row r="515" spans="1:12" ht="12.6" customHeight="1">
      <c r="A515" s="180" t="s">
        <v>531</v>
      </c>
      <c r="B515" s="235">
        <f>'Prior Year'!V71</f>
        <v>748332.80999999982</v>
      </c>
      <c r="C515" s="235">
        <f>V71</f>
        <v>1091779.9500000002</v>
      </c>
      <c r="D515" s="235">
        <f>'Prior Year'!V59</f>
        <v>32879</v>
      </c>
      <c r="E515" s="180">
        <f>V59</f>
        <v>37304</v>
      </c>
      <c r="F515" s="258">
        <f t="shared" si="18"/>
        <v>22.760205906505668</v>
      </c>
      <c r="G515" s="258">
        <f t="shared" si="18"/>
        <v>29.267101383229686</v>
      </c>
      <c r="H515" s="260">
        <f t="shared" si="17"/>
        <v>0.28588913050492737</v>
      </c>
      <c r="I515" s="262" t="s">
        <v>1440</v>
      </c>
      <c r="K515" s="256"/>
      <c r="L515" s="256"/>
    </row>
    <row r="516" spans="1:12" ht="12.6" customHeight="1">
      <c r="A516" s="180" t="s">
        <v>532</v>
      </c>
      <c r="B516" s="235">
        <f>'Prior Year'!W71</f>
        <v>738302.89</v>
      </c>
      <c r="C516" s="235">
        <f>W71</f>
        <v>858273.73000000021</v>
      </c>
      <c r="D516" s="235">
        <f>'Prior Year'!W59</f>
        <v>2668</v>
      </c>
      <c r="E516" s="180">
        <f>W59</f>
        <v>3374</v>
      </c>
      <c r="F516" s="258">
        <f t="shared" si="18"/>
        <v>276.72522113943029</v>
      </c>
      <c r="G516" s="258">
        <f t="shared" si="18"/>
        <v>254.37869887374043</v>
      </c>
      <c r="H516" s="260" t="str">
        <f t="shared" si="17"/>
        <v/>
      </c>
      <c r="I516" s="262"/>
      <c r="K516" s="256"/>
      <c r="L516" s="256"/>
    </row>
    <row r="517" spans="1:12" ht="12.6" customHeight="1">
      <c r="A517" s="180" t="s">
        <v>533</v>
      </c>
      <c r="B517" s="235">
        <f>'Prior Year'!X71</f>
        <v>0</v>
      </c>
      <c r="C517" s="235">
        <f>X71</f>
        <v>0</v>
      </c>
      <c r="D517" s="235">
        <f>'Prior Year'!X59</f>
        <v>0</v>
      </c>
      <c r="E517" s="180">
        <f>X59</f>
        <v>0</v>
      </c>
      <c r="F517" s="258" t="str">
        <f t="shared" si="18"/>
        <v/>
      </c>
      <c r="G517" s="258" t="str">
        <f t="shared" si="18"/>
        <v/>
      </c>
      <c r="H517" s="260" t="str">
        <f t="shared" si="17"/>
        <v/>
      </c>
      <c r="I517" s="262"/>
      <c r="K517" s="256"/>
      <c r="L517" s="256"/>
    </row>
    <row r="518" spans="1:12" ht="12.6" customHeight="1">
      <c r="A518" s="180" t="s">
        <v>534</v>
      </c>
      <c r="B518" s="235">
        <f>'Prior Year'!Y71</f>
        <v>34979232.449999988</v>
      </c>
      <c r="C518" s="235">
        <f>Y71</f>
        <v>41452895.600000001</v>
      </c>
      <c r="D518" s="235">
        <f>'Prior Year'!Y59</f>
        <v>131426</v>
      </c>
      <c r="E518" s="180">
        <f>Y59</f>
        <v>147723</v>
      </c>
      <c r="F518" s="258">
        <f t="shared" si="18"/>
        <v>266.15154117145761</v>
      </c>
      <c r="G518" s="258">
        <f t="shared" si="18"/>
        <v>280.61233254131042</v>
      </c>
      <c r="H518" s="260" t="str">
        <f t="shared" si="17"/>
        <v/>
      </c>
      <c r="I518" s="262"/>
      <c r="K518" s="256"/>
      <c r="L518" s="256"/>
    </row>
    <row r="519" spans="1:12" ht="12.6" customHeight="1">
      <c r="A519" s="180" t="s">
        <v>535</v>
      </c>
      <c r="B519" s="235">
        <f>'Prior Year'!Z71</f>
        <v>3399580.13</v>
      </c>
      <c r="C519" s="235">
        <f>Z71</f>
        <v>4491174.66</v>
      </c>
      <c r="D519" s="235">
        <f>'Prior Year'!Z59</f>
        <v>13394</v>
      </c>
      <c r="E519" s="180">
        <f>Z59</f>
        <v>16308</v>
      </c>
      <c r="F519" s="258">
        <f t="shared" si="18"/>
        <v>253.81365760788412</v>
      </c>
      <c r="G519" s="258">
        <f t="shared" si="18"/>
        <v>275.39702354672556</v>
      </c>
      <c r="H519" s="260" t="str">
        <f t="shared" si="17"/>
        <v/>
      </c>
      <c r="I519" s="262"/>
      <c r="K519" s="256"/>
      <c r="L519" s="256"/>
    </row>
    <row r="520" spans="1:12" ht="12.6" customHeight="1">
      <c r="A520" s="180" t="s">
        <v>536</v>
      </c>
      <c r="B520" s="235">
        <f>'Prior Year'!AA71</f>
        <v>1579905.16</v>
      </c>
      <c r="C520" s="235">
        <f>AA71</f>
        <v>1327121.1099999999</v>
      </c>
      <c r="D520" s="235">
        <f>'Prior Year'!AA59</f>
        <v>2790</v>
      </c>
      <c r="E520" s="180">
        <f>AA59</f>
        <v>2899</v>
      </c>
      <c r="F520" s="258">
        <f t="shared" si="18"/>
        <v>566.27425089605731</v>
      </c>
      <c r="G520" s="258">
        <f t="shared" si="18"/>
        <v>457.78582614694716</v>
      </c>
      <c r="H520" s="260" t="str">
        <f t="shared" si="17"/>
        <v/>
      </c>
      <c r="I520" s="262"/>
      <c r="K520" s="256"/>
      <c r="L520" s="256"/>
    </row>
    <row r="521" spans="1:12" ht="12.6" customHeight="1">
      <c r="A521" s="180" t="s">
        <v>537</v>
      </c>
      <c r="B521" s="235">
        <f>'Prior Year'!AB71</f>
        <v>19459686.57</v>
      </c>
      <c r="C521" s="235">
        <f>AB71</f>
        <v>19261775.280000001</v>
      </c>
      <c r="D521" s="181" t="s">
        <v>529</v>
      </c>
      <c r="E521" s="181" t="s">
        <v>529</v>
      </c>
      <c r="F521" s="258" t="str">
        <f t="shared" si="18"/>
        <v/>
      </c>
      <c r="G521" s="258" t="str">
        <f t="shared" si="18"/>
        <v/>
      </c>
      <c r="H521" s="260" t="str">
        <f t="shared" si="17"/>
        <v/>
      </c>
      <c r="I521" s="262"/>
      <c r="K521" s="256"/>
      <c r="L521" s="256"/>
    </row>
    <row r="522" spans="1:12" ht="12.6" customHeight="1">
      <c r="A522" s="180" t="s">
        <v>538</v>
      </c>
      <c r="B522" s="235">
        <f>'Prior Year'!AC71</f>
        <v>7275689.9799999995</v>
      </c>
      <c r="C522" s="235">
        <f>AC71</f>
        <v>7547227.2500000019</v>
      </c>
      <c r="D522" s="235">
        <f>'Prior Year'!AC59</f>
        <v>86711</v>
      </c>
      <c r="E522" s="180">
        <f>AC59</f>
        <v>84461</v>
      </c>
      <c r="F522" s="258">
        <f t="shared" si="18"/>
        <v>83.907347164719582</v>
      </c>
      <c r="G522" s="258">
        <f t="shared" si="18"/>
        <v>89.357540758456594</v>
      </c>
      <c r="H522" s="260" t="str">
        <f t="shared" si="17"/>
        <v/>
      </c>
      <c r="I522" s="262"/>
      <c r="K522" s="256"/>
      <c r="L522" s="256"/>
    </row>
    <row r="523" spans="1:12" ht="12.6" customHeight="1">
      <c r="A523" s="180" t="s">
        <v>539</v>
      </c>
      <c r="B523" s="235">
        <f>'Prior Year'!AD71</f>
        <v>20653</v>
      </c>
      <c r="C523" s="235">
        <f>AD71</f>
        <v>41289</v>
      </c>
      <c r="D523" s="235">
        <f>'Prior Year'!AD59</f>
        <v>0</v>
      </c>
      <c r="E523" s="180">
        <f>AD59</f>
        <v>0</v>
      </c>
      <c r="F523" s="258" t="str">
        <f t="shared" si="18"/>
        <v/>
      </c>
      <c r="G523" s="258" t="str">
        <f t="shared" si="18"/>
        <v/>
      </c>
      <c r="H523" s="260" t="str">
        <f t="shared" si="17"/>
        <v/>
      </c>
      <c r="I523" s="262"/>
      <c r="K523" s="256"/>
      <c r="L523" s="256"/>
    </row>
    <row r="524" spans="1:12" ht="12.6" customHeight="1">
      <c r="A524" s="180" t="s">
        <v>540</v>
      </c>
      <c r="B524" s="235">
        <f>'Prior Year'!AE71</f>
        <v>7115973.5900000017</v>
      </c>
      <c r="C524" s="235">
        <f>AE71</f>
        <v>7820847.46</v>
      </c>
      <c r="D524" s="235">
        <f>'Prior Year'!AE59</f>
        <v>76570</v>
      </c>
      <c r="E524" s="180">
        <f>AE59</f>
        <v>94259</v>
      </c>
      <c r="F524" s="258">
        <f t="shared" si="18"/>
        <v>92.934224761656026</v>
      </c>
      <c r="G524" s="258">
        <f t="shared" si="18"/>
        <v>82.971890853923767</v>
      </c>
      <c r="H524" s="260" t="str">
        <f t="shared" si="17"/>
        <v/>
      </c>
      <c r="I524" s="262"/>
      <c r="K524" s="256"/>
      <c r="L524" s="256"/>
    </row>
    <row r="525" spans="1:12" ht="12.6" customHeight="1">
      <c r="A525" s="180" t="s">
        <v>541</v>
      </c>
      <c r="B525" s="235">
        <f>'Prior Year'!AF71</f>
        <v>0</v>
      </c>
      <c r="C525" s="235">
        <f>AF71</f>
        <v>0</v>
      </c>
      <c r="D525" s="235">
        <f>'Prior Year'!AF59</f>
        <v>0</v>
      </c>
      <c r="E525" s="180">
        <f>AF59</f>
        <v>0</v>
      </c>
      <c r="F525" s="258" t="str">
        <f t="shared" si="18"/>
        <v/>
      </c>
      <c r="G525" s="258" t="str">
        <f t="shared" si="18"/>
        <v/>
      </c>
      <c r="H525" s="260" t="str">
        <f t="shared" si="17"/>
        <v/>
      </c>
      <c r="I525" s="262"/>
      <c r="K525" s="256"/>
      <c r="L525" s="256"/>
    </row>
    <row r="526" spans="1:12" ht="12.6" customHeight="1">
      <c r="A526" s="180" t="s">
        <v>542</v>
      </c>
      <c r="B526" s="235">
        <f>'Prior Year'!AG71</f>
        <v>22292096.050000004</v>
      </c>
      <c r="C526" s="235">
        <f>AG71</f>
        <v>23316139.699999999</v>
      </c>
      <c r="D526" s="235">
        <f>'Prior Year'!AG59</f>
        <v>71871</v>
      </c>
      <c r="E526" s="180">
        <f>AG59</f>
        <v>78387</v>
      </c>
      <c r="F526" s="258">
        <f t="shared" si="18"/>
        <v>310.16816309777244</v>
      </c>
      <c r="G526" s="258">
        <f t="shared" si="18"/>
        <v>297.44906298238226</v>
      </c>
      <c r="H526" s="260" t="str">
        <f t="shared" si="17"/>
        <v/>
      </c>
      <c r="I526" s="262"/>
      <c r="K526" s="256"/>
      <c r="L526" s="256"/>
    </row>
    <row r="527" spans="1:12" ht="12.6" customHeight="1">
      <c r="A527" s="180" t="s">
        <v>543</v>
      </c>
      <c r="B527" s="235">
        <f>'Prior Year'!AH71</f>
        <v>0</v>
      </c>
      <c r="C527" s="235">
        <f>AH71</f>
        <v>0</v>
      </c>
      <c r="D527" s="235">
        <f>'Prior Year'!AH59</f>
        <v>0</v>
      </c>
      <c r="E527" s="180">
        <f>AH59</f>
        <v>0</v>
      </c>
      <c r="F527" s="258" t="str">
        <f t="shared" si="18"/>
        <v/>
      </c>
      <c r="G527" s="258" t="str">
        <f t="shared" si="18"/>
        <v/>
      </c>
      <c r="H527" s="260" t="str">
        <f t="shared" si="17"/>
        <v/>
      </c>
      <c r="I527" s="262"/>
      <c r="K527" s="256"/>
      <c r="L527" s="256"/>
    </row>
    <row r="528" spans="1:12" ht="12.6" customHeight="1">
      <c r="A528" s="180" t="s">
        <v>544</v>
      </c>
      <c r="B528" s="235">
        <f>'Prior Year'!AI71</f>
        <v>0</v>
      </c>
      <c r="C528" s="235">
        <f>AI71</f>
        <v>0</v>
      </c>
      <c r="D528" s="235">
        <f>'Prior Year'!AI59</f>
        <v>0</v>
      </c>
      <c r="E528" s="180">
        <f>AI59</f>
        <v>0</v>
      </c>
      <c r="F528" s="258" t="str">
        <f t="shared" ref="F528:G540" si="19">IF(B528=0,"",IF(D528=0,"",B528/D528))</f>
        <v/>
      </c>
      <c r="G528" s="258" t="str">
        <f t="shared" si="19"/>
        <v/>
      </c>
      <c r="H528" s="260" t="str">
        <f t="shared" si="17"/>
        <v/>
      </c>
      <c r="I528" s="262"/>
      <c r="K528" s="256"/>
      <c r="L528" s="256"/>
    </row>
    <row r="529" spans="1:12" ht="12.6" customHeight="1">
      <c r="A529" s="180" t="s">
        <v>545</v>
      </c>
      <c r="B529" s="235">
        <f>'Prior Year'!AJ71</f>
        <v>0</v>
      </c>
      <c r="C529" s="235">
        <f>AJ71</f>
        <v>152944654.15999997</v>
      </c>
      <c r="D529" s="235">
        <f>'Prior Year'!AJ59</f>
        <v>0</v>
      </c>
      <c r="E529" s="180">
        <f>AJ59</f>
        <v>512461</v>
      </c>
      <c r="F529" s="258" t="str">
        <f t="shared" si="19"/>
        <v/>
      </c>
      <c r="G529" s="258">
        <f t="shared" si="19"/>
        <v>298.4513048992996</v>
      </c>
      <c r="H529" s="260" t="str">
        <f t="shared" si="17"/>
        <v/>
      </c>
      <c r="I529" s="262"/>
      <c r="K529" s="256"/>
      <c r="L529" s="256"/>
    </row>
    <row r="530" spans="1:12" ht="12.6" customHeight="1">
      <c r="A530" s="180" t="s">
        <v>546</v>
      </c>
      <c r="B530" s="235">
        <f>'Prior Year'!AK71</f>
        <v>1419635.0299999998</v>
      </c>
      <c r="C530" s="235">
        <f>AK71</f>
        <v>1686820.7300000004</v>
      </c>
      <c r="D530" s="235">
        <f>'Prior Year'!AK59</f>
        <v>22744</v>
      </c>
      <c r="E530" s="180">
        <f>AK59</f>
        <v>25891</v>
      </c>
      <c r="F530" s="258">
        <f t="shared" si="19"/>
        <v>62.418001670770302</v>
      </c>
      <c r="G530" s="258">
        <f t="shared" si="19"/>
        <v>65.150852805994376</v>
      </c>
      <c r="H530" s="260" t="str">
        <f t="shared" si="17"/>
        <v/>
      </c>
      <c r="I530" s="262"/>
      <c r="K530" s="256"/>
      <c r="L530" s="256"/>
    </row>
    <row r="531" spans="1:12" ht="12.6" customHeight="1">
      <c r="A531" s="180" t="s">
        <v>547</v>
      </c>
      <c r="B531" s="235">
        <f>'Prior Year'!AL71</f>
        <v>644566.48</v>
      </c>
      <c r="C531" s="235">
        <f>AL71</f>
        <v>723215.99000000022</v>
      </c>
      <c r="D531" s="235">
        <f>'Prior Year'!AL59</f>
        <v>3428</v>
      </c>
      <c r="E531" s="180">
        <f>AL59</f>
        <v>3959</v>
      </c>
      <c r="F531" s="258">
        <f t="shared" si="19"/>
        <v>188.02989498249707</v>
      </c>
      <c r="G531" s="258">
        <f t="shared" si="19"/>
        <v>182.67643091689825</v>
      </c>
      <c r="H531" s="260" t="str">
        <f t="shared" si="17"/>
        <v/>
      </c>
      <c r="I531" s="262"/>
      <c r="K531" s="256"/>
      <c r="L531" s="256"/>
    </row>
    <row r="532" spans="1:12" ht="12.6" customHeight="1">
      <c r="A532" s="180" t="s">
        <v>548</v>
      </c>
      <c r="B532" s="235">
        <f>'Prior Year'!AM71</f>
        <v>1941.5</v>
      </c>
      <c r="C532" s="235">
        <f>AM71</f>
        <v>-44.78</v>
      </c>
      <c r="D532" s="235">
        <f>'Prior Year'!AM59</f>
        <v>0</v>
      </c>
      <c r="E532" s="180">
        <f>AM59</f>
        <v>0</v>
      </c>
      <c r="F532" s="258" t="str">
        <f t="shared" si="19"/>
        <v/>
      </c>
      <c r="G532" s="258" t="str">
        <f t="shared" si="19"/>
        <v/>
      </c>
      <c r="H532" s="260" t="str">
        <f t="shared" si="17"/>
        <v/>
      </c>
      <c r="I532" s="262"/>
      <c r="K532" s="256"/>
      <c r="L532" s="256"/>
    </row>
    <row r="533" spans="1:12" ht="12.6" customHeight="1">
      <c r="A533" s="180" t="s">
        <v>1247</v>
      </c>
      <c r="B533" s="235">
        <f>'Prior Year'!AN71</f>
        <v>0</v>
      </c>
      <c r="C533" s="235">
        <f>AN71</f>
        <v>0</v>
      </c>
      <c r="D533" s="235">
        <f>'Prior Year'!AN59</f>
        <v>0</v>
      </c>
      <c r="E533" s="180">
        <f>AN59</f>
        <v>0</v>
      </c>
      <c r="F533" s="258" t="str">
        <f t="shared" si="19"/>
        <v/>
      </c>
      <c r="G533" s="258" t="str">
        <f t="shared" si="19"/>
        <v/>
      </c>
      <c r="H533" s="260" t="str">
        <f t="shared" si="17"/>
        <v/>
      </c>
      <c r="I533" s="262"/>
      <c r="K533" s="256"/>
      <c r="L533" s="256"/>
    </row>
    <row r="534" spans="1:12" ht="12.6" customHeight="1">
      <c r="A534" s="180" t="s">
        <v>549</v>
      </c>
      <c r="B534" s="235">
        <f>'Prior Year'!AO71</f>
        <v>0</v>
      </c>
      <c r="C534" s="235">
        <f>AO71</f>
        <v>0</v>
      </c>
      <c r="D534" s="235">
        <f>'Prior Year'!AO59</f>
        <v>0</v>
      </c>
      <c r="E534" s="180">
        <f>AO59</f>
        <v>0</v>
      </c>
      <c r="F534" s="258" t="str">
        <f t="shared" si="19"/>
        <v/>
      </c>
      <c r="G534" s="258" t="str">
        <f t="shared" si="19"/>
        <v/>
      </c>
      <c r="H534" s="260" t="str">
        <f t="shared" si="17"/>
        <v/>
      </c>
      <c r="I534" s="262"/>
      <c r="K534" s="256"/>
      <c r="L534" s="256"/>
    </row>
    <row r="535" spans="1:12" ht="12.6" customHeight="1">
      <c r="A535" s="180" t="s">
        <v>550</v>
      </c>
      <c r="B535" s="235">
        <f>'Prior Year'!AP71</f>
        <v>50316696.040000007</v>
      </c>
      <c r="C535" s="235">
        <f>AP71</f>
        <v>54707514.900000013</v>
      </c>
      <c r="D535" s="235">
        <f>'Prior Year'!AP59</f>
        <v>93275</v>
      </c>
      <c r="E535" s="180">
        <f>AP59</f>
        <v>473447</v>
      </c>
      <c r="F535" s="258">
        <f t="shared" si="19"/>
        <v>539.4446104529618</v>
      </c>
      <c r="G535" s="258">
        <f t="shared" si="19"/>
        <v>115.55150819415904</v>
      </c>
      <c r="H535" s="260">
        <f t="shared" si="17"/>
        <v>-0.78579541633174799</v>
      </c>
      <c r="I535" s="262" t="s">
        <v>1439</v>
      </c>
      <c r="K535" s="256"/>
      <c r="L535" s="256"/>
    </row>
    <row r="536" spans="1:12" ht="12.6" customHeight="1">
      <c r="A536" s="180" t="s">
        <v>551</v>
      </c>
      <c r="B536" s="235">
        <f>'Prior Year'!AQ71</f>
        <v>0</v>
      </c>
      <c r="C536" s="235">
        <f>AQ71</f>
        <v>0</v>
      </c>
      <c r="D536" s="235">
        <f>'Prior Year'!AQ59</f>
        <v>0</v>
      </c>
      <c r="E536" s="180">
        <f>AQ59</f>
        <v>0</v>
      </c>
      <c r="F536" s="258" t="str">
        <f t="shared" si="19"/>
        <v/>
      </c>
      <c r="G536" s="258" t="str">
        <f t="shared" si="19"/>
        <v/>
      </c>
      <c r="H536" s="260" t="str">
        <f t="shared" si="17"/>
        <v/>
      </c>
      <c r="I536" s="262"/>
      <c r="K536" s="256"/>
      <c r="L536" s="256"/>
    </row>
    <row r="537" spans="1:12" ht="12.6" customHeight="1">
      <c r="A537" s="180" t="s">
        <v>552</v>
      </c>
      <c r="B537" s="235">
        <f>'Prior Year'!AR71</f>
        <v>5644.6</v>
      </c>
      <c r="C537" s="235">
        <f>AR71</f>
        <v>0</v>
      </c>
      <c r="D537" s="235">
        <f>'Prior Year'!AR59</f>
        <v>0</v>
      </c>
      <c r="E537" s="180">
        <f>AR59</f>
        <v>0</v>
      </c>
      <c r="F537" s="258" t="str">
        <f t="shared" si="19"/>
        <v/>
      </c>
      <c r="G537" s="258" t="str">
        <f t="shared" si="19"/>
        <v/>
      </c>
      <c r="H537" s="260" t="str">
        <f t="shared" si="17"/>
        <v/>
      </c>
      <c r="I537" s="262"/>
      <c r="K537" s="256"/>
      <c r="L537" s="256"/>
    </row>
    <row r="538" spans="1:12" ht="12.6" customHeight="1">
      <c r="A538" s="180" t="s">
        <v>553</v>
      </c>
      <c r="B538" s="235">
        <f>'Prior Year'!AS71</f>
        <v>0</v>
      </c>
      <c r="C538" s="235">
        <f>AS71</f>
        <v>0</v>
      </c>
      <c r="D538" s="235">
        <f>'Prior Year'!AS59</f>
        <v>0</v>
      </c>
      <c r="E538" s="180">
        <f>AS59</f>
        <v>0</v>
      </c>
      <c r="F538" s="258" t="str">
        <f t="shared" si="19"/>
        <v/>
      </c>
      <c r="G538" s="258" t="str">
        <f t="shared" si="19"/>
        <v/>
      </c>
      <c r="H538" s="260" t="str">
        <f t="shared" si="17"/>
        <v/>
      </c>
      <c r="I538" s="262"/>
      <c r="K538" s="256"/>
      <c r="L538" s="256"/>
    </row>
    <row r="539" spans="1:12" ht="12.6" customHeight="1">
      <c r="A539" s="180" t="s">
        <v>554</v>
      </c>
      <c r="B539" s="235">
        <f>'Prior Year'!AT71</f>
        <v>0</v>
      </c>
      <c r="C539" s="235">
        <f>AT71</f>
        <v>0</v>
      </c>
      <c r="D539" s="235">
        <f>'Prior Year'!AT59</f>
        <v>0</v>
      </c>
      <c r="E539" s="180">
        <f>AT59</f>
        <v>0</v>
      </c>
      <c r="F539" s="258" t="str">
        <f t="shared" si="19"/>
        <v/>
      </c>
      <c r="G539" s="258" t="str">
        <f t="shared" si="19"/>
        <v/>
      </c>
      <c r="H539" s="260" t="str">
        <f t="shared" si="17"/>
        <v/>
      </c>
      <c r="I539" s="262"/>
      <c r="K539" s="256"/>
      <c r="L539" s="256"/>
    </row>
    <row r="540" spans="1:12" ht="12.6" customHeight="1">
      <c r="A540" s="180" t="s">
        <v>555</v>
      </c>
      <c r="B540" s="235">
        <f>'Prior Year'!AU71</f>
        <v>0</v>
      </c>
      <c r="C540" s="235">
        <f>AU71</f>
        <v>0</v>
      </c>
      <c r="D540" s="235">
        <f>'Prior Year'!AU59</f>
        <v>0</v>
      </c>
      <c r="E540" s="180">
        <f>AU59</f>
        <v>0</v>
      </c>
      <c r="F540" s="258" t="str">
        <f t="shared" si="19"/>
        <v/>
      </c>
      <c r="G540" s="258" t="str">
        <f t="shared" si="19"/>
        <v/>
      </c>
      <c r="H540" s="260" t="str">
        <f t="shared" si="17"/>
        <v/>
      </c>
      <c r="I540" s="262"/>
      <c r="K540" s="256"/>
      <c r="L540" s="256"/>
    </row>
    <row r="541" spans="1:12" ht="12.6" customHeight="1">
      <c r="A541" s="180" t="s">
        <v>556</v>
      </c>
      <c r="B541" s="235">
        <f>'Prior Year'!AV71</f>
        <v>4486032.9327999996</v>
      </c>
      <c r="C541" s="235">
        <f>AV71</f>
        <v>3364723.4149999996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>
      <c r="A542" s="180" t="s">
        <v>1248</v>
      </c>
      <c r="B542" s="235">
        <f>'Prior Year'!AW71</f>
        <v>908821.87000000023</v>
      </c>
      <c r="C542" s="235">
        <f>AW71</f>
        <v>1031834.75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>
      <c r="A543" s="180" t="s">
        <v>557</v>
      </c>
      <c r="B543" s="235">
        <f>'Prior Year'!AX71</f>
        <v>1482.5688</v>
      </c>
      <c r="C543" s="235">
        <f>AX71</f>
        <v>194884.55999999997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>
      <c r="A544" s="180" t="s">
        <v>558</v>
      </c>
      <c r="B544" s="235">
        <f>'Prior Year'!AY71</f>
        <v>5769313.4400000004</v>
      </c>
      <c r="C544" s="235">
        <f>AY71</f>
        <v>6868580.4799999986</v>
      </c>
      <c r="D544" s="235">
        <f>'Prior Year'!AY59</f>
        <v>224753</v>
      </c>
      <c r="E544" s="180">
        <f>AY59</f>
        <v>226987</v>
      </c>
      <c r="F544" s="258">
        <f t="shared" ref="F544:G550" si="20">IF(B544=0,"",IF(D544=0,"",B544/D544))</f>
        <v>25.669572552980384</v>
      </c>
      <c r="G544" s="258">
        <f t="shared" si="20"/>
        <v>30.259796728446997</v>
      </c>
      <c r="H544" s="260" t="str">
        <f t="shared" si="17"/>
        <v/>
      </c>
      <c r="I544" s="262"/>
      <c r="K544" s="256"/>
      <c r="L544" s="256"/>
    </row>
    <row r="545" spans="1:13" ht="12.6" customHeight="1">
      <c r="A545" s="180" t="s">
        <v>559</v>
      </c>
      <c r="B545" s="235">
        <f>'Prior Year'!AZ71</f>
        <v>383313</v>
      </c>
      <c r="C545" s="235">
        <f>AZ71</f>
        <v>0</v>
      </c>
      <c r="D545" s="235">
        <f>'Prior Year'!AZ59</f>
        <v>870044</v>
      </c>
      <c r="E545" s="180">
        <f>AZ59</f>
        <v>583327</v>
      </c>
      <c r="F545" s="258">
        <f t="shared" si="20"/>
        <v>0.44056737360409359</v>
      </c>
      <c r="G545" s="258" t="str">
        <f t="shared" si="20"/>
        <v/>
      </c>
      <c r="H545" s="260" t="str">
        <f t="shared" si="17"/>
        <v/>
      </c>
      <c r="I545" s="262" t="s">
        <v>1442</v>
      </c>
      <c r="K545" s="256"/>
      <c r="L545" s="256"/>
    </row>
    <row r="546" spans="1:13" ht="12.6" customHeight="1">
      <c r="A546" s="180" t="s">
        <v>560</v>
      </c>
      <c r="B546" s="235">
        <f>'Prior Year'!BA71</f>
        <v>237003.48</v>
      </c>
      <c r="C546" s="235">
        <f>BA71</f>
        <v>345015.93</v>
      </c>
      <c r="D546" s="235">
        <f>'Prior Year'!BA59</f>
        <v>0</v>
      </c>
      <c r="E546" s="180">
        <f>BA59</f>
        <v>0</v>
      </c>
      <c r="F546" s="258" t="str">
        <f t="shared" si="20"/>
        <v/>
      </c>
      <c r="G546" s="258" t="str">
        <f t="shared" si="20"/>
        <v/>
      </c>
      <c r="H546" s="260" t="str">
        <f t="shared" si="17"/>
        <v/>
      </c>
      <c r="I546" s="262"/>
      <c r="K546" s="256"/>
      <c r="L546" s="256"/>
    </row>
    <row r="547" spans="1:13" ht="12.6" customHeight="1">
      <c r="A547" s="180" t="s">
        <v>561</v>
      </c>
      <c r="B547" s="235">
        <f>'Prior Year'!BB71</f>
        <v>41793.86</v>
      </c>
      <c r="C547" s="235">
        <f>BB71</f>
        <v>72600.42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>
      <c r="A548" s="180" t="s">
        <v>562</v>
      </c>
      <c r="B548" s="235">
        <f>'Prior Year'!BC71</f>
        <v>1385217.3199999998</v>
      </c>
      <c r="C548" s="235">
        <f>BC71</f>
        <v>1211450.4000000001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>
      <c r="A549" s="180" t="s">
        <v>563</v>
      </c>
      <c r="B549" s="235">
        <f>'Prior Year'!BD71</f>
        <v>1341558</v>
      </c>
      <c r="C549" s="235">
        <f>BD71</f>
        <v>2681965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>
      <c r="A550" s="180" t="s">
        <v>564</v>
      </c>
      <c r="B550" s="235">
        <f>'Prior Year'!BE71</f>
        <v>19317679.104400001</v>
      </c>
      <c r="C550" s="235">
        <f>BE71</f>
        <v>22006860.059999999</v>
      </c>
      <c r="D550" s="235">
        <f>'Prior Year'!BE59</f>
        <v>660133</v>
      </c>
      <c r="E550" s="180">
        <f>BE59</f>
        <v>577281</v>
      </c>
      <c r="F550" s="258">
        <f t="shared" si="20"/>
        <v>29.263313763135613</v>
      </c>
      <c r="G550" s="258">
        <f t="shared" si="20"/>
        <v>38.121573479813122</v>
      </c>
      <c r="H550" s="260">
        <f t="shared" si="17"/>
        <v>0.30270870169996544</v>
      </c>
      <c r="I550" s="262" t="s">
        <v>1441</v>
      </c>
      <c r="K550" s="256"/>
      <c r="L550" s="256"/>
    </row>
    <row r="551" spans="1:13" ht="12.6" customHeight="1">
      <c r="A551" s="180" t="s">
        <v>565</v>
      </c>
      <c r="B551" s="235">
        <f>'Prior Year'!BF71</f>
        <v>5352936.71</v>
      </c>
      <c r="C551" s="235">
        <f>BF71</f>
        <v>5080919.4400000004</v>
      </c>
      <c r="D551" s="181" t="s">
        <v>529</v>
      </c>
      <c r="E551" s="181" t="s">
        <v>529</v>
      </c>
      <c r="F551" s="258"/>
      <c r="G551" s="258"/>
      <c r="H551" s="260"/>
      <c r="I551" s="262"/>
      <c r="J551" s="197"/>
      <c r="M551" s="260"/>
    </row>
    <row r="552" spans="1:13" ht="12.6" customHeight="1">
      <c r="A552" s="180" t="s">
        <v>566</v>
      </c>
      <c r="B552" s="235">
        <f>'Prior Year'!BG71</f>
        <v>507906.43079999997</v>
      </c>
      <c r="C552" s="235">
        <f>BG71</f>
        <v>1217897.7925</v>
      </c>
      <c r="D552" s="181" t="s">
        <v>529</v>
      </c>
      <c r="E552" s="181" t="s">
        <v>529</v>
      </c>
      <c r="F552" s="258"/>
      <c r="G552" s="258"/>
      <c r="H552" s="260"/>
      <c r="J552" s="197"/>
      <c r="M552" s="260"/>
    </row>
    <row r="553" spans="1:13" ht="12.6" customHeight="1">
      <c r="A553" s="180" t="s">
        <v>567</v>
      </c>
      <c r="B553" s="235">
        <f>'Prior Year'!BH71</f>
        <v>485815.51072945457</v>
      </c>
      <c r="C553" s="235">
        <f>BH71</f>
        <v>3654921.05</v>
      </c>
      <c r="D553" s="181" t="s">
        <v>529</v>
      </c>
      <c r="E553" s="181" t="s">
        <v>529</v>
      </c>
      <c r="F553" s="258"/>
      <c r="G553" s="258"/>
      <c r="H553" s="260"/>
      <c r="J553" s="197"/>
      <c r="M553" s="260"/>
    </row>
    <row r="554" spans="1:13" ht="12.6" customHeight="1">
      <c r="A554" s="180" t="s">
        <v>568</v>
      </c>
      <c r="B554" s="235">
        <f>'Prior Year'!BI71</f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7"/>
      <c r="M554" s="260"/>
    </row>
    <row r="555" spans="1:13" ht="12.6" customHeight="1">
      <c r="A555" s="180" t="s">
        <v>569</v>
      </c>
      <c r="B555" s="235">
        <f>'Prior Year'!BJ71</f>
        <v>1257081.4216116858</v>
      </c>
      <c r="C555" s="235">
        <f>BJ71</f>
        <v>872642.5924999998</v>
      </c>
      <c r="D555" s="181" t="s">
        <v>529</v>
      </c>
      <c r="E555" s="181" t="s">
        <v>529</v>
      </c>
      <c r="F555" s="258"/>
      <c r="G555" s="258"/>
      <c r="H555" s="260"/>
      <c r="J555" s="197"/>
      <c r="M555" s="260"/>
    </row>
    <row r="556" spans="1:13" ht="12.6" customHeight="1">
      <c r="A556" s="180" t="s">
        <v>570</v>
      </c>
      <c r="B556" s="235">
        <f>'Prior Year'!BK71</f>
        <v>7602429.3120112997</v>
      </c>
      <c r="C556" s="235">
        <f>BK71</f>
        <v>6972175.2336347504</v>
      </c>
      <c r="D556" s="181" t="s">
        <v>529</v>
      </c>
      <c r="E556" s="181" t="s">
        <v>529</v>
      </c>
      <c r="F556" s="258"/>
      <c r="G556" s="258"/>
      <c r="H556" s="260"/>
      <c r="J556" s="197"/>
      <c r="M556" s="260"/>
    </row>
    <row r="557" spans="1:13" ht="12.6" customHeight="1">
      <c r="A557" s="180" t="s">
        <v>571</v>
      </c>
      <c r="B557" s="235">
        <f>'Prior Year'!BL71</f>
        <v>2833893.3419999997</v>
      </c>
      <c r="C557" s="235">
        <f>BL71</f>
        <v>2743584.3950000005</v>
      </c>
      <c r="D557" s="181" t="s">
        <v>529</v>
      </c>
      <c r="E557" s="181" t="s">
        <v>529</v>
      </c>
      <c r="F557" s="258"/>
      <c r="G557" s="258"/>
      <c r="H557" s="260"/>
      <c r="J557" s="197"/>
      <c r="M557" s="260"/>
    </row>
    <row r="558" spans="1:13" ht="12.6" customHeight="1">
      <c r="A558" s="180" t="s">
        <v>572</v>
      </c>
      <c r="B558" s="235">
        <f>'Prior Year'!BM71</f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7"/>
      <c r="M558" s="260"/>
    </row>
    <row r="559" spans="1:13" ht="12.6" customHeight="1">
      <c r="A559" s="180" t="s">
        <v>573</v>
      </c>
      <c r="B559" s="235">
        <f>'Prior Year'!BN71</f>
        <v>14144988.496499531</v>
      </c>
      <c r="C559" s="235">
        <f>BN71</f>
        <v>14158339.697136246</v>
      </c>
      <c r="D559" s="181" t="s">
        <v>529</v>
      </c>
      <c r="E559" s="181" t="s">
        <v>529</v>
      </c>
      <c r="F559" s="258"/>
      <c r="G559" s="258"/>
      <c r="H559" s="260"/>
      <c r="J559" s="197"/>
      <c r="M559" s="260"/>
    </row>
    <row r="560" spans="1:13" ht="12.6" customHeight="1">
      <c r="A560" s="180" t="s">
        <v>574</v>
      </c>
      <c r="B560" s="235">
        <f>'Prior Year'!BO71</f>
        <v>692286.80639999988</v>
      </c>
      <c r="C560" s="235">
        <f>BO71</f>
        <v>636076.26500000001</v>
      </c>
      <c r="D560" s="181" t="s">
        <v>529</v>
      </c>
      <c r="E560" s="181" t="s">
        <v>529</v>
      </c>
      <c r="F560" s="258"/>
      <c r="G560" s="258"/>
      <c r="H560" s="260"/>
      <c r="J560" s="197"/>
      <c r="M560" s="260"/>
    </row>
    <row r="561" spans="1:13" ht="12.6" customHeight="1">
      <c r="A561" s="180" t="s">
        <v>575</v>
      </c>
      <c r="B561" s="235">
        <f>'Prior Year'!BP71</f>
        <v>907529.93759999983</v>
      </c>
      <c r="C561" s="235">
        <f>BP71</f>
        <v>3352083.0449999999</v>
      </c>
      <c r="D561" s="181" t="s">
        <v>529</v>
      </c>
      <c r="E561" s="181" t="s">
        <v>529</v>
      </c>
      <c r="F561" s="258"/>
      <c r="G561" s="258"/>
      <c r="H561" s="260"/>
      <c r="J561" s="197"/>
      <c r="M561" s="260"/>
    </row>
    <row r="562" spans="1:13" ht="12.6" customHeight="1">
      <c r="A562" s="180" t="s">
        <v>576</v>
      </c>
      <c r="B562" s="235">
        <f>'Prior Year'!BQ71</f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7"/>
      <c r="M562" s="260"/>
    </row>
    <row r="563" spans="1:13" ht="12.6" customHeight="1">
      <c r="A563" s="180" t="s">
        <v>577</v>
      </c>
      <c r="B563" s="235">
        <f>'Prior Year'!BR71</f>
        <v>2811904.3319999995</v>
      </c>
      <c r="C563" s="235">
        <f>BR71</f>
        <v>2183792.2274999996</v>
      </c>
      <c r="D563" s="181" t="s">
        <v>529</v>
      </c>
      <c r="E563" s="181" t="s">
        <v>529</v>
      </c>
      <c r="F563" s="258"/>
      <c r="G563" s="258"/>
      <c r="H563" s="260"/>
      <c r="J563" s="197"/>
      <c r="M563" s="260"/>
    </row>
    <row r="564" spans="1:13" ht="12.6" customHeight="1">
      <c r="A564" s="180" t="s">
        <v>1249</v>
      </c>
      <c r="B564" s="235">
        <f>'Prior Year'!BS71</f>
        <v>108426.83040000001</v>
      </c>
      <c r="C564" s="235">
        <f>BS71</f>
        <v>392448.29749999999</v>
      </c>
      <c r="D564" s="181" t="s">
        <v>529</v>
      </c>
      <c r="E564" s="181" t="s">
        <v>529</v>
      </c>
      <c r="F564" s="258"/>
      <c r="G564" s="258"/>
      <c r="H564" s="260"/>
      <c r="J564" s="197"/>
      <c r="M564" s="260"/>
    </row>
    <row r="565" spans="1:13" ht="12.6" customHeight="1">
      <c r="A565" s="180" t="s">
        <v>578</v>
      </c>
      <c r="B565" s="235">
        <f>'Prior Year'!BT71</f>
        <v>50488.643199999999</v>
      </c>
      <c r="C565" s="235">
        <f>BT71</f>
        <v>301032.58249999996</v>
      </c>
      <c r="D565" s="181" t="s">
        <v>529</v>
      </c>
      <c r="E565" s="181" t="s">
        <v>529</v>
      </c>
      <c r="F565" s="258"/>
      <c r="G565" s="258"/>
      <c r="H565" s="260"/>
      <c r="J565" s="197"/>
      <c r="M565" s="260"/>
    </row>
    <row r="566" spans="1:13" ht="12.6" customHeight="1">
      <c r="A566" s="180" t="s">
        <v>579</v>
      </c>
      <c r="B566" s="235">
        <f>'Prior Year'!BU71</f>
        <v>149819.24040000001</v>
      </c>
      <c r="C566" s="235">
        <f>BU71</f>
        <v>241846.52750000003</v>
      </c>
      <c r="D566" s="181" t="s">
        <v>529</v>
      </c>
      <c r="E566" s="181" t="s">
        <v>529</v>
      </c>
      <c r="F566" s="258"/>
      <c r="G566" s="258"/>
      <c r="H566" s="260"/>
      <c r="J566" s="197"/>
      <c r="M566" s="260"/>
    </row>
    <row r="567" spans="1:13" ht="12.6" customHeight="1">
      <c r="A567" s="180" t="s">
        <v>580</v>
      </c>
      <c r="B567" s="235">
        <f>'Prior Year'!BV71</f>
        <v>4079828.8782781269</v>
      </c>
      <c r="C567" s="235">
        <f>BV71</f>
        <v>4329578.1096307505</v>
      </c>
      <c r="D567" s="181" t="s">
        <v>529</v>
      </c>
      <c r="E567" s="181" t="s">
        <v>529</v>
      </c>
      <c r="F567" s="258"/>
      <c r="G567" s="258"/>
      <c r="H567" s="260"/>
      <c r="J567" s="197"/>
      <c r="M567" s="260"/>
    </row>
    <row r="568" spans="1:13" ht="12.6" customHeight="1">
      <c r="A568" s="180" t="s">
        <v>581</v>
      </c>
      <c r="B568" s="235">
        <f>'Prior Year'!BW71</f>
        <v>843887.68584759696</v>
      </c>
      <c r="C568" s="235">
        <f>BW71</f>
        <v>1544673.70456375</v>
      </c>
      <c r="D568" s="181" t="s">
        <v>529</v>
      </c>
      <c r="E568" s="181" t="s">
        <v>529</v>
      </c>
      <c r="F568" s="258"/>
      <c r="G568" s="258"/>
      <c r="H568" s="260"/>
      <c r="J568" s="197"/>
      <c r="M568" s="260"/>
    </row>
    <row r="569" spans="1:13" ht="12.6" customHeight="1">
      <c r="A569" s="180" t="s">
        <v>582</v>
      </c>
      <c r="B569" s="235">
        <f>'Prior Year'!BX71</f>
        <v>3517552.1451690397</v>
      </c>
      <c r="C569" s="235">
        <f>BX71</f>
        <v>7600006.6391360005</v>
      </c>
      <c r="D569" s="181" t="s">
        <v>529</v>
      </c>
      <c r="E569" s="181" t="s">
        <v>529</v>
      </c>
      <c r="F569" s="258"/>
      <c r="G569" s="258"/>
      <c r="H569" s="260"/>
      <c r="J569" s="197"/>
      <c r="M569" s="260"/>
    </row>
    <row r="570" spans="1:13" ht="12.6" customHeight="1">
      <c r="A570" s="180" t="s">
        <v>583</v>
      </c>
      <c r="B570" s="235">
        <f>'Prior Year'!BY71</f>
        <v>5346781.4248000002</v>
      </c>
      <c r="C570" s="235">
        <f>BY71</f>
        <v>5361509.7275</v>
      </c>
      <c r="D570" s="181" t="s">
        <v>529</v>
      </c>
      <c r="E570" s="181" t="s">
        <v>529</v>
      </c>
      <c r="F570" s="258"/>
      <c r="G570" s="258"/>
      <c r="H570" s="260"/>
      <c r="J570" s="197"/>
      <c r="M570" s="260"/>
    </row>
    <row r="571" spans="1:13" ht="12.6" customHeight="1">
      <c r="A571" s="180" t="s">
        <v>584</v>
      </c>
      <c r="B571" s="235">
        <f>'Prior Year'!BZ71</f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7"/>
      <c r="M571" s="260"/>
    </row>
    <row r="572" spans="1:13" ht="12.6" customHeight="1">
      <c r="A572" s="180" t="s">
        <v>585</v>
      </c>
      <c r="B572" s="235">
        <f>'Prior Year'!CA71</f>
        <v>2425593.2940000002</v>
      </c>
      <c r="C572" s="235">
        <f>CA71</f>
        <v>2536753.7000000002</v>
      </c>
      <c r="D572" s="181" t="s">
        <v>529</v>
      </c>
      <c r="E572" s="181" t="s">
        <v>529</v>
      </c>
      <c r="F572" s="258"/>
      <c r="G572" s="258"/>
      <c r="H572" s="260"/>
      <c r="J572" s="197"/>
      <c r="M572" s="260"/>
    </row>
    <row r="573" spans="1:13" ht="12.6" customHeight="1">
      <c r="A573" s="180" t="s">
        <v>586</v>
      </c>
      <c r="B573" s="235">
        <f>'Prior Year'!CB71</f>
        <v>100497.62880000001</v>
      </c>
      <c r="C573" s="235">
        <f>CB71</f>
        <v>112544.0675</v>
      </c>
      <c r="D573" s="181" t="s">
        <v>529</v>
      </c>
      <c r="E573" s="181" t="s">
        <v>529</v>
      </c>
      <c r="F573" s="258"/>
      <c r="G573" s="258"/>
      <c r="H573" s="260"/>
      <c r="J573" s="197"/>
      <c r="M573" s="260"/>
    </row>
    <row r="574" spans="1:13" ht="12.6" customHeight="1">
      <c r="A574" s="180" t="s">
        <v>587</v>
      </c>
      <c r="B574" s="235">
        <f>'Prior Year'!CC71</f>
        <v>35910979.008766063</v>
      </c>
      <c r="C574" s="235">
        <f>CC71</f>
        <v>27983087.472048998</v>
      </c>
      <c r="D574" s="181" t="s">
        <v>529</v>
      </c>
      <c r="E574" s="181" t="s">
        <v>529</v>
      </c>
      <c r="F574" s="258"/>
      <c r="G574" s="258"/>
      <c r="H574" s="260"/>
      <c r="J574" s="197"/>
      <c r="M574" s="260"/>
    </row>
    <row r="575" spans="1:13" ht="12.6" customHeight="1">
      <c r="A575" s="180" t="s">
        <v>588</v>
      </c>
      <c r="B575" s="235">
        <f>'Prior Year'!CD71</f>
        <v>10084530.879999999</v>
      </c>
      <c r="C575" s="235">
        <f>CD71</f>
        <v>15439882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>
      <c r="M576" s="260"/>
    </row>
    <row r="577" spans="13:13" ht="12.6" customHeight="1">
      <c r="M577" s="260"/>
    </row>
    <row r="578" spans="13:13" ht="12.6" customHeight="1">
      <c r="M578" s="260"/>
    </row>
    <row r="612" spans="1:14" ht="12.6" customHeight="1">
      <c r="A612" s="194"/>
      <c r="C612" s="181" t="s">
        <v>589</v>
      </c>
      <c r="D612" s="180">
        <f>CE76-(BE76+CD76)</f>
        <v>495932</v>
      </c>
      <c r="E612" s="180">
        <f>SUM(C624:D647)+SUM(C668:D713)</f>
        <v>564525398.44363356</v>
      </c>
      <c r="F612" s="180">
        <f>CE64-(AX64+BD64+BE64+BG64+BJ64+BN64+BP64+BQ64+CB64+CC64+CD64)</f>
        <v>106727370.27999996</v>
      </c>
      <c r="G612" s="180">
        <f>CE77-(AX77+AY77+BD77+BE77+BG77+BJ77+BN77+BP77+BQ77+CB77+CC77+CD77)</f>
        <v>226987</v>
      </c>
      <c r="H612" s="195">
        <f>CE60-(AX60+AY60+AZ60+BD60+BE60+BG60+BJ60+BN60+BO60+BP60+BQ60+BR60+CB60+CC60+CD60)</f>
        <v>1903.2257884615381</v>
      </c>
      <c r="I612" s="180">
        <f>CE78-(AX78+AY78+AZ78+BD78+BE78+BF78+BG78+BJ78+BN78+BO78+BP78+BQ78+BR78+CB78+CC78+CD78)</f>
        <v>115002.92000000003</v>
      </c>
      <c r="J612" s="180">
        <f>CE79-(AX79+AY79+AZ79+BA79+BD79+BE79+BF79+BG79+BJ79+BN79+BO79+BP79+BQ79+BR79+CB79+CC79+CD79)</f>
        <v>1886548</v>
      </c>
      <c r="K612" s="180">
        <f>CE75-(AW75+AX75+AY75+AZ75+BA75+BB75+BC75+BD75+BE75+BF75+BG75+BH75+BI75+BJ75+BK75+BL75+BM75+BN75+BO75+BP75+BQ75+BR75+BS75+BT75+BU75+BV75+BW75+BX75+CB75+CC75+CD75)</f>
        <v>2678575331.7300005</v>
      </c>
      <c r="L612" s="195">
        <f>CE80-(AW80+AX80+AY80+AZ80+BA80+BB80+BC80+BD80+BE80+BF80+BG80+BH80+BI80+BJ80+BK80+BL80+BM80+BN80+BO80+BP80+BQ80+BR80+BS80+BT80+BU80+BV80+BW80+BX80+BY80+BZ80+CA80+CB80+CC80+CD80)</f>
        <v>522.98605288461533</v>
      </c>
    </row>
    <row r="613" spans="1:14" ht="12.6" customHeight="1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>
      <c r="A614" s="194">
        <v>8430</v>
      </c>
      <c r="B614" s="196" t="s">
        <v>140</v>
      </c>
      <c r="C614" s="180">
        <f>BE71</f>
        <v>22006860.059999999</v>
      </c>
      <c r="N614" s="197" t="s">
        <v>600</v>
      </c>
    </row>
    <row r="615" spans="1:14" ht="12.6" customHeight="1">
      <c r="A615" s="194"/>
      <c r="B615" s="196" t="s">
        <v>601</v>
      </c>
      <c r="C615" s="267">
        <f>CD69-CD70</f>
        <v>15439882</v>
      </c>
      <c r="D615" s="261">
        <f>SUM(C614:C615)</f>
        <v>37446742.060000002</v>
      </c>
      <c r="N615" s="197" t="s">
        <v>602</v>
      </c>
    </row>
    <row r="616" spans="1:14" ht="12.6" customHeight="1">
      <c r="A616" s="194">
        <v>8310</v>
      </c>
      <c r="B616" s="198" t="s">
        <v>603</v>
      </c>
      <c r="C616" s="180">
        <f>AX71</f>
        <v>194884.55999999997</v>
      </c>
      <c r="D616" s="180">
        <f>(D615/D612)*AX76</f>
        <v>0</v>
      </c>
      <c r="N616" s="197" t="s">
        <v>604</v>
      </c>
    </row>
    <row r="617" spans="1:14" ht="12.6" customHeight="1">
      <c r="A617" s="194">
        <v>8510</v>
      </c>
      <c r="B617" s="198" t="s">
        <v>145</v>
      </c>
      <c r="C617" s="180">
        <f>BJ71</f>
        <v>872642.5924999998</v>
      </c>
      <c r="D617" s="180">
        <f>(D615/D612)*BJ76</f>
        <v>0</v>
      </c>
      <c r="N617" s="197" t="s">
        <v>605</v>
      </c>
    </row>
    <row r="618" spans="1:14" ht="12.6" customHeight="1">
      <c r="A618" s="194">
        <v>8470</v>
      </c>
      <c r="B618" s="198" t="s">
        <v>606</v>
      </c>
      <c r="C618" s="180">
        <f>BG71</f>
        <v>1217897.7925</v>
      </c>
      <c r="D618" s="180">
        <f>(D615/D612)*BG76</f>
        <v>0</v>
      </c>
      <c r="N618" s="197" t="s">
        <v>607</v>
      </c>
    </row>
    <row r="619" spans="1:14" ht="12.6" customHeight="1">
      <c r="A619" s="194">
        <v>8610</v>
      </c>
      <c r="B619" s="198" t="s">
        <v>608</v>
      </c>
      <c r="C619" s="180">
        <f>BN71</f>
        <v>14158339.697136246</v>
      </c>
      <c r="D619" s="180">
        <f>(D615/D612)*BN76</f>
        <v>815635.42528435355</v>
      </c>
      <c r="N619" s="197" t="s">
        <v>609</v>
      </c>
    </row>
    <row r="620" spans="1:14" ht="12.6" customHeight="1">
      <c r="A620" s="194">
        <v>8790</v>
      </c>
      <c r="B620" s="198" t="s">
        <v>610</v>
      </c>
      <c r="C620" s="180">
        <f>CC71</f>
        <v>27983087.472048998</v>
      </c>
      <c r="D620" s="180">
        <f>(D615/D612)*CC76</f>
        <v>0</v>
      </c>
      <c r="N620" s="197" t="s">
        <v>611</v>
      </c>
    </row>
    <row r="621" spans="1:14" ht="12.6" customHeight="1">
      <c r="A621" s="194">
        <v>8630</v>
      </c>
      <c r="B621" s="198" t="s">
        <v>612</v>
      </c>
      <c r="C621" s="180">
        <f>BP71</f>
        <v>3352083.0449999999</v>
      </c>
      <c r="D621" s="180">
        <f>(D615/D612)*BP76</f>
        <v>0</v>
      </c>
      <c r="N621" s="197" t="s">
        <v>613</v>
      </c>
    </row>
    <row r="622" spans="1:14" ht="12.6" customHeight="1">
      <c r="A622" s="194">
        <v>8770</v>
      </c>
      <c r="B622" s="196" t="s">
        <v>614</v>
      </c>
      <c r="C622" s="180">
        <f>CB71</f>
        <v>112544.0675</v>
      </c>
      <c r="D622" s="180">
        <f>(D615/D612)*CB76</f>
        <v>0</v>
      </c>
      <c r="N622" s="197" t="s">
        <v>615</v>
      </c>
    </row>
    <row r="623" spans="1:14" ht="12.6" customHeight="1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48707114.651969604</v>
      </c>
      <c r="N623" s="197" t="s">
        <v>617</v>
      </c>
    </row>
    <row r="624" spans="1:14" ht="12.6" customHeight="1">
      <c r="A624" s="194">
        <v>8420</v>
      </c>
      <c r="B624" s="198" t="s">
        <v>139</v>
      </c>
      <c r="C624" s="180">
        <f>BD71</f>
        <v>2681965</v>
      </c>
      <c r="D624" s="180">
        <f>(D615/D612)*BD76</f>
        <v>3972768.2156925551</v>
      </c>
      <c r="E624" s="180">
        <f>(E623/E612)*SUM(C624:D624)</f>
        <v>574168.77010073361</v>
      </c>
      <c r="F624" s="180">
        <f>SUM(C624:E624)</f>
        <v>7228901.9857932888</v>
      </c>
      <c r="N624" s="197" t="s">
        <v>618</v>
      </c>
    </row>
    <row r="625" spans="1:14" ht="12.6" customHeight="1">
      <c r="A625" s="194">
        <v>8320</v>
      </c>
      <c r="B625" s="198" t="s">
        <v>135</v>
      </c>
      <c r="C625" s="180">
        <f>AY71</f>
        <v>6868580.4799999986</v>
      </c>
      <c r="D625" s="180">
        <f>(D615/D612)*AY76</f>
        <v>1446125.6864512071</v>
      </c>
      <c r="E625" s="180">
        <f>(E623/E612)*SUM(C625:D625)</f>
        <v>717390.83425351733</v>
      </c>
      <c r="F625" s="180">
        <f>(F624/F612)*AY64</f>
        <v>118019.78145638443</v>
      </c>
      <c r="G625" s="180">
        <f>SUM(C625:F625)</f>
        <v>9150116.7821611073</v>
      </c>
      <c r="N625" s="197" t="s">
        <v>619</v>
      </c>
    </row>
    <row r="626" spans="1:14" ht="12.6" customHeight="1">
      <c r="A626" s="194">
        <v>8650</v>
      </c>
      <c r="B626" s="198" t="s">
        <v>152</v>
      </c>
      <c r="C626" s="180">
        <f>BR71</f>
        <v>2183792.2274999996</v>
      </c>
      <c r="D626" s="180">
        <f>(D615/D612)*BR76</f>
        <v>0</v>
      </c>
      <c r="E626" s="180">
        <f>(E623/E612)*SUM(C626:D626)</f>
        <v>188417.06448313675</v>
      </c>
      <c r="F626" s="180">
        <f>(F624/F612)*BR64</f>
        <v>1116.3621924925569</v>
      </c>
      <c r="G626" s="180">
        <f>(G625/G612)*BR77</f>
        <v>0</v>
      </c>
      <c r="N626" s="197" t="s">
        <v>620</v>
      </c>
    </row>
    <row r="627" spans="1:14" ht="12.6" customHeight="1">
      <c r="A627" s="194">
        <v>8620</v>
      </c>
      <c r="B627" s="196" t="s">
        <v>621</v>
      </c>
      <c r="C627" s="180">
        <f>BO71</f>
        <v>636076.26500000001</v>
      </c>
      <c r="D627" s="180">
        <f>(D615/D612)*BO76</f>
        <v>0</v>
      </c>
      <c r="E627" s="180">
        <f>(E623/E612)*SUM(C627:D627)</f>
        <v>54880.506089125098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>
      <c r="A628" s="194">
        <v>8330</v>
      </c>
      <c r="B628" s="198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3064282.4252647543</v>
      </c>
      <c r="N628" s="197" t="s">
        <v>623</v>
      </c>
    </row>
    <row r="629" spans="1:14" ht="12.6" customHeight="1">
      <c r="A629" s="194">
        <v>8460</v>
      </c>
      <c r="B629" s="198" t="s">
        <v>141</v>
      </c>
      <c r="C629" s="180">
        <f>BF71</f>
        <v>5080919.4400000004</v>
      </c>
      <c r="D629" s="180">
        <f>(D615/D612)*BF76</f>
        <v>819410.81606978388</v>
      </c>
      <c r="E629" s="180">
        <f>(E623/E612)*SUM(C629:D629)</f>
        <v>509079.06545779825</v>
      </c>
      <c r="F629" s="180">
        <f>(F624/F612)*BF64</f>
        <v>12945.835700317066</v>
      </c>
      <c r="G629" s="180">
        <f>(G625/G612)*BF77</f>
        <v>0</v>
      </c>
      <c r="H629" s="180">
        <f>(H628/H612)*BF60</f>
        <v>119973.7996690146</v>
      </c>
      <c r="I629" s="180">
        <f>SUM(C629:H629)</f>
        <v>6542328.9568969142</v>
      </c>
      <c r="N629" s="197" t="s">
        <v>624</v>
      </c>
    </row>
    <row r="630" spans="1:14" ht="12.6" customHeight="1">
      <c r="A630" s="194">
        <v>8350</v>
      </c>
      <c r="B630" s="198" t="s">
        <v>625</v>
      </c>
      <c r="C630" s="180">
        <f>BA71</f>
        <v>345015.93</v>
      </c>
      <c r="D630" s="180">
        <f>(D615/D612)*BA76</f>
        <v>280738.05880459421</v>
      </c>
      <c r="E630" s="180">
        <f>(E623/E612)*SUM(C630:D630)</f>
        <v>53989.902598998633</v>
      </c>
      <c r="F630" s="180">
        <f>(F624/F612)*BA64</f>
        <v>0</v>
      </c>
      <c r="G630" s="180">
        <f>(G625/G612)*BA77</f>
        <v>0</v>
      </c>
      <c r="H630" s="180">
        <f>(H628/H612)*BA60</f>
        <v>4661.6193368624226</v>
      </c>
      <c r="I630" s="180">
        <f>(I629/I612)*BA78</f>
        <v>60431.438222320634</v>
      </c>
      <c r="J630" s="180">
        <f>SUM(C630:I630)</f>
        <v>744836.94896277587</v>
      </c>
      <c r="N630" s="197" t="s">
        <v>626</v>
      </c>
    </row>
    <row r="631" spans="1:14" ht="12.6" customHeight="1">
      <c r="A631" s="194">
        <v>8200</v>
      </c>
      <c r="B631" s="198" t="s">
        <v>627</v>
      </c>
      <c r="C631" s="180">
        <f>AW71</f>
        <v>1031834.75</v>
      </c>
      <c r="D631" s="180">
        <f>(D615/D612)*AW76</f>
        <v>0</v>
      </c>
      <c r="E631" s="180">
        <f>(E623/E612)*SUM(C631:D631)</f>
        <v>89026.452323835518</v>
      </c>
      <c r="F631" s="180">
        <f>(F624/F612)*AW64</f>
        <v>672.12495869905183</v>
      </c>
      <c r="G631" s="180">
        <f>(G625/G612)*AW77</f>
        <v>0</v>
      </c>
      <c r="H631" s="180">
        <f>(H628/H612)*AW60</f>
        <v>21179.978738042093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>
      <c r="A632" s="194">
        <v>8360</v>
      </c>
      <c r="B632" s="198" t="s">
        <v>629</v>
      </c>
      <c r="C632" s="180">
        <f>BB71</f>
        <v>72600.42</v>
      </c>
      <c r="D632" s="180">
        <f>(D615/D612)*BB76</f>
        <v>86380.941170644379</v>
      </c>
      <c r="E632" s="180">
        <f>(E623/E612)*SUM(C632:D632)</f>
        <v>13716.873337166488</v>
      </c>
      <c r="F632" s="180">
        <f>(F624/F612)*BB64</f>
        <v>210.54010009530356</v>
      </c>
      <c r="G632" s="180">
        <f>(G625/G612)*BB77</f>
        <v>0</v>
      </c>
      <c r="H632" s="180">
        <f>(H628/H612)*BB60</f>
        <v>0</v>
      </c>
      <c r="I632" s="180">
        <f>(I629/I612)*BB78</f>
        <v>18594.288683790968</v>
      </c>
      <c r="J632" s="180">
        <f>(J630/J612)*BB79</f>
        <v>0</v>
      </c>
      <c r="N632" s="197" t="s">
        <v>630</v>
      </c>
    </row>
    <row r="633" spans="1:14" ht="12.6" customHeight="1">
      <c r="A633" s="194">
        <v>8370</v>
      </c>
      <c r="B633" s="198" t="s">
        <v>631</v>
      </c>
      <c r="C633" s="180">
        <f>BC71</f>
        <v>1211450.4000000001</v>
      </c>
      <c r="D633" s="180">
        <f>(D615/D612)*BC76</f>
        <v>0</v>
      </c>
      <c r="E633" s="180">
        <f>(E623/E612)*SUM(C633:D633)</f>
        <v>104523.6471036583</v>
      </c>
      <c r="F633" s="180">
        <f>(F624/F612)*BC64</f>
        <v>1043.9691155230255</v>
      </c>
      <c r="G633" s="180">
        <f>(G625/G612)*BC77</f>
        <v>0</v>
      </c>
      <c r="H633" s="180">
        <f>(H628/H612)*BC60</f>
        <v>25394.485006394287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>
      <c r="A634" s="194">
        <v>8490</v>
      </c>
      <c r="B634" s="198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404.83386106930209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" customHeight="1">
      <c r="A635" s="194">
        <v>8530</v>
      </c>
      <c r="B635" s="198" t="s">
        <v>635</v>
      </c>
      <c r="C635" s="180">
        <f>BK71</f>
        <v>6972175.2336347504</v>
      </c>
      <c r="D635" s="180">
        <f>(D615/D612)*BK76</f>
        <v>0</v>
      </c>
      <c r="E635" s="180">
        <f>(E623/E612)*SUM(C635:D635)</f>
        <v>601557.59052562527</v>
      </c>
      <c r="F635" s="180">
        <f>(F624/F612)*BK64</f>
        <v>19.783959592472431</v>
      </c>
      <c r="G635" s="180">
        <f>(G625/G612)*BK77</f>
        <v>0</v>
      </c>
      <c r="H635" s="180">
        <f>(H628/H612)*BK60</f>
        <v>1614.079570631586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>
      <c r="A636" s="194">
        <v>8480</v>
      </c>
      <c r="B636" s="198" t="s">
        <v>637</v>
      </c>
      <c r="C636" s="180">
        <f>BH71</f>
        <v>3654921.05</v>
      </c>
      <c r="D636" s="180">
        <f>(D615/D612)*BH76</f>
        <v>0</v>
      </c>
      <c r="E636" s="180">
        <f>(E623/E612)*SUM(C636:D636)</f>
        <v>315345.70298704115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>
      <c r="A637" s="194">
        <v>8560</v>
      </c>
      <c r="B637" s="198" t="s">
        <v>147</v>
      </c>
      <c r="C637" s="180">
        <f>BL71</f>
        <v>2743584.3950000005</v>
      </c>
      <c r="D637" s="180">
        <f>(D615/D612)*BL76</f>
        <v>0</v>
      </c>
      <c r="E637" s="180">
        <f>(E623/E612)*SUM(C637:D637)</f>
        <v>236715.79711565893</v>
      </c>
      <c r="F637" s="180">
        <f>(F624/F612)*BL64</f>
        <v>1783.9355332498303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>
      <c r="A639" s="194">
        <v>8660</v>
      </c>
      <c r="B639" s="198" t="s">
        <v>642</v>
      </c>
      <c r="C639" s="180">
        <f>BS71</f>
        <v>392448.29749999999</v>
      </c>
      <c r="D639" s="180">
        <f>(D615/D612)*BS76</f>
        <v>320983.72457728081</v>
      </c>
      <c r="E639" s="180">
        <f>(E623/E612)*SUM(C639:D639)</f>
        <v>61554.742074504284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69094.686359086889</v>
      </c>
      <c r="J639" s="180">
        <f>(J630/J612)*BS79</f>
        <v>0</v>
      </c>
      <c r="N639" s="197" t="s">
        <v>643</v>
      </c>
    </row>
    <row r="640" spans="1:14" ht="12.6" customHeight="1">
      <c r="A640" s="194">
        <v>8670</v>
      </c>
      <c r="B640" s="198" t="s">
        <v>644</v>
      </c>
      <c r="C640" s="180">
        <f>BT71</f>
        <v>301032.58249999996</v>
      </c>
      <c r="D640" s="180">
        <f>(D615/D612)*BT76</f>
        <v>0</v>
      </c>
      <c r="E640" s="180">
        <f>(E623/E612)*SUM(C640:D640)</f>
        <v>25973.018309237337</v>
      </c>
      <c r="F640" s="180">
        <f>(F624/F612)*BT64</f>
        <v>1.2855611389130976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>
      <c r="A641" s="194">
        <v>8680</v>
      </c>
      <c r="B641" s="198" t="s">
        <v>646</v>
      </c>
      <c r="C641" s="180">
        <f>BU71</f>
        <v>241846.52750000003</v>
      </c>
      <c r="D641" s="180">
        <f>(D615/D612)*BU76</f>
        <v>202965.00862473084</v>
      </c>
      <c r="E641" s="180">
        <f>(E623/E612)*SUM(C641:D641)</f>
        <v>38378.231605303459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43690.076907368988</v>
      </c>
      <c r="J641" s="180">
        <f>(J630/J612)*BU79</f>
        <v>0</v>
      </c>
      <c r="N641" s="197" t="s">
        <v>647</v>
      </c>
    </row>
    <row r="642" spans="1:14" ht="12.6" customHeight="1">
      <c r="A642" s="194">
        <v>8690</v>
      </c>
      <c r="B642" s="198" t="s">
        <v>648</v>
      </c>
      <c r="C642" s="180">
        <f>BV71</f>
        <v>4329578.1096307505</v>
      </c>
      <c r="D642" s="180">
        <f>(D615/D612)*BV76</f>
        <v>568951.39136434032</v>
      </c>
      <c r="E642" s="180">
        <f>(E623/E612)*SUM(C642:D642)</f>
        <v>422643.93894200725</v>
      </c>
      <c r="F642" s="180">
        <f>(F624/F612)*BV64</f>
        <v>357.64202512706623</v>
      </c>
      <c r="G642" s="180">
        <f>(G625/G612)*BV77</f>
        <v>0</v>
      </c>
      <c r="H642" s="180">
        <f>(H628/H612)*BV60</f>
        <v>0</v>
      </c>
      <c r="I642" s="180">
        <f>(I629/I612)*BV78</f>
        <v>122471.99758073856</v>
      </c>
      <c r="J642" s="180">
        <f>(J630/J612)*BV79</f>
        <v>0</v>
      </c>
      <c r="N642" s="197" t="s">
        <v>649</v>
      </c>
    </row>
    <row r="643" spans="1:14" ht="12.6" customHeight="1">
      <c r="A643" s="194">
        <v>8700</v>
      </c>
      <c r="B643" s="198" t="s">
        <v>650</v>
      </c>
      <c r="C643" s="180">
        <f>BW71</f>
        <v>1544673.70456375</v>
      </c>
      <c r="D643" s="180">
        <f>(D615/D612)*BW76</f>
        <v>0</v>
      </c>
      <c r="E643" s="180">
        <f>(E623/E612)*SUM(C643:D643)</f>
        <v>133274.07311609449</v>
      </c>
      <c r="F643" s="180">
        <f>(F624/F612)*BW64</f>
        <v>9.9566642476409566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>
      <c r="A644" s="194">
        <v>8710</v>
      </c>
      <c r="B644" s="198" t="s">
        <v>652</v>
      </c>
      <c r="C644" s="180">
        <f>BX71</f>
        <v>7600006.6391360005</v>
      </c>
      <c r="D644" s="180">
        <f>(D615/D612)*BX76</f>
        <v>0</v>
      </c>
      <c r="E644" s="180">
        <f>(E623/E612)*SUM(C644:D644)</f>
        <v>655726.73213406955</v>
      </c>
      <c r="F644" s="180">
        <f>(F624/F612)*BX64</f>
        <v>0.5418592787831813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34280414.181260519</v>
      </c>
      <c r="N644" s="197" t="s">
        <v>653</v>
      </c>
    </row>
    <row r="645" spans="1:14" ht="12.6" customHeight="1">
      <c r="A645" s="194">
        <v>8720</v>
      </c>
      <c r="B645" s="198" t="s">
        <v>654</v>
      </c>
      <c r="C645" s="180">
        <f>BY71</f>
        <v>5361509.7275</v>
      </c>
      <c r="D645" s="180">
        <f>(D615/D612)*BY76</f>
        <v>199114.11002359196</v>
      </c>
      <c r="E645" s="180">
        <f>(E623/E612)*SUM(C645:D645)</f>
        <v>479769.27794114064</v>
      </c>
      <c r="F645" s="180">
        <f>(F624/F612)*BY64</f>
        <v>1394.0095322928621</v>
      </c>
      <c r="G645" s="180">
        <f>(G625/G612)*BY77</f>
        <v>0</v>
      </c>
      <c r="H645" s="180">
        <f>(H628/H612)*BY60</f>
        <v>49494.925929459292</v>
      </c>
      <c r="I645" s="180">
        <f>(I629/I612)*BY78</f>
        <v>42861.135716046134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>
      <c r="A647" s="194">
        <v>8740</v>
      </c>
      <c r="B647" s="198" t="s">
        <v>658</v>
      </c>
      <c r="C647" s="180">
        <f>CA71</f>
        <v>2536753.7000000002</v>
      </c>
      <c r="D647" s="180">
        <f>(D615/D612)*CA76</f>
        <v>139915.98250804548</v>
      </c>
      <c r="E647" s="180">
        <f>(E623/E612)*SUM(C647:D647)</f>
        <v>230942.4119283233</v>
      </c>
      <c r="F647" s="180">
        <f>(F624/F612)*CA64</f>
        <v>2664.1879636054041</v>
      </c>
      <c r="G647" s="180">
        <f>(G625/G612)*CA77</f>
        <v>0</v>
      </c>
      <c r="H647" s="180">
        <f>(H628/H612)*CA60</f>
        <v>17389.626891318047</v>
      </c>
      <c r="I647" s="180">
        <f>(I629/I612)*CA78</f>
        <v>30118.19661806351</v>
      </c>
      <c r="J647" s="180">
        <f>(J630/J612)*CA79</f>
        <v>0</v>
      </c>
      <c r="K647" s="180">
        <v>0</v>
      </c>
      <c r="L647" s="180">
        <f>SUM(C645:K647)</f>
        <v>9091927.2925518863</v>
      </c>
      <c r="N647" s="197" t="s">
        <v>659</v>
      </c>
    </row>
    <row r="648" spans="1:14" ht="12.6" customHeight="1">
      <c r="A648" s="194"/>
      <c r="B648" s="194"/>
      <c r="C648" s="180">
        <f>SUM(C614:C647)</f>
        <v>141128986.16615051</v>
      </c>
      <c r="L648" s="261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>
      <c r="A668" s="194">
        <v>6010</v>
      </c>
      <c r="B668" s="196" t="s">
        <v>283</v>
      </c>
      <c r="C668" s="180">
        <f>C71</f>
        <v>9274431.1799999997</v>
      </c>
      <c r="D668" s="180">
        <f>(D615/D612)*C76</f>
        <v>664468.77823572594</v>
      </c>
      <c r="E668" s="180">
        <f>(E623/E612)*SUM(C668:D668)</f>
        <v>857525.88123557938</v>
      </c>
      <c r="F668" s="180">
        <f>(F624/F612)*C64</f>
        <v>47992.898972063813</v>
      </c>
      <c r="G668" s="180">
        <f>(G625/G612)*C77</f>
        <v>234046.7869843973</v>
      </c>
      <c r="H668" s="180">
        <f>(H628/H612)*C60</f>
        <v>85432.329660339965</v>
      </c>
      <c r="I668" s="180">
        <f>(I629/I612)*C78</f>
        <v>143032.98987531514</v>
      </c>
      <c r="J668" s="180">
        <f>(J630/J612)*C79</f>
        <v>25687.041483422188</v>
      </c>
      <c r="K668" s="180">
        <f>(K644/K612)*C75</f>
        <v>474703.03304455138</v>
      </c>
      <c r="L668" s="180">
        <f>(L647/L612)*C80</f>
        <v>650740.47390953731</v>
      </c>
      <c r="M668" s="180">
        <f t="shared" ref="M668:M713" si="21">ROUND(SUM(D668:L668),0)</f>
        <v>3183630</v>
      </c>
      <c r="N668" s="196" t="s">
        <v>663</v>
      </c>
    </row>
    <row r="669" spans="1:14" ht="12.6" customHeight="1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6" t="s">
        <v>664</v>
      </c>
    </row>
    <row r="670" spans="1:14" ht="12.6" customHeight="1">
      <c r="A670" s="194">
        <v>6070</v>
      </c>
      <c r="B670" s="196" t="s">
        <v>665</v>
      </c>
      <c r="C670" s="180">
        <f>E71</f>
        <v>54022814.152500011</v>
      </c>
      <c r="D670" s="180">
        <f>(D615/D612)*E76</f>
        <v>6817600.6803299654</v>
      </c>
      <c r="E670" s="180">
        <f>(E623/E612)*SUM(C670:D670)</f>
        <v>5249296.2564764498</v>
      </c>
      <c r="F670" s="180">
        <f>(F624/F612)*E64</f>
        <v>136661.80242108167</v>
      </c>
      <c r="G670" s="180">
        <f>(G625/G612)*E77</f>
        <v>8052039.8828405803</v>
      </c>
      <c r="H670" s="180">
        <f>(H628/H612)*E60</f>
        <v>598525.09699789761</v>
      </c>
      <c r="I670" s="180">
        <f>(I629/I612)*E78</f>
        <v>1467550.983618432</v>
      </c>
      <c r="J670" s="180">
        <f>(J630/J612)*E79</f>
        <v>253054.53041902269</v>
      </c>
      <c r="K670" s="180">
        <f>(K644/K612)*E75</f>
        <v>2720839.8010548842</v>
      </c>
      <c r="L670" s="180">
        <f>(L647/L612)*E80</f>
        <v>3465967.7247576583</v>
      </c>
      <c r="M670" s="180">
        <f t="shared" si="21"/>
        <v>28761537</v>
      </c>
      <c r="N670" s="196" t="s">
        <v>666</v>
      </c>
    </row>
    <row r="671" spans="1:14" ht="12.6" customHeight="1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6" t="s">
        <v>668</v>
      </c>
    </row>
    <row r="672" spans="1:14" ht="12.6" customHeight="1">
      <c r="A672" s="194">
        <v>6120</v>
      </c>
      <c r="B672" s="196" t="s">
        <v>669</v>
      </c>
      <c r="C672" s="180">
        <f>G71</f>
        <v>119784.64750000001</v>
      </c>
      <c r="D672" s="180">
        <f>(D615/D612)*G76</f>
        <v>0</v>
      </c>
      <c r="E672" s="180">
        <f>(E623/E612)*SUM(C672:D672)</f>
        <v>10334.99037494734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10335</v>
      </c>
      <c r="N672" s="196" t="s">
        <v>670</v>
      </c>
    </row>
    <row r="673" spans="1:14" ht="12.6" customHeight="1">
      <c r="A673" s="194">
        <v>6140</v>
      </c>
      <c r="B673" s="196" t="s">
        <v>671</v>
      </c>
      <c r="C673" s="180">
        <f>H71</f>
        <v>763.63</v>
      </c>
      <c r="D673" s="180">
        <f>(D615/D612)*H76</f>
        <v>0</v>
      </c>
      <c r="E673" s="180">
        <f>(E623/E612)*SUM(C673:D673)</f>
        <v>65.885811451931147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66</v>
      </c>
      <c r="N673" s="196" t="s">
        <v>672</v>
      </c>
    </row>
    <row r="674" spans="1:14" ht="12.6" customHeight="1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6" t="s">
        <v>674</v>
      </c>
    </row>
    <row r="675" spans="1:14" ht="12.6" customHeight="1">
      <c r="A675" s="194">
        <v>6170</v>
      </c>
      <c r="B675" s="196" t="s">
        <v>99</v>
      </c>
      <c r="C675" s="180">
        <f>J71</f>
        <v>13564423.77</v>
      </c>
      <c r="D675" s="180">
        <f>(D615/D612)*J76</f>
        <v>1211220.8717817364</v>
      </c>
      <c r="E675" s="180">
        <f>(E623/E612)*SUM(C675:D675)</f>
        <v>1274839.0410921106</v>
      </c>
      <c r="F675" s="180">
        <f>(F624/F612)*J64</f>
        <v>53818.332575563909</v>
      </c>
      <c r="G675" s="180">
        <f>(G625/G612)*J77</f>
        <v>456725.81752208434</v>
      </c>
      <c r="H675" s="180">
        <f>(H628/H612)*J60</f>
        <v>116856.78793522932</v>
      </c>
      <c r="I675" s="180">
        <f>(I629/I612)*J78</f>
        <v>260726.38529431022</v>
      </c>
      <c r="J675" s="180">
        <f>(J630/J612)*J79</f>
        <v>33083.105916937624</v>
      </c>
      <c r="K675" s="180">
        <f>(K644/K612)*J75</f>
        <v>830203.91436497378</v>
      </c>
      <c r="L675" s="180">
        <f>(L647/L612)*J80</f>
        <v>929317.72179809748</v>
      </c>
      <c r="M675" s="180">
        <f t="shared" si="21"/>
        <v>5166792</v>
      </c>
      <c r="N675" s="196" t="s">
        <v>675</v>
      </c>
    </row>
    <row r="676" spans="1:14" ht="12.6" customHeight="1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6" t="s">
        <v>676</v>
      </c>
    </row>
    <row r="677" spans="1:14" ht="12.6" customHeight="1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6" t="s">
        <v>677</v>
      </c>
    </row>
    <row r="678" spans="1:14" ht="12.6" customHeight="1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6" t="s">
        <v>679</v>
      </c>
    </row>
    <row r="679" spans="1:14" ht="12.6" customHeight="1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6" t="s">
        <v>681</v>
      </c>
    </row>
    <row r="680" spans="1:14" ht="12.6" customHeight="1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6" t="s">
        <v>683</v>
      </c>
    </row>
    <row r="681" spans="1:14" ht="12.6" customHeight="1">
      <c r="A681" s="194">
        <v>7020</v>
      </c>
      <c r="B681" s="196" t="s">
        <v>684</v>
      </c>
      <c r="C681" s="180">
        <f>P71</f>
        <v>48223151.385000005</v>
      </c>
      <c r="D681" s="180">
        <f>(D615/D612)*P76</f>
        <v>4438953.4698774833</v>
      </c>
      <c r="E681" s="180">
        <f>(E623/E612)*SUM(C681:D681)</f>
        <v>4543673.6523320014</v>
      </c>
      <c r="F681" s="180">
        <f>(F624/F612)*P64</f>
        <v>1478096.6348836247</v>
      </c>
      <c r="G681" s="180">
        <f>(G625/G612)*P77</f>
        <v>0</v>
      </c>
      <c r="H681" s="180">
        <f>(H628/H612)*P60</f>
        <v>159930.60761340515</v>
      </c>
      <c r="I681" s="180">
        <f>(I629/I612)*P78</f>
        <v>955525.38736250286</v>
      </c>
      <c r="J681" s="180">
        <f>(J630/J612)*P79</f>
        <v>147690.32205024755</v>
      </c>
      <c r="K681" s="180">
        <f>(K644/K612)*P75</f>
        <v>5527173.7135777082</v>
      </c>
      <c r="L681" s="180">
        <f>(L647/L612)*P80</f>
        <v>748272.76664064371</v>
      </c>
      <c r="M681" s="180">
        <f t="shared" si="21"/>
        <v>17999317</v>
      </c>
      <c r="N681" s="196" t="s">
        <v>685</v>
      </c>
    </row>
    <row r="682" spans="1:14" ht="12.6" customHeight="1">
      <c r="A682" s="194">
        <v>7030</v>
      </c>
      <c r="B682" s="196" t="s">
        <v>686</v>
      </c>
      <c r="C682" s="180">
        <f>Q71</f>
        <v>6604556.9600000009</v>
      </c>
      <c r="D682" s="180">
        <f>(D615/D612)*Q76</f>
        <v>651405.9261181372</v>
      </c>
      <c r="E682" s="180">
        <f>(E623/E612)*SUM(C682:D682)</f>
        <v>626042.72044968093</v>
      </c>
      <c r="F682" s="180">
        <f>(F624/F612)*Q64</f>
        <v>32628.38903806161</v>
      </c>
      <c r="G682" s="180">
        <f>(G625/G612)*Q77</f>
        <v>0</v>
      </c>
      <c r="H682" s="180">
        <f>(H628/H612)*Q60</f>
        <v>73303.429776611694</v>
      </c>
      <c r="I682" s="180">
        <f>(I629/I612)*Q78</f>
        <v>140221.09132435723</v>
      </c>
      <c r="J682" s="180">
        <f>(J630/J612)*Q79</f>
        <v>0</v>
      </c>
      <c r="K682" s="180">
        <f>(K644/K612)*Q75</f>
        <v>663365.73724505317</v>
      </c>
      <c r="L682" s="180">
        <f>(L647/L612)*Q80</f>
        <v>542463.55068803683</v>
      </c>
      <c r="M682" s="180">
        <f t="shared" si="21"/>
        <v>2729431</v>
      </c>
      <c r="N682" s="196" t="s">
        <v>687</v>
      </c>
    </row>
    <row r="683" spans="1:14" ht="12.6" customHeight="1">
      <c r="A683" s="194">
        <v>7040</v>
      </c>
      <c r="B683" s="196" t="s">
        <v>107</v>
      </c>
      <c r="C683" s="180">
        <f>R71</f>
        <v>1577080.55</v>
      </c>
      <c r="D683" s="180">
        <f>(D615/D612)*R76</f>
        <v>8758.9066221982066</v>
      </c>
      <c r="E683" s="180">
        <f>(E623/E612)*SUM(C683:D683)</f>
        <v>136825.8442335203</v>
      </c>
      <c r="F683" s="180">
        <f>(F624/F612)*R64</f>
        <v>27175.104387229811</v>
      </c>
      <c r="G683" s="180">
        <f>(G625/G612)*R77</f>
        <v>0</v>
      </c>
      <c r="H683" s="180">
        <f>(H628/H612)*R60</f>
        <v>6635.853972270922</v>
      </c>
      <c r="I683" s="180">
        <f>(I629/I612)*R78</f>
        <v>1885.4348665382445</v>
      </c>
      <c r="J683" s="180">
        <f>(J630/J612)*R79</f>
        <v>0</v>
      </c>
      <c r="K683" s="180">
        <f>(K644/K612)*R75</f>
        <v>286613.50121436419</v>
      </c>
      <c r="L683" s="180">
        <f>(L647/L612)*R80</f>
        <v>64336.14439837823</v>
      </c>
      <c r="M683" s="180">
        <f t="shared" si="21"/>
        <v>532231</v>
      </c>
      <c r="N683" s="196" t="s">
        <v>688</v>
      </c>
    </row>
    <row r="684" spans="1:14" ht="12.6" customHeight="1">
      <c r="A684" s="194">
        <v>7050</v>
      </c>
      <c r="B684" s="196" t="s">
        <v>689</v>
      </c>
      <c r="C684" s="180">
        <f>S71</f>
        <v>3318199.9894524994</v>
      </c>
      <c r="D684" s="180">
        <f>(D615/D612)*S76</f>
        <v>635700.30045074737</v>
      </c>
      <c r="E684" s="180">
        <f>(E623/E612)*SUM(C684:D684)</f>
        <v>341141.55939434184</v>
      </c>
      <c r="F684" s="180">
        <f>(F624/F612)*S64</f>
        <v>-58084.007989308295</v>
      </c>
      <c r="G684" s="180">
        <f>(G625/G612)*S77</f>
        <v>0</v>
      </c>
      <c r="H684" s="180">
        <f>(H628/H612)*S60</f>
        <v>59446.299558405008</v>
      </c>
      <c r="I684" s="180">
        <f>(I629/I612)*S78</f>
        <v>136840.31156366796</v>
      </c>
      <c r="J684" s="180">
        <f>(J630/J612)*S79</f>
        <v>0</v>
      </c>
      <c r="K684" s="180">
        <f>(K644/K612)*S75</f>
        <v>0</v>
      </c>
      <c r="L684" s="180">
        <f>(L647/L612)*S80</f>
        <v>41.790013964429093</v>
      </c>
      <c r="M684" s="180">
        <f t="shared" si="21"/>
        <v>1115086</v>
      </c>
      <c r="N684" s="196" t="s">
        <v>690</v>
      </c>
    </row>
    <row r="685" spans="1:14" ht="12.6" customHeight="1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6" t="s">
        <v>692</v>
      </c>
    </row>
    <row r="686" spans="1:14" ht="12.6" customHeight="1">
      <c r="A686" s="194">
        <v>7070</v>
      </c>
      <c r="B686" s="196" t="s">
        <v>109</v>
      </c>
      <c r="C686" s="180">
        <f>U71</f>
        <v>14762912.51</v>
      </c>
      <c r="D686" s="180">
        <f>(D615/D612)*U76</f>
        <v>1009841.5272868862</v>
      </c>
      <c r="E686" s="180">
        <f>(E623/E612)*SUM(C686:D686)</f>
        <v>1360869.3982404694</v>
      </c>
      <c r="F686" s="180">
        <f>(F624/F612)*U64</f>
        <v>287728.79017590528</v>
      </c>
      <c r="G686" s="180">
        <f>(G625/G612)*U77</f>
        <v>0</v>
      </c>
      <c r="H686" s="180">
        <f>(H628/H612)*U60</f>
        <v>94240.539160449</v>
      </c>
      <c r="I686" s="180">
        <f>(I629/I612)*U78</f>
        <v>217377.63711278007</v>
      </c>
      <c r="J686" s="180">
        <f>(J630/J612)*U79</f>
        <v>0</v>
      </c>
      <c r="K686" s="180">
        <f>(K644/K612)*U75</f>
        <v>1298829.3757300677</v>
      </c>
      <c r="L686" s="180">
        <f>(L647/L612)*U80</f>
        <v>0</v>
      </c>
      <c r="M686" s="180">
        <f t="shared" si="21"/>
        <v>4268887</v>
      </c>
      <c r="N686" s="196" t="s">
        <v>693</v>
      </c>
    </row>
    <row r="687" spans="1:14" ht="12.6" customHeight="1">
      <c r="A687" s="194">
        <v>7110</v>
      </c>
      <c r="B687" s="196" t="s">
        <v>694</v>
      </c>
      <c r="C687" s="180">
        <f>V71</f>
        <v>1091779.9500000002</v>
      </c>
      <c r="D687" s="180">
        <f>(D615/D612)*V76</f>
        <v>0</v>
      </c>
      <c r="E687" s="180">
        <f>(E623/E612)*SUM(C687:D687)</f>
        <v>94198.5096613528</v>
      </c>
      <c r="F687" s="180">
        <f>(F624/F612)*V64</f>
        <v>760.96752872424406</v>
      </c>
      <c r="G687" s="180">
        <f>(G625/G612)*V77</f>
        <v>0</v>
      </c>
      <c r="H687" s="180">
        <f>(H628/H612)*V60</f>
        <v>8085.5849284049264</v>
      </c>
      <c r="I687" s="180">
        <f>(I629/I612)*V78</f>
        <v>0</v>
      </c>
      <c r="J687" s="180">
        <f>(J630/J612)*V79</f>
        <v>0</v>
      </c>
      <c r="K687" s="180">
        <f>(K644/K612)*V75</f>
        <v>429077.80947557307</v>
      </c>
      <c r="L687" s="180">
        <f>(L647/L612)*V80</f>
        <v>0</v>
      </c>
      <c r="M687" s="180">
        <f t="shared" si="21"/>
        <v>532123</v>
      </c>
      <c r="N687" s="196" t="s">
        <v>695</v>
      </c>
    </row>
    <row r="688" spans="1:14" ht="12.6" customHeight="1">
      <c r="A688" s="194">
        <v>7120</v>
      </c>
      <c r="B688" s="196" t="s">
        <v>696</v>
      </c>
      <c r="C688" s="180">
        <f>W71</f>
        <v>858273.73000000021</v>
      </c>
      <c r="D688" s="180">
        <f>(D615/D612)*W76</f>
        <v>165513.13203326263</v>
      </c>
      <c r="E688" s="180">
        <f>(E623/E612)*SUM(C688:D688)</f>
        <v>88332.082499231052</v>
      </c>
      <c r="F688" s="180">
        <f>(F624/F612)*W64</f>
        <v>5961.3441024526919</v>
      </c>
      <c r="G688" s="180">
        <f>(G625/G612)*W77</f>
        <v>0</v>
      </c>
      <c r="H688" s="180">
        <f>(H628/H612)*W60</f>
        <v>0</v>
      </c>
      <c r="I688" s="180">
        <f>(I629/I612)*W78</f>
        <v>35628.217478033039</v>
      </c>
      <c r="J688" s="180">
        <f>(J630/J612)*W79</f>
        <v>0</v>
      </c>
      <c r="K688" s="180">
        <f>(K644/K612)*W75</f>
        <v>282673.72837359109</v>
      </c>
      <c r="L688" s="180">
        <f>(L647/L612)*W80</f>
        <v>0</v>
      </c>
      <c r="M688" s="180">
        <f t="shared" si="21"/>
        <v>578109</v>
      </c>
      <c r="N688" s="196" t="s">
        <v>697</v>
      </c>
    </row>
    <row r="689" spans="1:14" ht="12.6" customHeight="1">
      <c r="A689" s="194">
        <v>7130</v>
      </c>
      <c r="B689" s="196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1"/>
        <v>0</v>
      </c>
      <c r="N689" s="196" t="s">
        <v>699</v>
      </c>
    </row>
    <row r="690" spans="1:14" ht="12.6" customHeight="1">
      <c r="A690" s="194">
        <v>7140</v>
      </c>
      <c r="B690" s="196" t="s">
        <v>1250</v>
      </c>
      <c r="C690" s="180">
        <f>Y71</f>
        <v>41452895.600000001</v>
      </c>
      <c r="D690" s="180">
        <f>(D615/D612)*Y76</f>
        <v>1742191.8318446483</v>
      </c>
      <c r="E690" s="180">
        <f>(E623/E612)*SUM(C690:D690)</f>
        <v>3726861.6819457039</v>
      </c>
      <c r="F690" s="180">
        <f>(F624/F612)*Y64</f>
        <v>1181793.4343553183</v>
      </c>
      <c r="G690" s="180">
        <f>(G625/G612)*Y77</f>
        <v>0</v>
      </c>
      <c r="H690" s="180">
        <f>(H628/H612)*Y60</f>
        <v>242959.8883699711</v>
      </c>
      <c r="I690" s="180">
        <f>(I629/I612)*Y78</f>
        <v>375022.74720376654</v>
      </c>
      <c r="J690" s="180">
        <f>(J630/J612)*Y79</f>
        <v>40496.937013534698</v>
      </c>
      <c r="K690" s="180">
        <f>(K644/K612)*Y75</f>
        <v>5421280.8672291003</v>
      </c>
      <c r="L690" s="180">
        <f>(L647/L612)*Y80</f>
        <v>335616.27078855346</v>
      </c>
      <c r="M690" s="180">
        <f t="shared" si="21"/>
        <v>13066224</v>
      </c>
      <c r="N690" s="196" t="s">
        <v>700</v>
      </c>
    </row>
    <row r="691" spans="1:14" ht="12.6" customHeight="1">
      <c r="A691" s="194">
        <v>7150</v>
      </c>
      <c r="B691" s="196" t="s">
        <v>701</v>
      </c>
      <c r="C691" s="180">
        <f>Z71</f>
        <v>4491174.66</v>
      </c>
      <c r="D691" s="180">
        <f>(D615/D612)*Z76</f>
        <v>888953.51433740929</v>
      </c>
      <c r="E691" s="180">
        <f>(E623/E612)*SUM(C691:D691)</f>
        <v>464196.15583674965</v>
      </c>
      <c r="F691" s="180">
        <f>(F624/F612)*Z64</f>
        <v>3194.5103810191927</v>
      </c>
      <c r="G691" s="180">
        <f>(G625/G612)*Z77</f>
        <v>0</v>
      </c>
      <c r="H691" s="180">
        <f>(H628/H612)*Z60</f>
        <v>31287.225014413289</v>
      </c>
      <c r="I691" s="180">
        <f>(I629/I612)*Z78</f>
        <v>191355.38520478239</v>
      </c>
      <c r="J691" s="180">
        <f>(J630/J612)*Z79</f>
        <v>10129.761659675736</v>
      </c>
      <c r="K691" s="180">
        <f>(K644/K612)*Z75</f>
        <v>536573.9614399852</v>
      </c>
      <c r="L691" s="180">
        <f>(L647/L612)*Z80</f>
        <v>41730.170664432029</v>
      </c>
      <c r="M691" s="180">
        <f t="shared" si="21"/>
        <v>2167421</v>
      </c>
      <c r="N691" s="196" t="s">
        <v>702</v>
      </c>
    </row>
    <row r="692" spans="1:14" ht="12.6" customHeight="1">
      <c r="A692" s="194">
        <v>7160</v>
      </c>
      <c r="B692" s="196" t="s">
        <v>703</v>
      </c>
      <c r="C692" s="180">
        <f>AA71</f>
        <v>1327121.1099999999</v>
      </c>
      <c r="D692" s="180">
        <f>(D615/D612)*AA76</f>
        <v>0</v>
      </c>
      <c r="E692" s="180">
        <f>(E623/E612)*SUM(C692:D692)</f>
        <v>114503.68794748449</v>
      </c>
      <c r="F692" s="180">
        <f>(F624/F612)*AA64</f>
        <v>51027.49855202491</v>
      </c>
      <c r="G692" s="180">
        <f>(G625/G612)*AA77</f>
        <v>0</v>
      </c>
      <c r="H692" s="180">
        <f>(H628/H612)*AA60</f>
        <v>4612.4974308902283</v>
      </c>
      <c r="I692" s="180">
        <f>(I629/I612)*AA78</f>
        <v>0</v>
      </c>
      <c r="J692" s="180">
        <f>(J630/J612)*AA79</f>
        <v>0</v>
      </c>
      <c r="K692" s="180">
        <f>(K644/K612)*AA75</f>
        <v>189980.31040475189</v>
      </c>
      <c r="L692" s="180">
        <f>(L647/L612)*AA80</f>
        <v>66.864022343086546</v>
      </c>
      <c r="M692" s="180">
        <f t="shared" si="21"/>
        <v>360191</v>
      </c>
      <c r="N692" s="196" t="s">
        <v>704</v>
      </c>
    </row>
    <row r="693" spans="1:14" ht="12.6" customHeight="1">
      <c r="A693" s="194">
        <v>7170</v>
      </c>
      <c r="B693" s="196" t="s">
        <v>115</v>
      </c>
      <c r="C693" s="180">
        <f>AB71</f>
        <v>19261775.280000001</v>
      </c>
      <c r="D693" s="180">
        <f>(D615/D612)*AB76</f>
        <v>419219.39281417622</v>
      </c>
      <c r="E693" s="180">
        <f>(E623/E612)*SUM(C693:D693)</f>
        <v>1698071.4537138359</v>
      </c>
      <c r="F693" s="180">
        <f>(F624/F612)*AB64</f>
        <v>811195.37167236349</v>
      </c>
      <c r="G693" s="180">
        <f>(G625/G612)*AB77</f>
        <v>0</v>
      </c>
      <c r="H693" s="180">
        <f>(H628/H612)*AB60</f>
        <v>74452.933464381771</v>
      </c>
      <c r="I693" s="180">
        <f>(I629/I612)*AB78</f>
        <v>90240.813612244267</v>
      </c>
      <c r="J693" s="180">
        <f>(J630/J612)*AB79</f>
        <v>0</v>
      </c>
      <c r="K693" s="180">
        <f>(K644/K612)*AB75</f>
        <v>3094083.2943189344</v>
      </c>
      <c r="L693" s="180">
        <f>(L647/L612)*AB80</f>
        <v>0</v>
      </c>
      <c r="M693" s="180">
        <f t="shared" si="21"/>
        <v>6187263</v>
      </c>
      <c r="N693" s="196" t="s">
        <v>705</v>
      </c>
    </row>
    <row r="694" spans="1:14" ht="12.6" customHeight="1">
      <c r="A694" s="194">
        <v>7180</v>
      </c>
      <c r="B694" s="196" t="s">
        <v>706</v>
      </c>
      <c r="C694" s="180">
        <f>AC71</f>
        <v>7547227.2500000019</v>
      </c>
      <c r="D694" s="180">
        <f>(D615/D612)*AC76</f>
        <v>574538.96972677717</v>
      </c>
      <c r="E694" s="180">
        <f>(E623/E612)*SUM(C694:D694)</f>
        <v>700744.02237940126</v>
      </c>
      <c r="F694" s="180">
        <f>(F624/F612)*AC64</f>
        <v>35400.945470803155</v>
      </c>
      <c r="G694" s="180">
        <f>(G625/G612)*AC77</f>
        <v>0</v>
      </c>
      <c r="H694" s="180">
        <f>(H628/H612)*AC60</f>
        <v>94272.538838874636</v>
      </c>
      <c r="I694" s="180">
        <f>(I629/I612)*AC78</f>
        <v>123674.77499559916</v>
      </c>
      <c r="J694" s="180">
        <f>(J630/J612)*AC79</f>
        <v>7187.2074386224858</v>
      </c>
      <c r="K694" s="180">
        <f>(K644/K612)*AC75</f>
        <v>803492.72196693602</v>
      </c>
      <c r="L694" s="180">
        <f>(L647/L612)*AC80</f>
        <v>34141.104128491708</v>
      </c>
      <c r="M694" s="180">
        <f t="shared" si="21"/>
        <v>2373452</v>
      </c>
      <c r="N694" s="196" t="s">
        <v>707</v>
      </c>
    </row>
    <row r="695" spans="1:14" ht="12.6" customHeight="1">
      <c r="A695" s="194">
        <v>7190</v>
      </c>
      <c r="B695" s="196" t="s">
        <v>117</v>
      </c>
      <c r="C695" s="180">
        <f>AD71</f>
        <v>41289</v>
      </c>
      <c r="D695" s="180">
        <f>(D615/D612)*AD76</f>
        <v>61161.330723970226</v>
      </c>
      <c r="E695" s="180">
        <f>(E623/E612)*SUM(C695:D695)</f>
        <v>8839.3897218122547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13165.536568068779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83166</v>
      </c>
      <c r="N695" s="196" t="s">
        <v>708</v>
      </c>
    </row>
    <row r="696" spans="1:14" ht="12.6" customHeight="1">
      <c r="A696" s="194">
        <v>7200</v>
      </c>
      <c r="B696" s="196" t="s">
        <v>709</v>
      </c>
      <c r="C696" s="180">
        <f>AE71</f>
        <v>7820847.46</v>
      </c>
      <c r="D696" s="180">
        <f>(D615/D612)*AE76</f>
        <v>1649845.7732330242</v>
      </c>
      <c r="E696" s="180">
        <f>(E623/E612)*SUM(C696:D696)</f>
        <v>817129.11840010376</v>
      </c>
      <c r="F696" s="180">
        <f>(F624/F612)*AE64</f>
        <v>39742.288823533185</v>
      </c>
      <c r="G696" s="180">
        <f>(G625/G612)*AE77</f>
        <v>0</v>
      </c>
      <c r="H696" s="180">
        <f>(H628/H612)*AE60</f>
        <v>58756.781572241882</v>
      </c>
      <c r="I696" s="180">
        <f>(I629/I612)*AE78</f>
        <v>355144.41236086772</v>
      </c>
      <c r="J696" s="180">
        <f>(J630/J612)*AE79</f>
        <v>15937.881228428505</v>
      </c>
      <c r="K696" s="180">
        <f>(K644/K612)*AE75</f>
        <v>343480.61112016632</v>
      </c>
      <c r="L696" s="180">
        <f>(L647/L612)*AE80</f>
        <v>111277.86412428628</v>
      </c>
      <c r="M696" s="180">
        <f t="shared" si="21"/>
        <v>3391315</v>
      </c>
      <c r="N696" s="196" t="s">
        <v>710</v>
      </c>
    </row>
    <row r="697" spans="1:14" ht="12.6" customHeight="1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6" t="s">
        <v>712</v>
      </c>
    </row>
    <row r="698" spans="1:14" ht="12.6" customHeight="1">
      <c r="A698" s="194">
        <v>7230</v>
      </c>
      <c r="B698" s="196" t="s">
        <v>713</v>
      </c>
      <c r="C698" s="180">
        <f>AG71</f>
        <v>23316139.699999999</v>
      </c>
      <c r="D698" s="180">
        <f>(D615/D612)*AG76</f>
        <v>2152727.825852335</v>
      </c>
      <c r="E698" s="180">
        <f>(E623/E612)*SUM(C698:D698)</f>
        <v>2197447.7216747892</v>
      </c>
      <c r="F698" s="180">
        <f>(F624/F612)*AG64</f>
        <v>113605.9793262473</v>
      </c>
      <c r="G698" s="180">
        <f>(G625/G612)*AG77</f>
        <v>407304.29481404589</v>
      </c>
      <c r="H698" s="180">
        <f>(H628/H612)*AG60</f>
        <v>186474.47245782235</v>
      </c>
      <c r="I698" s="180">
        <f>(I629/I612)*AG78</f>
        <v>463394.37969832204</v>
      </c>
      <c r="J698" s="180">
        <f>(J630/J612)*AG79</f>
        <v>206711.96643689624</v>
      </c>
      <c r="K698" s="180">
        <f>(K644/K612)*AG75</f>
        <v>3345416.8911543032</v>
      </c>
      <c r="L698" s="180">
        <f>(L647/L612)*AG80</f>
        <v>1089204.8943655284</v>
      </c>
      <c r="M698" s="180">
        <f t="shared" si="21"/>
        <v>10162288</v>
      </c>
      <c r="N698" s="196" t="s">
        <v>714</v>
      </c>
    </row>
    <row r="699" spans="1:14" ht="12.6" customHeight="1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6" t="s">
        <v>715</v>
      </c>
    </row>
    <row r="700" spans="1:14" ht="12.6" customHeight="1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6" t="s">
        <v>717</v>
      </c>
    </row>
    <row r="701" spans="1:14" ht="12.6" customHeight="1">
      <c r="A701" s="194">
        <v>7260</v>
      </c>
      <c r="B701" s="196" t="s">
        <v>121</v>
      </c>
      <c r="C701" s="180">
        <f>AJ71</f>
        <v>152944654.15999997</v>
      </c>
      <c r="D701" s="180">
        <f>(D615/D612)*AJ76</f>
        <v>0</v>
      </c>
      <c r="E701" s="180">
        <f>(E623/E612)*SUM(C701:D701)</f>
        <v>13196027.718353882</v>
      </c>
      <c r="F701" s="180">
        <f>(F624/F612)*AJ64</f>
        <v>191935.93545179453</v>
      </c>
      <c r="G701" s="180">
        <f>(G625/G612)*AJ77</f>
        <v>0</v>
      </c>
      <c r="H701" s="180">
        <f>(H628/H612)*AJ60</f>
        <v>750507.17490936234</v>
      </c>
      <c r="I701" s="180">
        <f>(I629/I612)*AJ78</f>
        <v>0</v>
      </c>
      <c r="J701" s="180">
        <f>(J630/J612)*AJ79</f>
        <v>0</v>
      </c>
      <c r="K701" s="180">
        <f>(K644/K612)*AJ75</f>
        <v>3180184.6987840612</v>
      </c>
      <c r="L701" s="180">
        <f>(L647/L612)*AJ80</f>
        <v>508674.73637726525</v>
      </c>
      <c r="M701" s="180">
        <f t="shared" si="21"/>
        <v>17827330</v>
      </c>
      <c r="N701" s="196" t="s">
        <v>718</v>
      </c>
    </row>
    <row r="702" spans="1:14" ht="12.6" customHeight="1">
      <c r="A702" s="194">
        <v>7310</v>
      </c>
      <c r="B702" s="196" t="s">
        <v>719</v>
      </c>
      <c r="C702" s="180">
        <f>AK71</f>
        <v>1686820.7300000004</v>
      </c>
      <c r="D702" s="180">
        <f>(D615/D612)*AK76</f>
        <v>353452.08533198107</v>
      </c>
      <c r="E702" s="180">
        <f>(E623/E612)*SUM(C702:D702)</f>
        <v>176034.24436109592</v>
      </c>
      <c r="F702" s="180">
        <f>(F624/F612)*AK64</f>
        <v>688.70449798162042</v>
      </c>
      <c r="G702" s="180">
        <f>(G625/G612)*AK77</f>
        <v>0</v>
      </c>
      <c r="H702" s="180">
        <f>(H628/H612)*AK60</f>
        <v>14776.211451362775</v>
      </c>
      <c r="I702" s="180">
        <f>(I629/I612)*AK78</f>
        <v>76083.798364357965</v>
      </c>
      <c r="J702" s="180">
        <f>(J630/J612)*AK79</f>
        <v>0</v>
      </c>
      <c r="K702" s="180">
        <f>(K644/K612)*AK75</f>
        <v>88066.752521804927</v>
      </c>
      <c r="L702" s="180">
        <f>(L647/L612)*AK80</f>
        <v>0</v>
      </c>
      <c r="M702" s="180">
        <f t="shared" si="21"/>
        <v>709102</v>
      </c>
      <c r="N702" s="196" t="s">
        <v>720</v>
      </c>
    </row>
    <row r="703" spans="1:14" ht="12.6" customHeight="1">
      <c r="A703" s="194">
        <v>7320</v>
      </c>
      <c r="B703" s="196" t="s">
        <v>721</v>
      </c>
      <c r="C703" s="180">
        <f>AL71</f>
        <v>723215.99000000022</v>
      </c>
      <c r="D703" s="180">
        <f>(D615/D612)*AL76</f>
        <v>116282.03619125205</v>
      </c>
      <c r="E703" s="180">
        <f>(E623/E612)*SUM(C703:D703)</f>
        <v>72431.686376786151</v>
      </c>
      <c r="F703" s="180">
        <f>(F624/F612)*AL64</f>
        <v>340.586327003267</v>
      </c>
      <c r="G703" s="180">
        <f>(G625/G612)*AL77</f>
        <v>0</v>
      </c>
      <c r="H703" s="180">
        <f>(H628/H612)*AL60</f>
        <v>7518.461454884784</v>
      </c>
      <c r="I703" s="180">
        <f>(I629/I612)*AL78</f>
        <v>25030.773228180151</v>
      </c>
      <c r="J703" s="180">
        <f>(J630/J612)*AL79</f>
        <v>0</v>
      </c>
      <c r="K703" s="180">
        <f>(K644/K612)*AL75</f>
        <v>43350.219775553647</v>
      </c>
      <c r="L703" s="180">
        <f>(L647/L612)*AL80</f>
        <v>0</v>
      </c>
      <c r="M703" s="180">
        <f t="shared" si="21"/>
        <v>264954</v>
      </c>
      <c r="N703" s="196" t="s">
        <v>722</v>
      </c>
    </row>
    <row r="704" spans="1:14" ht="12.6" customHeight="1">
      <c r="A704" s="194">
        <v>7330</v>
      </c>
      <c r="B704" s="196" t="s">
        <v>723</v>
      </c>
      <c r="C704" s="180">
        <f>AM71</f>
        <v>-44.78</v>
      </c>
      <c r="D704" s="180">
        <f>(D615/D612)*AM76</f>
        <v>0</v>
      </c>
      <c r="E704" s="180">
        <f>(E623/E612)*SUM(C704:D704)</f>
        <v>-3.8636075544667929</v>
      </c>
      <c r="F704" s="180">
        <f>(F624/F612)*AM64</f>
        <v>-3.0330573129888574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-7</v>
      </c>
      <c r="N704" s="196" t="s">
        <v>724</v>
      </c>
    </row>
    <row r="705" spans="1:15" ht="12.6" customHeight="1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6" t="s">
        <v>726</v>
      </c>
    </row>
    <row r="706" spans="1:15" ht="12.6" customHeight="1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6" t="s">
        <v>728</v>
      </c>
    </row>
    <row r="707" spans="1:15" ht="12.6" customHeight="1">
      <c r="A707" s="194">
        <v>7380</v>
      </c>
      <c r="B707" s="196" t="s">
        <v>729</v>
      </c>
      <c r="C707" s="180">
        <f>AP71</f>
        <v>54707514.900000013</v>
      </c>
      <c r="D707" s="180">
        <f>(D615/D612)*AP76</f>
        <v>4792632.0786565905</v>
      </c>
      <c r="E707" s="180">
        <f>(E623/E612)*SUM(C707:D707)</f>
        <v>5133658.2706257747</v>
      </c>
      <c r="F707" s="180">
        <f>(F624/F612)*AP64</f>
        <v>2646867.3403203464</v>
      </c>
      <c r="G707" s="180">
        <f>(G625/G612)*AP77</f>
        <v>0</v>
      </c>
      <c r="H707" s="180">
        <f>(H628/H612)*AP60</f>
        <v>154101.58055969709</v>
      </c>
      <c r="I707" s="180">
        <f>(I629/I612)*AP78</f>
        <v>1031657.9469734094</v>
      </c>
      <c r="J707" s="180">
        <f>(J630/J612)*AP79</f>
        <v>0</v>
      </c>
      <c r="K707" s="180">
        <f>(K644/K612)*AP75</f>
        <v>4682621.4438393433</v>
      </c>
      <c r="L707" s="180">
        <f>(L647/L612)*AP80</f>
        <v>560200.65347501531</v>
      </c>
      <c r="M707" s="180">
        <f t="shared" si="21"/>
        <v>19001739</v>
      </c>
      <c r="N707" s="196" t="s">
        <v>730</v>
      </c>
    </row>
    <row r="708" spans="1:15" ht="12.6" customHeight="1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6" t="s">
        <v>732</v>
      </c>
    </row>
    <row r="709" spans="1:15" ht="12.6" customHeight="1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6" t="s">
        <v>734</v>
      </c>
    </row>
    <row r="710" spans="1:15" ht="12.6" customHeight="1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6" t="s">
        <v>735</v>
      </c>
    </row>
    <row r="711" spans="1:15" ht="12.6" customHeight="1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6" t="s">
        <v>737</v>
      </c>
    </row>
    <row r="712" spans="1:15" ht="12.6" customHeight="1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6" t="s">
        <v>739</v>
      </c>
    </row>
    <row r="713" spans="1:15" ht="12.6" customHeight="1">
      <c r="A713" s="194">
        <v>7490</v>
      </c>
      <c r="B713" s="196" t="s">
        <v>740</v>
      </c>
      <c r="C713" s="180">
        <f>AV71</f>
        <v>3364723.4149999996</v>
      </c>
      <c r="D713" s="180">
        <f>(D615/D612)*AV76</f>
        <v>239284.26798056994</v>
      </c>
      <c r="E713" s="180">
        <f>(E623/E612)*SUM(C713:D713)</f>
        <v>310952.91001161438</v>
      </c>
      <c r="F713" s="180">
        <f>(F624/F612)*AV64</f>
        <v>132.21095472670231</v>
      </c>
      <c r="G713" s="180">
        <f>(G625/G612)*AV77</f>
        <v>0</v>
      </c>
      <c r="H713" s="180">
        <f>(H628/H612)*AV60</f>
        <v>1992.7811350475429</v>
      </c>
      <c r="I713" s="180">
        <f>(I629/I612)*AV78</f>
        <v>51508.130103962911</v>
      </c>
      <c r="J713" s="180">
        <f>(J630/J612)*AV79</f>
        <v>4858.1953159882269</v>
      </c>
      <c r="K713" s="180">
        <f>(K644/K612)*AV75</f>
        <v>38401.794624811519</v>
      </c>
      <c r="L713" s="180">
        <f>(L647/L612)*AV80</f>
        <v>9874.5623996549493</v>
      </c>
      <c r="M713" s="180">
        <f t="shared" si="21"/>
        <v>657005</v>
      </c>
      <c r="N713" s="197" t="s">
        <v>741</v>
      </c>
    </row>
    <row r="715" spans="1:15" ht="12.6" customHeight="1">
      <c r="C715" s="180">
        <f>SUM(C614:C647)+SUM(C668:C713)</f>
        <v>613232513.09560299</v>
      </c>
      <c r="D715" s="180">
        <f>SUM(D616:D647)+SUM(D668:D713)</f>
        <v>37446742.060000002</v>
      </c>
      <c r="E715" s="180">
        <f>SUM(E624:E647)+SUM(E668:E713)</f>
        <v>48707114.651969589</v>
      </c>
      <c r="F715" s="180">
        <f>SUM(F625:F648)+SUM(F668:F713)</f>
        <v>7228901.9857932925</v>
      </c>
      <c r="G715" s="180">
        <f>SUM(G626:G647)+SUM(G668:G713)</f>
        <v>9150116.7821611091</v>
      </c>
      <c r="H715" s="180">
        <f>SUM(H629:H647)+SUM(H668:H713)</f>
        <v>3064282.4252647548</v>
      </c>
      <c r="I715" s="180">
        <f>SUM(I630:I647)+SUM(I668:I713)</f>
        <v>6542328.9568969142</v>
      </c>
      <c r="J715" s="180">
        <f>SUM(J631:J647)+SUM(J668:J713)</f>
        <v>744836.94896277599</v>
      </c>
      <c r="K715" s="180">
        <f>SUM(K668:K713)</f>
        <v>34280414.181260526</v>
      </c>
      <c r="L715" s="180">
        <f>SUM(L668:L713)</f>
        <v>9091927.2925518863</v>
      </c>
      <c r="M715" s="180">
        <f>SUM(M668:M713)</f>
        <v>141128987</v>
      </c>
      <c r="N715" s="196" t="s">
        <v>742</v>
      </c>
    </row>
    <row r="716" spans="1:15" ht="12.6" customHeight="1">
      <c r="C716" s="180">
        <f>CE71</f>
        <v>613232513.09560299</v>
      </c>
      <c r="D716" s="180">
        <f>D615</f>
        <v>37446742.060000002</v>
      </c>
      <c r="E716" s="180">
        <f>E623</f>
        <v>48707114.651969604</v>
      </c>
      <c r="F716" s="180">
        <f>F624</f>
        <v>7228901.9857932888</v>
      </c>
      <c r="G716" s="180">
        <f>G625</f>
        <v>9150116.7821611073</v>
      </c>
      <c r="H716" s="180">
        <f>H628</f>
        <v>3064282.4252647543</v>
      </c>
      <c r="I716" s="180">
        <f>I629</f>
        <v>6542328.9568969142</v>
      </c>
      <c r="J716" s="180">
        <f>J630</f>
        <v>744836.94896277587</v>
      </c>
      <c r="K716" s="180">
        <f>K644</f>
        <v>34280414.181260519</v>
      </c>
      <c r="L716" s="180">
        <f>L647</f>
        <v>9091927.2925518863</v>
      </c>
      <c r="M716" s="180">
        <f>C648</f>
        <v>141128986.16615051</v>
      </c>
      <c r="N716" s="196" t="s">
        <v>743</v>
      </c>
    </row>
    <row r="717" spans="1:15" ht="12.6" customHeight="1">
      <c r="O717" s="196"/>
    </row>
    <row r="718" spans="1:15" ht="12.6" customHeight="1">
      <c r="O718" s="196"/>
    </row>
    <row r="719" spans="1:15" ht="12.6" customHeight="1">
      <c r="O719" s="196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4"/>
  <sheetViews>
    <sheetView topLeftCell="G1" workbookViewId="0">
      <pane ySplit="3" topLeftCell="A128" activePane="bottomLeft" state="frozen"/>
      <selection pane="bottomLeft" activeCell="I145" sqref="I145"/>
    </sheetView>
  </sheetViews>
  <sheetFormatPr defaultRowHeight="15"/>
  <cols>
    <col min="1" max="1" width="9.9140625" customWidth="1"/>
    <col min="2" max="2" width="30.58203125" customWidth="1"/>
    <col min="3" max="3" width="40.75" bestFit="1" customWidth="1"/>
    <col min="4" max="4" width="32.58203125" bestFit="1" customWidth="1"/>
    <col min="5" max="5" width="33.6640625" bestFit="1" customWidth="1"/>
    <col min="6" max="6" width="31.58203125" bestFit="1" customWidth="1"/>
    <col min="7" max="7" width="38.75" bestFit="1" customWidth="1"/>
    <col min="8" max="8" width="26.4140625" bestFit="1" customWidth="1"/>
    <col min="9" max="9" width="25.4140625" bestFit="1" customWidth="1"/>
    <col min="10" max="10" width="33.6640625" bestFit="1" customWidth="1"/>
    <col min="11" max="11" width="30.58203125" bestFit="1" customWidth="1"/>
    <col min="12" max="12" width="24.33203125" bestFit="1" customWidth="1"/>
    <col min="13" max="13" width="25.4140625" bestFit="1" customWidth="1"/>
    <col min="14" max="14" width="26.4140625" bestFit="1" customWidth="1"/>
    <col min="15" max="15" width="37.75" bestFit="1" customWidth="1"/>
    <col min="16" max="17" width="37.75" customWidth="1"/>
    <col min="18" max="19" width="22.33203125" bestFit="1" customWidth="1"/>
    <col min="20" max="20" width="32.58203125" bestFit="1" customWidth="1"/>
    <col min="21" max="21" width="35.6640625" bestFit="1" customWidth="1"/>
    <col min="22" max="22" width="24.33203125" bestFit="1" customWidth="1"/>
  </cols>
  <sheetData>
    <row r="1" spans="1:22">
      <c r="C1" s="286">
        <v>3</v>
      </c>
      <c r="D1" s="286">
        <v>4</v>
      </c>
      <c r="E1" s="286">
        <v>5</v>
      </c>
      <c r="F1" s="287">
        <v>6</v>
      </c>
      <c r="G1" s="287">
        <v>7</v>
      </c>
      <c r="H1" s="286">
        <v>8</v>
      </c>
      <c r="I1" s="286">
        <v>9</v>
      </c>
      <c r="J1" s="286">
        <v>10</v>
      </c>
      <c r="K1" s="286">
        <v>11</v>
      </c>
      <c r="L1" s="286">
        <v>12</v>
      </c>
      <c r="M1" s="286">
        <v>13</v>
      </c>
      <c r="N1" s="286">
        <v>14</v>
      </c>
      <c r="O1" s="286">
        <v>15</v>
      </c>
      <c r="P1" s="287">
        <v>16</v>
      </c>
      <c r="Q1" s="287">
        <v>17</v>
      </c>
      <c r="R1" s="287">
        <v>18</v>
      </c>
      <c r="S1" s="286">
        <v>19</v>
      </c>
      <c r="T1" s="287">
        <v>20</v>
      </c>
      <c r="U1" s="287">
        <v>21</v>
      </c>
      <c r="V1" s="287">
        <v>22</v>
      </c>
    </row>
    <row r="2" spans="1:22">
      <c r="C2" s="285"/>
      <c r="D2" s="285"/>
      <c r="E2" s="285"/>
      <c r="F2" s="285"/>
      <c r="G2" s="285" t="s">
        <v>1377</v>
      </c>
      <c r="H2" s="285"/>
      <c r="I2" s="285"/>
      <c r="J2" s="285"/>
      <c r="K2" s="285"/>
      <c r="L2" s="285"/>
      <c r="M2" s="289"/>
      <c r="N2" s="289"/>
      <c r="O2" s="289"/>
      <c r="P2" s="289" t="s">
        <v>1380</v>
      </c>
      <c r="Q2" s="289" t="s">
        <v>1380</v>
      </c>
      <c r="R2" s="289"/>
      <c r="S2" s="289"/>
      <c r="T2" s="289"/>
      <c r="U2" s="289"/>
      <c r="V2" s="289"/>
    </row>
    <row r="3" spans="1:22">
      <c r="A3" s="281" t="s">
        <v>1375</v>
      </c>
      <c r="B3" s="282" t="s">
        <v>212</v>
      </c>
      <c r="C3" s="285" t="s">
        <v>1284</v>
      </c>
      <c r="D3" s="285" t="s">
        <v>1376</v>
      </c>
      <c r="E3" s="285" t="s">
        <v>1290</v>
      </c>
      <c r="F3" s="285" t="s">
        <v>1291</v>
      </c>
      <c r="G3" s="285" t="s">
        <v>1288</v>
      </c>
      <c r="H3" s="288" t="s">
        <v>1292</v>
      </c>
      <c r="I3" s="288" t="s">
        <v>1293</v>
      </c>
      <c r="J3" s="288" t="s">
        <v>1294</v>
      </c>
      <c r="K3" s="288" t="s">
        <v>1378</v>
      </c>
      <c r="L3" s="285" t="s">
        <v>1298</v>
      </c>
      <c r="M3" s="285" t="s">
        <v>1299</v>
      </c>
      <c r="N3" s="285" t="s">
        <v>1301</v>
      </c>
      <c r="O3" s="285" t="s">
        <v>1300</v>
      </c>
      <c r="P3" s="285" t="s">
        <v>1379</v>
      </c>
      <c r="Q3" s="285" t="s">
        <v>1381</v>
      </c>
      <c r="R3" s="285" t="s">
        <v>1302</v>
      </c>
      <c r="S3" s="285" t="s">
        <v>1382</v>
      </c>
      <c r="T3" s="285" t="s">
        <v>1303</v>
      </c>
      <c r="U3" s="285" t="s">
        <v>1304</v>
      </c>
      <c r="V3" s="285" t="s">
        <v>1305</v>
      </c>
    </row>
    <row r="4" spans="1:22">
      <c r="A4" s="284">
        <v>6010</v>
      </c>
      <c r="B4" s="283" t="s">
        <v>283</v>
      </c>
      <c r="C4" s="283">
        <v>36995871.610000014</v>
      </c>
      <c r="D4" s="283">
        <v>96090.799999999988</v>
      </c>
      <c r="E4" s="283">
        <v>0</v>
      </c>
      <c r="F4" s="283">
        <v>37091962.410000011</v>
      </c>
      <c r="G4" s="283">
        <v>37091962.410000011</v>
      </c>
      <c r="H4" s="283">
        <v>5808922.879999999</v>
      </c>
      <c r="I4" s="283">
        <v>1174128.2500000002</v>
      </c>
      <c r="J4" s="283">
        <v>894450.26</v>
      </c>
      <c r="K4" s="283">
        <v>69645.509999999995</v>
      </c>
      <c r="L4" s="283">
        <v>708566.23999999987</v>
      </c>
      <c r="M4" s="283">
        <v>1049</v>
      </c>
      <c r="N4" s="283">
        <v>15218.560000000001</v>
      </c>
      <c r="O4" s="283">
        <v>150414.71</v>
      </c>
      <c r="P4" s="283"/>
      <c r="Q4" s="283"/>
      <c r="R4" s="283">
        <v>3403.73</v>
      </c>
      <c r="S4" s="283">
        <v>3403.73</v>
      </c>
      <c r="T4" s="283">
        <v>8825799.1400000006</v>
      </c>
      <c r="U4" s="283">
        <v>0</v>
      </c>
      <c r="V4" s="283">
        <v>28266163.270000007</v>
      </c>
    </row>
    <row r="5" spans="1:22">
      <c r="A5" s="284">
        <v>6070</v>
      </c>
      <c r="B5" s="283" t="s">
        <v>665</v>
      </c>
      <c r="C5" s="283">
        <v>195219316.60999998</v>
      </c>
      <c r="D5" s="283">
        <v>17379467.469999999</v>
      </c>
      <c r="E5" s="283">
        <v>3316.66</v>
      </c>
      <c r="F5" s="283">
        <v>212602100.73999998</v>
      </c>
      <c r="G5" s="283">
        <v>212598784.08000001</v>
      </c>
      <c r="H5" s="283">
        <v>32941979.420000002</v>
      </c>
      <c r="I5" s="283">
        <v>7381305.6399999997</v>
      </c>
      <c r="J5" s="283">
        <v>5293358.7300000004</v>
      </c>
      <c r="K5" s="283">
        <v>1492456.0125000002</v>
      </c>
      <c r="L5" s="283">
        <v>2017672.2300000002</v>
      </c>
      <c r="M5" s="283">
        <v>7673.5700000000006</v>
      </c>
      <c r="N5" s="283">
        <v>16552.27</v>
      </c>
      <c r="O5" s="283">
        <v>231847.16</v>
      </c>
      <c r="P5" s="283"/>
      <c r="Q5" s="283"/>
      <c r="R5" s="283">
        <v>40480.58</v>
      </c>
      <c r="S5" s="283">
        <v>40480.58</v>
      </c>
      <c r="T5" s="283">
        <v>48465504.230000012</v>
      </c>
      <c r="U5" s="283">
        <v>0</v>
      </c>
      <c r="V5" s="283">
        <v>164136596.50999999</v>
      </c>
    </row>
    <row r="6" spans="1:22">
      <c r="A6" s="284">
        <v>6120</v>
      </c>
      <c r="B6" s="283" t="s">
        <v>1360</v>
      </c>
      <c r="C6" s="283"/>
      <c r="D6" s="283"/>
      <c r="E6" s="283"/>
      <c r="F6" s="283"/>
      <c r="G6" s="283"/>
      <c r="H6" s="283"/>
      <c r="I6" s="283"/>
      <c r="J6" s="283"/>
      <c r="K6" s="283">
        <v>119784.64750000001</v>
      </c>
      <c r="L6" s="283"/>
      <c r="M6" s="283"/>
      <c r="N6" s="283"/>
      <c r="O6" s="283"/>
      <c r="P6" s="283"/>
      <c r="Q6" s="283"/>
      <c r="R6" s="283"/>
      <c r="S6" s="283">
        <v>0</v>
      </c>
      <c r="T6" s="283">
        <v>119784.64750000001</v>
      </c>
      <c r="U6" s="283"/>
      <c r="V6" s="283">
        <v>-119784.64750000001</v>
      </c>
    </row>
    <row r="7" spans="1:22">
      <c r="A7" s="284">
        <v>6140</v>
      </c>
      <c r="B7" s="283" t="s">
        <v>671</v>
      </c>
      <c r="C7" s="283">
        <v>0</v>
      </c>
      <c r="D7" s="283">
        <v>0</v>
      </c>
      <c r="E7" s="283">
        <v>0</v>
      </c>
      <c r="F7" s="283">
        <v>0</v>
      </c>
      <c r="G7" s="283">
        <v>0</v>
      </c>
      <c r="H7" s="283">
        <v>0</v>
      </c>
      <c r="I7" s="283">
        <v>0</v>
      </c>
      <c r="J7" s="283">
        <v>0</v>
      </c>
      <c r="K7" s="283">
        <v>0</v>
      </c>
      <c r="L7" s="283">
        <v>0</v>
      </c>
      <c r="M7" s="283">
        <v>341.1</v>
      </c>
      <c r="N7" s="283">
        <v>422.53</v>
      </c>
      <c r="O7" s="283">
        <v>0</v>
      </c>
      <c r="P7" s="283"/>
      <c r="Q7" s="283"/>
      <c r="R7" s="283">
        <v>0</v>
      </c>
      <c r="S7" s="283">
        <v>0</v>
      </c>
      <c r="T7" s="283">
        <v>763.62999999999988</v>
      </c>
      <c r="U7" s="283">
        <v>0</v>
      </c>
      <c r="V7" s="283">
        <v>-763.62999999999988</v>
      </c>
    </row>
    <row r="8" spans="1:22">
      <c r="A8" s="284">
        <v>6170</v>
      </c>
      <c r="B8" s="283" t="s">
        <v>99</v>
      </c>
      <c r="C8" s="283">
        <v>60571494.869999997</v>
      </c>
      <c r="D8" s="283">
        <v>4298308.4400000004</v>
      </c>
      <c r="E8" s="283">
        <v>7583.57</v>
      </c>
      <c r="F8" s="283">
        <v>64877386.879999995</v>
      </c>
      <c r="G8" s="283">
        <v>64869803.310000002</v>
      </c>
      <c r="H8" s="283">
        <v>7498846.8699999992</v>
      </c>
      <c r="I8" s="283">
        <v>1563156.69</v>
      </c>
      <c r="J8" s="283">
        <v>1519079.29</v>
      </c>
      <c r="K8" s="283">
        <v>1105059.6099999999</v>
      </c>
      <c r="L8" s="283">
        <v>794572.83</v>
      </c>
      <c r="M8" s="283">
        <v>2094.2699999999995</v>
      </c>
      <c r="N8" s="283">
        <v>11075.9</v>
      </c>
      <c r="O8" s="283">
        <v>229836.4</v>
      </c>
      <c r="P8" s="283"/>
      <c r="Q8" s="283"/>
      <c r="R8" s="283">
        <v>30530.57</v>
      </c>
      <c r="S8" s="283">
        <v>30530.57</v>
      </c>
      <c r="T8" s="283">
        <v>12754252.430000002</v>
      </c>
      <c r="U8" s="283">
        <v>0</v>
      </c>
      <c r="V8" s="283">
        <v>52123134.450000003</v>
      </c>
    </row>
    <row r="9" spans="1:22">
      <c r="A9" s="284">
        <v>7020</v>
      </c>
      <c r="B9" s="283" t="s">
        <v>684</v>
      </c>
      <c r="C9" s="283">
        <v>222754045.53000003</v>
      </c>
      <c r="D9" s="283">
        <v>209123792.50000003</v>
      </c>
      <c r="E9" s="283">
        <v>364</v>
      </c>
      <c r="F9" s="283">
        <v>431878202.03000003</v>
      </c>
      <c r="G9" s="283">
        <v>431877838.03000003</v>
      </c>
      <c r="H9" s="283">
        <v>9848226.870000001</v>
      </c>
      <c r="I9" s="283">
        <v>2079245.48</v>
      </c>
      <c r="J9" s="283">
        <v>3632366.89</v>
      </c>
      <c r="K9" s="283">
        <v>1832524.5550000002</v>
      </c>
      <c r="L9" s="283">
        <v>21822590.370000001</v>
      </c>
      <c r="M9" s="283">
        <v>3857.46</v>
      </c>
      <c r="N9" s="283">
        <v>1373297.17</v>
      </c>
      <c r="O9" s="283">
        <v>4541946.32</v>
      </c>
      <c r="P9" s="283"/>
      <c r="Q9" s="283"/>
      <c r="R9" s="283">
        <v>92682.069999999978</v>
      </c>
      <c r="S9" s="283">
        <v>92682.069999999978</v>
      </c>
      <c r="T9" s="283">
        <f>44896724.77+330012.415</f>
        <v>45226737.185000002</v>
      </c>
      <c r="U9" s="283">
        <v>0</v>
      </c>
      <c r="V9" s="283">
        <f>386981477.26-330012.415</f>
        <v>386651464.84499997</v>
      </c>
    </row>
    <row r="10" spans="1:22">
      <c r="A10" s="284">
        <v>7030</v>
      </c>
      <c r="B10" s="283" t="s">
        <v>686</v>
      </c>
      <c r="C10" s="283">
        <v>15435530.939999998</v>
      </c>
      <c r="D10" s="283">
        <v>36398005.560000002</v>
      </c>
      <c r="E10" s="283">
        <v>0</v>
      </c>
      <c r="F10" s="283">
        <v>51833536.5</v>
      </c>
      <c r="G10" s="283">
        <v>51833536.5</v>
      </c>
      <c r="H10" s="283">
        <v>4619032.41</v>
      </c>
      <c r="I10" s="283">
        <v>1006385.99</v>
      </c>
      <c r="J10" s="283">
        <v>0</v>
      </c>
      <c r="K10" s="283">
        <v>28502.899999999994</v>
      </c>
      <c r="L10" s="283">
        <v>481724.90999999992</v>
      </c>
      <c r="M10" s="283">
        <v>1612.3300000000004</v>
      </c>
      <c r="N10" s="283">
        <v>3116.67</v>
      </c>
      <c r="O10" s="283">
        <v>9408.7800000000007</v>
      </c>
      <c r="P10" s="283"/>
      <c r="Q10" s="283"/>
      <c r="R10" s="283">
        <v>14970.739999999991</v>
      </c>
      <c r="S10" s="283">
        <v>14970.739999999991</v>
      </c>
      <c r="T10" s="283">
        <v>6164754.7300000014</v>
      </c>
      <c r="U10" s="283">
        <v>0</v>
      </c>
      <c r="V10" s="283">
        <v>45668781.769999996</v>
      </c>
    </row>
    <row r="11" spans="1:22">
      <c r="A11" s="284">
        <v>7040</v>
      </c>
      <c r="B11" s="283" t="s">
        <v>107</v>
      </c>
      <c r="C11" s="283">
        <v>8055699.71</v>
      </c>
      <c r="D11" s="283">
        <v>14339474.689999999</v>
      </c>
      <c r="E11" s="283">
        <v>0</v>
      </c>
      <c r="F11" s="283">
        <v>22395174.399999999</v>
      </c>
      <c r="G11" s="283">
        <v>22395174.399999999</v>
      </c>
      <c r="H11" s="283">
        <v>294443.81</v>
      </c>
      <c r="I11" s="283">
        <v>78282.000000000015</v>
      </c>
      <c r="J11" s="283">
        <v>409954.48</v>
      </c>
      <c r="K11" s="283">
        <v>382330.60000000003</v>
      </c>
      <c r="L11" s="283">
        <v>401212.72000000003</v>
      </c>
      <c r="M11" s="283">
        <v>0</v>
      </c>
      <c r="N11" s="283">
        <v>4940.9400000000005</v>
      </c>
      <c r="O11" s="283">
        <v>0</v>
      </c>
      <c r="P11" s="283"/>
      <c r="Q11" s="283"/>
      <c r="R11" s="283">
        <v>0</v>
      </c>
      <c r="S11" s="283">
        <v>0</v>
      </c>
      <c r="T11" s="283">
        <v>1571164.5500000003</v>
      </c>
      <c r="U11" s="283">
        <v>0</v>
      </c>
      <c r="V11" s="283">
        <v>20824009.849999998</v>
      </c>
    </row>
    <row r="12" spans="1:22">
      <c r="A12" s="284">
        <v>7050</v>
      </c>
      <c r="B12" s="283" t="s">
        <v>689</v>
      </c>
      <c r="C12" s="283">
        <v>0</v>
      </c>
      <c r="D12" s="283">
        <v>0</v>
      </c>
      <c r="E12" s="283">
        <v>0</v>
      </c>
      <c r="F12" s="283">
        <v>0</v>
      </c>
      <c r="G12" s="283">
        <v>0</v>
      </c>
      <c r="H12" s="283">
        <v>2073165.7200000002</v>
      </c>
      <c r="I12" s="283">
        <v>629059.80999999994</v>
      </c>
      <c r="J12" s="283">
        <v>0</v>
      </c>
      <c r="K12" s="283">
        <v>700136.41945249995</v>
      </c>
      <c r="L12" s="283">
        <v>-857551.18000000052</v>
      </c>
      <c r="M12" s="283">
        <v>0</v>
      </c>
      <c r="N12" s="283">
        <v>46598.500000000007</v>
      </c>
      <c r="O12" s="283">
        <v>206248.56</v>
      </c>
      <c r="P12" s="283"/>
      <c r="Q12" s="283"/>
      <c r="R12" s="283">
        <v>91367.53</v>
      </c>
      <c r="S12" s="283">
        <v>91367.53</v>
      </c>
      <c r="T12" s="283">
        <f>2398257.59+14991.054</f>
        <v>2413248.6439999999</v>
      </c>
      <c r="U12" s="283">
        <v>0</v>
      </c>
      <c r="V12" s="283">
        <f>+-2398257.59+-14991.054</f>
        <v>-2413248.6439999999</v>
      </c>
    </row>
    <row r="13" spans="1:22">
      <c r="A13" s="284">
        <v>7070</v>
      </c>
      <c r="B13" s="283" t="s">
        <v>109</v>
      </c>
      <c r="C13" s="283">
        <v>65085801.170000002</v>
      </c>
      <c r="D13" s="283">
        <v>36401080.159999996</v>
      </c>
      <c r="E13" s="283">
        <v>122915.09</v>
      </c>
      <c r="F13" s="283">
        <v>101609796.42000002</v>
      </c>
      <c r="G13" s="283">
        <v>101486881.32999998</v>
      </c>
      <c r="H13" s="283">
        <v>4537988.0299999993</v>
      </c>
      <c r="I13" s="283">
        <v>1071197.95</v>
      </c>
      <c r="J13" s="283">
        <v>60171.49</v>
      </c>
      <c r="K13" s="283">
        <v>3563572.7599999988</v>
      </c>
      <c r="L13" s="283">
        <v>4248022.34</v>
      </c>
      <c r="M13" s="283">
        <v>63.88</v>
      </c>
      <c r="N13" s="283">
        <v>76297.77</v>
      </c>
      <c r="O13" s="283">
        <v>81539.820000000007</v>
      </c>
      <c r="P13" s="283"/>
      <c r="Q13" s="283"/>
      <c r="R13" s="283">
        <v>565196.33000000007</v>
      </c>
      <c r="S13" s="283">
        <v>565196.33000000007</v>
      </c>
      <c r="T13" s="283">
        <v>14819453.7425</v>
      </c>
      <c r="U13" s="283">
        <v>0</v>
      </c>
      <c r="V13" s="283">
        <v>86790342.67750001</v>
      </c>
    </row>
    <row r="14" spans="1:22">
      <c r="A14" s="284">
        <v>7110</v>
      </c>
      <c r="B14" s="283" t="s">
        <v>1361</v>
      </c>
      <c r="C14" s="283">
        <v>20929325.84</v>
      </c>
      <c r="D14" s="283">
        <v>12597609.68</v>
      </c>
      <c r="E14" s="283">
        <v>0</v>
      </c>
      <c r="F14" s="283">
        <v>33526935.52</v>
      </c>
      <c r="G14" s="283">
        <v>33526935.52</v>
      </c>
      <c r="H14" s="283">
        <v>490154.9200000001</v>
      </c>
      <c r="I14" s="283">
        <v>109677.36999999998</v>
      </c>
      <c r="J14" s="283">
        <v>135997.07</v>
      </c>
      <c r="K14" s="283">
        <v>179841.49</v>
      </c>
      <c r="L14" s="283">
        <v>11234.910000000002</v>
      </c>
      <c r="M14" s="283">
        <v>14.52</v>
      </c>
      <c r="N14" s="283">
        <v>0</v>
      </c>
      <c r="O14" s="283">
        <v>164028.62</v>
      </c>
      <c r="P14" s="283"/>
      <c r="Q14" s="283"/>
      <c r="R14" s="283">
        <v>826.04</v>
      </c>
      <c r="S14" s="283">
        <v>826.04</v>
      </c>
      <c r="T14" s="283">
        <v>1091774.94</v>
      </c>
      <c r="U14" s="283">
        <v>0</v>
      </c>
      <c r="V14" s="283">
        <v>32435160.580000002</v>
      </c>
    </row>
    <row r="15" spans="1:22">
      <c r="A15" s="284">
        <v>7120</v>
      </c>
      <c r="B15" s="283" t="s">
        <v>1362</v>
      </c>
      <c r="C15" s="283">
        <v>6356582.4800000004</v>
      </c>
      <c r="D15" s="283">
        <v>15730749.129999999</v>
      </c>
      <c r="E15" s="283">
        <v>0</v>
      </c>
      <c r="F15" s="283">
        <v>22087331.609999999</v>
      </c>
      <c r="G15" s="283">
        <v>22087331.609999999</v>
      </c>
      <c r="H15" s="283">
        <v>487374.59000000008</v>
      </c>
      <c r="I15" s="283">
        <v>108676.5</v>
      </c>
      <c r="J15" s="283">
        <v>0</v>
      </c>
      <c r="K15" s="283">
        <v>52532.729999999996</v>
      </c>
      <c r="L15" s="283">
        <v>88013.170000000013</v>
      </c>
      <c r="M15" s="283">
        <v>432.15</v>
      </c>
      <c r="N15" s="283">
        <v>1521.05</v>
      </c>
      <c r="O15" s="283">
        <v>7428.58</v>
      </c>
      <c r="P15" s="283"/>
      <c r="Q15" s="283"/>
      <c r="R15" s="283">
        <v>553.04000000000019</v>
      </c>
      <c r="S15" s="283">
        <v>553.04000000000019</v>
      </c>
      <c r="T15" s="283">
        <v>746531.81</v>
      </c>
      <c r="U15" s="283">
        <v>0</v>
      </c>
      <c r="V15" s="283">
        <v>21340799.800000001</v>
      </c>
    </row>
    <row r="16" spans="1:22">
      <c r="A16" s="284">
        <v>7140</v>
      </c>
      <c r="B16" s="283" t="s">
        <v>1363</v>
      </c>
      <c r="C16" s="283">
        <v>150561929.22</v>
      </c>
      <c r="D16" s="283">
        <v>273041739.06000006</v>
      </c>
      <c r="E16" s="283">
        <v>11687.69</v>
      </c>
      <c r="F16" s="283">
        <v>423615355.97000003</v>
      </c>
      <c r="G16" s="283">
        <v>423603668.27999997</v>
      </c>
      <c r="H16" s="283">
        <v>12522593.6</v>
      </c>
      <c r="I16" s="283">
        <v>2995965.01</v>
      </c>
      <c r="J16" s="283">
        <v>557589.54</v>
      </c>
      <c r="K16" s="283">
        <v>3723575.47</v>
      </c>
      <c r="L16" s="283">
        <v>17447975.600000001</v>
      </c>
      <c r="M16" s="283">
        <v>232290.75999999998</v>
      </c>
      <c r="N16" s="283">
        <v>1070088.83</v>
      </c>
      <c r="O16" s="283">
        <v>1705522.2500000005</v>
      </c>
      <c r="P16" s="283"/>
      <c r="Q16" s="283"/>
      <c r="R16" s="283">
        <v>32725.489999999998</v>
      </c>
      <c r="S16" s="283">
        <v>32725.489999999998</v>
      </c>
      <c r="T16" s="283">
        <v>40288326.549999997</v>
      </c>
      <c r="U16" s="283">
        <v>0</v>
      </c>
      <c r="V16" s="283">
        <v>383327029.42000002</v>
      </c>
    </row>
    <row r="17" spans="1:22">
      <c r="A17" s="284">
        <v>7150</v>
      </c>
      <c r="B17" s="283" t="s">
        <v>1364</v>
      </c>
      <c r="C17" s="283">
        <v>2707402.5900000003</v>
      </c>
      <c r="D17" s="283">
        <v>39218980.479999989</v>
      </c>
      <c r="E17" s="283">
        <v>4210.1499999999996</v>
      </c>
      <c r="F17" s="283">
        <v>41930593.219999999</v>
      </c>
      <c r="G17" s="283">
        <v>41926383.07</v>
      </c>
      <c r="H17" s="283">
        <v>1855120.06</v>
      </c>
      <c r="I17" s="283">
        <v>419423.05999999994</v>
      </c>
      <c r="J17" s="283">
        <v>36637.5</v>
      </c>
      <c r="K17" s="283">
        <v>1402077.56</v>
      </c>
      <c r="L17" s="283">
        <v>47163.69</v>
      </c>
      <c r="M17" s="283">
        <v>0</v>
      </c>
      <c r="N17" s="283">
        <v>8646.33</v>
      </c>
      <c r="O17" s="283">
        <v>115591.27</v>
      </c>
      <c r="P17" s="283"/>
      <c r="Q17" s="283"/>
      <c r="R17" s="283">
        <v>10585.670000000002</v>
      </c>
      <c r="S17" s="283">
        <v>10585.670000000002</v>
      </c>
      <c r="T17" s="283">
        <v>3895245.1399999997</v>
      </c>
      <c r="U17" s="283">
        <v>0</v>
      </c>
      <c r="V17" s="283">
        <v>38035348.079999991</v>
      </c>
    </row>
    <row r="18" spans="1:22">
      <c r="A18" s="284">
        <v>7160</v>
      </c>
      <c r="B18" s="283" t="s">
        <v>703</v>
      </c>
      <c r="C18" s="283">
        <v>5493616.379999999</v>
      </c>
      <c r="D18" s="283">
        <v>9350911.7599999979</v>
      </c>
      <c r="E18" s="283">
        <v>0</v>
      </c>
      <c r="F18" s="283">
        <v>14844528.140000001</v>
      </c>
      <c r="G18" s="283">
        <v>14844528.140000001</v>
      </c>
      <c r="H18" s="283">
        <v>307099.7</v>
      </c>
      <c r="I18" s="283">
        <v>65481.46</v>
      </c>
      <c r="J18" s="283">
        <v>0</v>
      </c>
      <c r="K18" s="283">
        <v>65337.13</v>
      </c>
      <c r="L18" s="283">
        <v>753369.01</v>
      </c>
      <c r="M18" s="283">
        <v>0</v>
      </c>
      <c r="N18" s="283">
        <v>467.27</v>
      </c>
      <c r="O18" s="283">
        <v>135303.47</v>
      </c>
      <c r="P18" s="283"/>
      <c r="Q18" s="283"/>
      <c r="R18" s="283">
        <v>61</v>
      </c>
      <c r="S18" s="283">
        <v>61</v>
      </c>
      <c r="T18" s="283">
        <v>1327119.04</v>
      </c>
      <c r="U18" s="283">
        <v>0</v>
      </c>
      <c r="V18" s="283">
        <v>13517409.1</v>
      </c>
    </row>
    <row r="19" spans="1:22">
      <c r="A19" s="284">
        <v>7170</v>
      </c>
      <c r="B19" s="283" t="s">
        <v>115</v>
      </c>
      <c r="C19" s="283">
        <v>149779547.75999999</v>
      </c>
      <c r="D19" s="283">
        <v>91983435.110000014</v>
      </c>
      <c r="E19" s="283">
        <v>0</v>
      </c>
      <c r="F19" s="283">
        <v>241762982.87</v>
      </c>
      <c r="G19" s="283">
        <v>241762982.87</v>
      </c>
      <c r="H19" s="283">
        <v>4955303.91</v>
      </c>
      <c r="I19" s="283">
        <v>1036305.4700000001</v>
      </c>
      <c r="J19" s="283">
        <v>0</v>
      </c>
      <c r="K19" s="283">
        <v>620257.69999999995</v>
      </c>
      <c r="L19" s="283">
        <v>11976472.909999998</v>
      </c>
      <c r="M19" s="283">
        <v>1196.4499999999998</v>
      </c>
      <c r="N19" s="283">
        <v>39988.420000000006</v>
      </c>
      <c r="O19" s="283">
        <v>297687.03000000003</v>
      </c>
      <c r="P19" s="283"/>
      <c r="Q19" s="283"/>
      <c r="R19" s="283">
        <v>51503.89</v>
      </c>
      <c r="S19" s="283">
        <v>51503.89</v>
      </c>
      <c r="T19" s="283">
        <v>18978715.780000001</v>
      </c>
      <c r="U19" s="283">
        <v>0</v>
      </c>
      <c r="V19" s="283">
        <v>222784267.09000003</v>
      </c>
    </row>
    <row r="20" spans="1:22">
      <c r="A20" s="284">
        <v>7180</v>
      </c>
      <c r="B20" s="283" t="s">
        <v>706</v>
      </c>
      <c r="C20" s="283">
        <v>43268174.799999997</v>
      </c>
      <c r="D20" s="283">
        <v>19514490.920000002</v>
      </c>
      <c r="E20" s="283">
        <v>0</v>
      </c>
      <c r="F20" s="283">
        <v>62782665.719999991</v>
      </c>
      <c r="G20" s="283">
        <v>62782665.719999991</v>
      </c>
      <c r="H20" s="283">
        <v>4751900.5000000009</v>
      </c>
      <c r="I20" s="283">
        <v>1182423.32</v>
      </c>
      <c r="J20" s="283">
        <v>66675</v>
      </c>
      <c r="K20" s="283">
        <v>121786.57000000002</v>
      </c>
      <c r="L20" s="283">
        <v>522658.87999999995</v>
      </c>
      <c r="M20" s="283">
        <v>4573.6299999999992</v>
      </c>
      <c r="N20" s="283">
        <v>286637.23000000004</v>
      </c>
      <c r="O20" s="283">
        <v>199965.62999999995</v>
      </c>
      <c r="P20" s="283"/>
      <c r="Q20" s="283"/>
      <c r="R20" s="283">
        <v>22694.440000000002</v>
      </c>
      <c r="S20" s="283">
        <v>22694.440000000002</v>
      </c>
      <c r="T20" s="283">
        <v>7159315.1999999983</v>
      </c>
      <c r="U20" s="283">
        <v>0</v>
      </c>
      <c r="V20" s="283">
        <v>55623350.519999996</v>
      </c>
    </row>
    <row r="21" spans="1:22">
      <c r="A21" s="284">
        <v>7200</v>
      </c>
      <c r="B21" s="283" t="s">
        <v>709</v>
      </c>
      <c r="C21" s="283">
        <v>5715212.0199999986</v>
      </c>
      <c r="D21" s="283">
        <v>21123398.710000001</v>
      </c>
      <c r="E21" s="283">
        <v>6605.24</v>
      </c>
      <c r="F21" s="283">
        <v>26845215.969999999</v>
      </c>
      <c r="G21" s="283">
        <v>26838610.73</v>
      </c>
      <c r="H21" s="283">
        <v>2988700.49</v>
      </c>
      <c r="I21" s="283">
        <v>740504.33</v>
      </c>
      <c r="J21" s="283">
        <v>215086.96</v>
      </c>
      <c r="K21" s="283">
        <v>1641062.38</v>
      </c>
      <c r="L21" s="283">
        <v>586754.39</v>
      </c>
      <c r="M21" s="283">
        <v>14602.95</v>
      </c>
      <c r="N21" s="283">
        <v>349676.32999999996</v>
      </c>
      <c r="O21" s="283">
        <v>158427.04</v>
      </c>
      <c r="P21" s="283"/>
      <c r="Q21" s="283"/>
      <c r="R21" s="283">
        <v>18818.2</v>
      </c>
      <c r="S21" s="283">
        <v>18818.2</v>
      </c>
      <c r="T21" s="283">
        <v>6713633.0700000003</v>
      </c>
      <c r="U21" s="283">
        <v>0</v>
      </c>
      <c r="V21" s="283">
        <v>20131582.899999999</v>
      </c>
    </row>
    <row r="22" spans="1:22">
      <c r="A22" s="284">
        <v>7230</v>
      </c>
      <c r="B22" s="283" t="s">
        <v>713</v>
      </c>
      <c r="C22" s="283">
        <v>55235562.890000001</v>
      </c>
      <c r="D22" s="283">
        <v>206165921.69</v>
      </c>
      <c r="E22" s="283">
        <v>5839.52</v>
      </c>
      <c r="F22" s="283">
        <v>261407324.09999996</v>
      </c>
      <c r="G22" s="283">
        <v>261401484.57999998</v>
      </c>
      <c r="H22" s="283">
        <v>11775753.16</v>
      </c>
      <c r="I22" s="283">
        <v>2360956.3199999998</v>
      </c>
      <c r="J22" s="283">
        <v>4005048.29</v>
      </c>
      <c r="K22" s="283">
        <v>1764289.67</v>
      </c>
      <c r="L22" s="283">
        <v>1677276.4999999995</v>
      </c>
      <c r="M22" s="283">
        <v>1561.73</v>
      </c>
      <c r="N22" s="283">
        <v>31347.540000000005</v>
      </c>
      <c r="O22" s="283">
        <v>216836.53999999998</v>
      </c>
      <c r="P22" s="283"/>
      <c r="Q22" s="283"/>
      <c r="R22" s="283">
        <v>35512.329999999994</v>
      </c>
      <c r="S22" s="283">
        <v>35512.329999999994</v>
      </c>
      <c r="T22" s="283">
        <v>21868582.079999998</v>
      </c>
      <c r="U22" s="283">
        <v>0</v>
      </c>
      <c r="V22" s="283">
        <v>239538742.01999992</v>
      </c>
    </row>
    <row r="23" spans="1:22">
      <c r="A23" s="284">
        <v>7260</v>
      </c>
      <c r="B23" s="283" t="s">
        <v>121</v>
      </c>
      <c r="C23" s="283"/>
      <c r="D23" s="283">
        <v>248490704.91000003</v>
      </c>
      <c r="E23" s="283">
        <v>2357967.15</v>
      </c>
      <c r="F23" s="283">
        <v>103466770.60000004</v>
      </c>
      <c r="G23" s="283">
        <v>248490704.91000003</v>
      </c>
      <c r="H23" s="283">
        <v>57920827.82</v>
      </c>
      <c r="I23" s="283">
        <v>10055081.51</v>
      </c>
      <c r="J23" s="283">
        <v>23717360.199999999</v>
      </c>
      <c r="K23" s="283">
        <v>41473953.999999993</v>
      </c>
      <c r="L23" s="283">
        <v>2833738.4700000011</v>
      </c>
      <c r="M23" s="283">
        <v>897858.03</v>
      </c>
      <c r="N23" s="283">
        <v>7477809.3500000006</v>
      </c>
      <c r="O23" s="283">
        <v>6289601.5700000003</v>
      </c>
      <c r="P23" s="283"/>
      <c r="Q23" s="283"/>
      <c r="R23" s="283">
        <v>3162764.399999998</v>
      </c>
      <c r="S23" s="283">
        <v>4635807.4399999976</v>
      </c>
      <c r="T23" s="283">
        <v>155302038.38999999</v>
      </c>
      <c r="U23" s="283">
        <v>-666850.82000000007</v>
      </c>
      <c r="V23" s="283">
        <v>-52502118.609999947</v>
      </c>
    </row>
    <row r="24" spans="1:22">
      <c r="A24" s="284">
        <v>7310</v>
      </c>
      <c r="B24" s="283" t="s">
        <v>719</v>
      </c>
      <c r="C24" s="283">
        <v>3380933.26</v>
      </c>
      <c r="D24" s="283">
        <v>3500355.56</v>
      </c>
      <c r="E24" s="283">
        <v>1858.82</v>
      </c>
      <c r="F24" s="283">
        <v>6883147.6400000006</v>
      </c>
      <c r="G24" s="283">
        <v>6881288.8200000003</v>
      </c>
      <c r="H24" s="283">
        <v>926052.93000000017</v>
      </c>
      <c r="I24" s="283">
        <v>202552.59</v>
      </c>
      <c r="J24" s="283">
        <v>0</v>
      </c>
      <c r="K24" s="283">
        <v>133926.07999999999</v>
      </c>
      <c r="L24" s="283">
        <v>10168.02</v>
      </c>
      <c r="M24" s="283">
        <v>1358.3600000000001</v>
      </c>
      <c r="N24" s="283">
        <v>170110.53999999998</v>
      </c>
      <c r="O24" s="283">
        <v>0</v>
      </c>
      <c r="P24" s="283"/>
      <c r="Q24" s="283"/>
      <c r="R24" s="283">
        <v>5890.62</v>
      </c>
      <c r="S24" s="283">
        <v>5890.62</v>
      </c>
      <c r="T24" s="283">
        <v>1450059.1400000001</v>
      </c>
      <c r="U24" s="283">
        <v>0</v>
      </c>
      <c r="V24" s="283">
        <v>5433088.5</v>
      </c>
    </row>
    <row r="25" spans="1:22">
      <c r="A25" s="284">
        <v>7320</v>
      </c>
      <c r="B25" s="283" t="s">
        <v>721</v>
      </c>
      <c r="C25" s="283">
        <v>1333139.9100000001</v>
      </c>
      <c r="D25" s="283">
        <v>2054124.5699999998</v>
      </c>
      <c r="E25" s="283">
        <v>3695.38</v>
      </c>
      <c r="F25" s="283">
        <v>3390959.86</v>
      </c>
      <c r="G25" s="283">
        <v>3387264.48</v>
      </c>
      <c r="H25" s="283">
        <v>455777.82</v>
      </c>
      <c r="I25" s="283">
        <v>103033.66</v>
      </c>
      <c r="J25" s="283">
        <v>0</v>
      </c>
      <c r="K25" s="283">
        <v>23761.43</v>
      </c>
      <c r="L25" s="283">
        <v>5028.4099999999989</v>
      </c>
      <c r="M25" s="283">
        <v>188.04</v>
      </c>
      <c r="N25" s="283">
        <v>58368.81</v>
      </c>
      <c r="O25" s="283">
        <v>0</v>
      </c>
      <c r="P25" s="283"/>
      <c r="Q25" s="283"/>
      <c r="R25" s="283">
        <v>2246.86</v>
      </c>
      <c r="S25" s="283">
        <v>2246.86</v>
      </c>
      <c r="T25" s="283">
        <v>648405.03</v>
      </c>
      <c r="U25" s="283">
        <v>0</v>
      </c>
      <c r="V25" s="283">
        <v>2742554.8299999996</v>
      </c>
    </row>
    <row r="26" spans="1:22">
      <c r="A26" s="284">
        <v>7330</v>
      </c>
      <c r="B26" s="283" t="s">
        <v>723</v>
      </c>
      <c r="C26" s="283">
        <v>0</v>
      </c>
      <c r="D26" s="283">
        <v>0</v>
      </c>
      <c r="E26" s="283">
        <v>0</v>
      </c>
      <c r="F26" s="283"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-44.78</v>
      </c>
      <c r="M26" s="283">
        <v>0</v>
      </c>
      <c r="N26" s="283">
        <v>0</v>
      </c>
      <c r="O26" s="283">
        <v>0</v>
      </c>
      <c r="P26" s="283"/>
      <c r="Q26" s="283"/>
      <c r="R26" s="283">
        <v>0</v>
      </c>
      <c r="S26" s="283">
        <v>0</v>
      </c>
      <c r="T26" s="283">
        <v>-44.779999999999973</v>
      </c>
      <c r="U26" s="283">
        <v>0</v>
      </c>
      <c r="V26" s="283">
        <v>44.779999999999973</v>
      </c>
    </row>
    <row r="27" spans="1:22">
      <c r="A27" s="284">
        <v>7380</v>
      </c>
      <c r="B27" s="283" t="s">
        <v>1365</v>
      </c>
      <c r="C27" s="283">
        <v>3982387.54</v>
      </c>
      <c r="D27" s="283">
        <v>361904506.97000015</v>
      </c>
      <c r="E27" s="283">
        <v>482046.26</v>
      </c>
      <c r="F27" s="283">
        <v>366368940.7700001</v>
      </c>
      <c r="G27" s="283">
        <v>365886894.51000005</v>
      </c>
      <c r="H27" s="283">
        <v>6834455.4799999995</v>
      </c>
      <c r="I27" s="283">
        <v>1836035.73</v>
      </c>
      <c r="J27" s="283">
        <v>34260</v>
      </c>
      <c r="K27" s="283">
        <v>2470328.44</v>
      </c>
      <c r="L27" s="283">
        <v>39078298.650000006</v>
      </c>
      <c r="M27" s="283">
        <v>124264.42</v>
      </c>
      <c r="N27" s="283">
        <v>697830.32</v>
      </c>
      <c r="O27" s="283">
        <v>828749.06999999983</v>
      </c>
      <c r="P27" s="283"/>
      <c r="Q27" s="283"/>
      <c r="R27" s="283">
        <v>40618.49</v>
      </c>
      <c r="S27" s="283">
        <v>49825.849999999991</v>
      </c>
      <c r="T27" s="283">
        <v>51954047.960000016</v>
      </c>
      <c r="U27" s="283">
        <v>0</v>
      </c>
      <c r="V27" s="283">
        <v>314414892.80999994</v>
      </c>
    </row>
    <row r="28" spans="1:22">
      <c r="A28" s="284">
        <v>7400</v>
      </c>
      <c r="B28" s="283" t="s">
        <v>733</v>
      </c>
      <c r="C28" s="283">
        <v>0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/>
      <c r="Q28" s="283"/>
      <c r="R28" s="283">
        <v>0</v>
      </c>
      <c r="S28" s="283">
        <v>0</v>
      </c>
      <c r="T28" s="283">
        <v>0</v>
      </c>
      <c r="U28" s="283">
        <v>0</v>
      </c>
      <c r="V28" s="283">
        <v>0</v>
      </c>
    </row>
    <row r="29" spans="1:22">
      <c r="A29" s="284">
        <v>7490</v>
      </c>
      <c r="B29" s="283" t="s">
        <v>740</v>
      </c>
      <c r="C29" s="283">
        <v>0</v>
      </c>
      <c r="D29" s="283">
        <v>104179.43</v>
      </c>
      <c r="E29" s="283">
        <v>24174.77</v>
      </c>
      <c r="F29" s="283">
        <v>128354.2</v>
      </c>
      <c r="G29" s="283">
        <v>104179.43</v>
      </c>
      <c r="H29" s="283">
        <v>188233.72</v>
      </c>
      <c r="I29" s="283">
        <v>32107.87999999999</v>
      </c>
      <c r="J29" s="283">
        <v>-44784.01</v>
      </c>
      <c r="K29" s="283">
        <v>1554850.0349999997</v>
      </c>
      <c r="L29" s="283">
        <v>1951.96</v>
      </c>
      <c r="M29" s="283">
        <v>165.48</v>
      </c>
      <c r="N29" s="283">
        <v>0</v>
      </c>
      <c r="O29" s="283">
        <v>0</v>
      </c>
      <c r="P29" s="283"/>
      <c r="Q29" s="283"/>
      <c r="R29" s="283">
        <v>300</v>
      </c>
      <c r="S29" s="283">
        <v>300</v>
      </c>
      <c r="T29" s="283">
        <v>2559950.7400000002</v>
      </c>
      <c r="U29" s="283">
        <v>0</v>
      </c>
      <c r="V29" s="283">
        <v>-2431596.54</v>
      </c>
    </row>
    <row r="30" spans="1:22">
      <c r="A30" s="284">
        <v>8200</v>
      </c>
      <c r="B30" s="283" t="s">
        <v>1366</v>
      </c>
      <c r="C30" s="283">
        <v>0</v>
      </c>
      <c r="D30" s="283">
        <v>0</v>
      </c>
      <c r="E30" s="283">
        <v>305840.75</v>
      </c>
      <c r="F30" s="283">
        <v>305840.75</v>
      </c>
      <c r="G30" s="283">
        <v>0</v>
      </c>
      <c r="H30" s="283">
        <v>906002.85</v>
      </c>
      <c r="I30" s="283">
        <v>247744.16999999998</v>
      </c>
      <c r="J30" s="283">
        <v>0</v>
      </c>
      <c r="K30" s="283">
        <v>172575</v>
      </c>
      <c r="L30" s="283">
        <v>9923.239999999998</v>
      </c>
      <c r="M30" s="283">
        <v>0</v>
      </c>
      <c r="N30" s="283">
        <v>0</v>
      </c>
      <c r="O30" s="283">
        <v>0</v>
      </c>
      <c r="P30" s="283"/>
      <c r="Q30" s="283"/>
      <c r="R30" s="283">
        <v>1421.41</v>
      </c>
      <c r="S30" s="283">
        <v>1421.41</v>
      </c>
      <c r="T30" s="283">
        <v>1337666.67</v>
      </c>
      <c r="U30" s="283">
        <v>0</v>
      </c>
      <c r="V30" s="283">
        <v>-1031825.92</v>
      </c>
    </row>
    <row r="31" spans="1:22">
      <c r="A31" s="284">
        <v>8310</v>
      </c>
      <c r="B31" s="283" t="s">
        <v>1367</v>
      </c>
      <c r="C31" s="283"/>
      <c r="D31" s="283"/>
      <c r="E31" s="283"/>
      <c r="F31" s="283"/>
      <c r="G31" s="283"/>
      <c r="H31" s="283"/>
      <c r="I31" s="283"/>
      <c r="J31" s="283"/>
      <c r="K31" s="283">
        <v>194884.55999999997</v>
      </c>
      <c r="L31" s="283"/>
      <c r="M31" s="283"/>
      <c r="N31" s="283"/>
      <c r="O31" s="283"/>
      <c r="P31" s="283"/>
      <c r="Q31" s="283"/>
      <c r="R31" s="283"/>
      <c r="S31" s="283">
        <v>0</v>
      </c>
      <c r="T31" s="283">
        <v>194884.55999999997</v>
      </c>
      <c r="U31" s="283"/>
      <c r="V31" s="283">
        <v>-194884.55999999997</v>
      </c>
    </row>
    <row r="32" spans="1:22">
      <c r="A32" s="284">
        <v>8320</v>
      </c>
      <c r="B32" s="283" t="s">
        <v>135</v>
      </c>
      <c r="C32" s="283">
        <v>0</v>
      </c>
      <c r="D32" s="283">
        <v>0</v>
      </c>
      <c r="E32" s="283">
        <v>1854075.33</v>
      </c>
      <c r="F32" s="283">
        <v>1854075.33</v>
      </c>
      <c r="G32" s="283">
        <v>0</v>
      </c>
      <c r="H32" s="283">
        <v>3301658.25</v>
      </c>
      <c r="I32" s="283">
        <v>1228138.27</v>
      </c>
      <c r="J32" s="283">
        <v>0</v>
      </c>
      <c r="K32" s="283">
        <v>1158320.69</v>
      </c>
      <c r="L32" s="283">
        <v>1742441.79</v>
      </c>
      <c r="M32" s="283">
        <v>3379.77</v>
      </c>
      <c r="N32" s="283">
        <v>21773.610000000004</v>
      </c>
      <c r="O32" s="283">
        <v>187724.98</v>
      </c>
      <c r="P32" s="283"/>
      <c r="Q32" s="283"/>
      <c r="R32" s="283">
        <v>102924.7</v>
      </c>
      <c r="S32" s="283">
        <v>102924.7</v>
      </c>
      <c r="T32" s="283">
        <v>7746362.0600000005</v>
      </c>
      <c r="U32" s="283">
        <v>0</v>
      </c>
      <c r="V32" s="283">
        <v>-5892286.7300000004</v>
      </c>
    </row>
    <row r="33" spans="1:22">
      <c r="A33" s="284">
        <v>8350</v>
      </c>
      <c r="B33" s="283" t="s">
        <v>625</v>
      </c>
      <c r="C33" s="283">
        <v>0</v>
      </c>
      <c r="D33" s="283">
        <v>0</v>
      </c>
      <c r="E33" s="283">
        <v>0</v>
      </c>
      <c r="F33" s="283">
        <v>0</v>
      </c>
      <c r="G33" s="283">
        <v>0</v>
      </c>
      <c r="H33" s="283">
        <v>110174.56999999999</v>
      </c>
      <c r="I33" s="283">
        <v>45160.17</v>
      </c>
      <c r="J33" s="283">
        <v>0</v>
      </c>
      <c r="K33" s="283">
        <v>0.04</v>
      </c>
      <c r="L33" s="283">
        <v>0</v>
      </c>
      <c r="M33" s="283">
        <v>0</v>
      </c>
      <c r="N33" s="283">
        <v>0</v>
      </c>
      <c r="O33" s="283">
        <v>0</v>
      </c>
      <c r="P33" s="283"/>
      <c r="Q33" s="283"/>
      <c r="R33" s="283">
        <v>157.32</v>
      </c>
      <c r="S33" s="283">
        <v>157.32</v>
      </c>
      <c r="T33" s="283">
        <v>155492.09999999998</v>
      </c>
      <c r="U33" s="283">
        <v>0</v>
      </c>
      <c r="V33" s="283">
        <v>-155492.09999999998</v>
      </c>
    </row>
    <row r="34" spans="1:22">
      <c r="A34" s="284">
        <v>8360</v>
      </c>
      <c r="B34" s="283" t="s">
        <v>629</v>
      </c>
      <c r="C34" s="283">
        <v>0</v>
      </c>
      <c r="D34" s="283">
        <v>0</v>
      </c>
      <c r="E34" s="283">
        <v>0</v>
      </c>
      <c r="F34" s="283">
        <v>0</v>
      </c>
      <c r="G34" s="283">
        <v>0</v>
      </c>
      <c r="H34" s="283">
        <v>0</v>
      </c>
      <c r="I34" s="283">
        <v>0</v>
      </c>
      <c r="J34" s="283">
        <v>0</v>
      </c>
      <c r="K34" s="283">
        <v>1123.08</v>
      </c>
      <c r="L34" s="283">
        <v>3108.41</v>
      </c>
      <c r="M34" s="283">
        <v>42.51</v>
      </c>
      <c r="N34" s="283">
        <v>10011.42</v>
      </c>
      <c r="O34" s="283">
        <v>0</v>
      </c>
      <c r="P34" s="283"/>
      <c r="Q34" s="283"/>
      <c r="R34" s="283">
        <v>0</v>
      </c>
      <c r="S34" s="283">
        <v>0</v>
      </c>
      <c r="T34" s="283">
        <v>14285.419999999998</v>
      </c>
      <c r="U34" s="283">
        <v>0</v>
      </c>
      <c r="V34" s="283">
        <v>-14285.419999999998</v>
      </c>
    </row>
    <row r="35" spans="1:22">
      <c r="A35" s="284">
        <v>8370</v>
      </c>
      <c r="B35" s="283" t="s">
        <v>631</v>
      </c>
      <c r="C35" s="283">
        <v>0</v>
      </c>
      <c r="D35" s="283">
        <v>0</v>
      </c>
      <c r="E35" s="283">
        <v>0</v>
      </c>
      <c r="F35" s="283">
        <v>0</v>
      </c>
      <c r="G35" s="283">
        <v>0</v>
      </c>
      <c r="H35" s="283">
        <v>616027.76</v>
      </c>
      <c r="I35" s="283">
        <v>247912.95999999999</v>
      </c>
      <c r="J35" s="283">
        <v>0</v>
      </c>
      <c r="K35" s="283">
        <v>321239.09999999998</v>
      </c>
      <c r="L35" s="283">
        <v>15413.140000000003</v>
      </c>
      <c r="M35" s="283">
        <v>3092.12</v>
      </c>
      <c r="N35" s="283">
        <v>1156.2799999999997</v>
      </c>
      <c r="O35" s="283">
        <v>6602.56</v>
      </c>
      <c r="P35" s="283"/>
      <c r="Q35" s="283"/>
      <c r="R35" s="283">
        <v>0</v>
      </c>
      <c r="S35" s="283">
        <v>0</v>
      </c>
      <c r="T35" s="283">
        <v>1211443.92</v>
      </c>
      <c r="U35" s="283">
        <v>0</v>
      </c>
      <c r="V35" s="283">
        <v>-1211443.92</v>
      </c>
    </row>
    <row r="36" spans="1:22">
      <c r="A36" s="284">
        <v>8430</v>
      </c>
      <c r="B36" s="283" t="s">
        <v>140</v>
      </c>
      <c r="C36" s="283">
        <v>0</v>
      </c>
      <c r="D36" s="283">
        <v>0</v>
      </c>
      <c r="E36" s="283">
        <v>900.85</v>
      </c>
      <c r="F36" s="283">
        <v>900.85</v>
      </c>
      <c r="G36" s="283">
        <v>0</v>
      </c>
      <c r="H36" s="283">
        <v>1202463.32</v>
      </c>
      <c r="I36" s="283">
        <v>335644.81</v>
      </c>
      <c r="J36" s="283">
        <v>0</v>
      </c>
      <c r="K36" s="283">
        <v>11951045.77</v>
      </c>
      <c r="L36" s="283">
        <v>28715.850000000002</v>
      </c>
      <c r="M36" s="283">
        <v>3000713.44</v>
      </c>
      <c r="N36" s="283">
        <v>605288.71</v>
      </c>
      <c r="O36" s="283">
        <v>549848.1100000001</v>
      </c>
      <c r="P36" s="283"/>
      <c r="Q36" s="283"/>
      <c r="R36" s="283">
        <v>187315.82</v>
      </c>
      <c r="S36" s="283">
        <v>187315.82</v>
      </c>
      <c r="T36" s="283">
        <v>17461252.442500003</v>
      </c>
      <c r="U36" s="283">
        <v>0</v>
      </c>
      <c r="V36" s="283">
        <v>-17460351.592500001</v>
      </c>
    </row>
    <row r="37" spans="1:22">
      <c r="A37" s="284">
        <v>8460</v>
      </c>
      <c r="B37" s="283" t="s">
        <v>141</v>
      </c>
      <c r="C37" s="283">
        <v>0</v>
      </c>
      <c r="D37" s="283">
        <v>0</v>
      </c>
      <c r="E37" s="283">
        <v>0</v>
      </c>
      <c r="F37" s="283">
        <v>0</v>
      </c>
      <c r="G37" s="283">
        <v>0</v>
      </c>
      <c r="H37" s="283">
        <v>3068210.2700000005</v>
      </c>
      <c r="I37" s="283">
        <v>1181276.9900000002</v>
      </c>
      <c r="J37" s="283">
        <v>0</v>
      </c>
      <c r="K37" s="283">
        <v>64815.520000000004</v>
      </c>
      <c r="L37" s="283">
        <v>191132.07</v>
      </c>
      <c r="M37" s="283">
        <v>5745.420000000001</v>
      </c>
      <c r="N37" s="283">
        <v>7603.2900000000009</v>
      </c>
      <c r="O37" s="283">
        <v>2775.13</v>
      </c>
      <c r="P37" s="283"/>
      <c r="Q37" s="283"/>
      <c r="R37" s="283">
        <v>6155.869999999999</v>
      </c>
      <c r="S37" s="283">
        <v>6155.869999999999</v>
      </c>
      <c r="T37" s="283">
        <v>4527714.5600000005</v>
      </c>
      <c r="U37" s="283">
        <v>0</v>
      </c>
      <c r="V37" s="283">
        <v>-4527714.5600000005</v>
      </c>
    </row>
    <row r="38" spans="1:22">
      <c r="A38" s="284">
        <v>8470</v>
      </c>
      <c r="B38" s="283" t="s">
        <v>142</v>
      </c>
      <c r="C38" s="283">
        <v>0</v>
      </c>
      <c r="D38" s="283">
        <v>0</v>
      </c>
      <c r="E38" s="283">
        <v>0</v>
      </c>
      <c r="F38" s="283">
        <v>0</v>
      </c>
      <c r="G38" s="283">
        <v>0</v>
      </c>
      <c r="H38" s="283">
        <v>0</v>
      </c>
      <c r="I38" s="283">
        <v>0</v>
      </c>
      <c r="J38" s="283">
        <v>0</v>
      </c>
      <c r="K38" s="283">
        <v>838957.98250000004</v>
      </c>
      <c r="L38" s="283">
        <v>0</v>
      </c>
      <c r="M38" s="283">
        <v>289756.17000000004</v>
      </c>
      <c r="N38" s="283">
        <v>1722.6399999999999</v>
      </c>
      <c r="O38" s="283">
        <v>87460.71</v>
      </c>
      <c r="P38" s="283"/>
      <c r="Q38" s="283"/>
      <c r="R38" s="283">
        <v>0</v>
      </c>
      <c r="S38" s="283">
        <v>0</v>
      </c>
      <c r="T38" s="283">
        <v>1217897.5024999999</v>
      </c>
      <c r="U38" s="283">
        <v>0</v>
      </c>
      <c r="V38" s="283">
        <v>-1217897.5024999999</v>
      </c>
    </row>
    <row r="39" spans="1:22">
      <c r="A39" s="284">
        <v>8480</v>
      </c>
      <c r="B39" s="283" t="s">
        <v>637</v>
      </c>
      <c r="C39" s="283"/>
      <c r="D39" s="283"/>
      <c r="E39" s="283"/>
      <c r="F39" s="283"/>
      <c r="G39" s="283"/>
      <c r="H39" s="283"/>
      <c r="I39" s="283"/>
      <c r="J39" s="283"/>
      <c r="K39" s="283">
        <v>3654921.05</v>
      </c>
      <c r="L39" s="283"/>
      <c r="M39" s="283"/>
      <c r="N39" s="283"/>
      <c r="O39" s="283"/>
      <c r="P39" s="283"/>
      <c r="Q39" s="283"/>
      <c r="R39" s="283"/>
      <c r="S39" s="283">
        <v>0</v>
      </c>
      <c r="T39" s="283">
        <v>2318881.7949999999</v>
      </c>
      <c r="U39" s="283"/>
      <c r="V39" s="283">
        <v>-2318881.7949999999</v>
      </c>
    </row>
    <row r="40" spans="1:22">
      <c r="A40" s="284">
        <v>8510</v>
      </c>
      <c r="B40" s="283" t="s">
        <v>145</v>
      </c>
      <c r="C40" s="283"/>
      <c r="D40" s="283"/>
      <c r="E40" s="283"/>
      <c r="F40" s="283"/>
      <c r="G40" s="283"/>
      <c r="H40" s="283"/>
      <c r="I40" s="283"/>
      <c r="J40" s="283"/>
      <c r="K40" s="283">
        <v>872642.5924999998</v>
      </c>
      <c r="L40" s="283"/>
      <c r="M40" s="283"/>
      <c r="N40" s="283"/>
      <c r="O40" s="283"/>
      <c r="P40" s="283"/>
      <c r="Q40" s="283"/>
      <c r="R40" s="283"/>
      <c r="S40" s="283">
        <v>0</v>
      </c>
      <c r="T40" s="283">
        <v>1076376.1999999997</v>
      </c>
      <c r="U40" s="283"/>
      <c r="V40" s="283">
        <v>-1076376.1999999997</v>
      </c>
    </row>
    <row r="41" spans="1:22">
      <c r="A41" s="284">
        <v>8530</v>
      </c>
      <c r="B41" s="283" t="s">
        <v>1368</v>
      </c>
      <c r="C41" s="283">
        <v>0</v>
      </c>
      <c r="D41" s="283">
        <v>0</v>
      </c>
      <c r="E41" s="283">
        <v>0</v>
      </c>
      <c r="F41" s="283">
        <v>0</v>
      </c>
      <c r="G41" s="283">
        <v>0</v>
      </c>
      <c r="H41" s="283">
        <v>0</v>
      </c>
      <c r="I41" s="283">
        <v>0</v>
      </c>
      <c r="J41" s="283">
        <v>0</v>
      </c>
      <c r="K41" s="283">
        <v>6941783.4936347501</v>
      </c>
      <c r="L41" s="283">
        <v>292.09000000000003</v>
      </c>
      <c r="M41" s="283">
        <v>0</v>
      </c>
      <c r="N41" s="283">
        <v>25787.65</v>
      </c>
      <c r="O41" s="283">
        <v>4311.7700000000004</v>
      </c>
      <c r="P41" s="283"/>
      <c r="Q41" s="283"/>
      <c r="R41" s="283">
        <v>0</v>
      </c>
      <c r="S41" s="283">
        <v>0</v>
      </c>
      <c r="T41" s="283">
        <v>6770015.3136347495</v>
      </c>
      <c r="U41" s="283">
        <v>0</v>
      </c>
      <c r="V41" s="283">
        <v>-6770015.3136347495</v>
      </c>
    </row>
    <row r="42" spans="1:22">
      <c r="A42" s="284">
        <v>8560</v>
      </c>
      <c r="B42" s="283" t="s">
        <v>147</v>
      </c>
      <c r="C42" s="283">
        <v>0</v>
      </c>
      <c r="D42" s="283">
        <v>0</v>
      </c>
      <c r="E42" s="283">
        <v>0</v>
      </c>
      <c r="F42" s="283">
        <v>0</v>
      </c>
      <c r="G42" s="283">
        <v>0</v>
      </c>
      <c r="H42" s="283">
        <v>39.380000000000003</v>
      </c>
      <c r="I42" s="283">
        <v>3.01</v>
      </c>
      <c r="J42" s="283">
        <v>0</v>
      </c>
      <c r="K42" s="283">
        <v>2704609.5150000001</v>
      </c>
      <c r="L42" s="283">
        <v>26337.99</v>
      </c>
      <c r="M42" s="283">
        <v>26.23</v>
      </c>
      <c r="N42" s="283">
        <v>12358.85</v>
      </c>
      <c r="O42" s="283">
        <v>0</v>
      </c>
      <c r="P42" s="283"/>
      <c r="Q42" s="283"/>
      <c r="R42" s="283">
        <v>209.42999999999998</v>
      </c>
      <c r="S42" s="283">
        <v>209.42999999999998</v>
      </c>
      <c r="T42" s="283">
        <v>2743584.4050000003</v>
      </c>
      <c r="U42" s="283">
        <v>0</v>
      </c>
      <c r="V42" s="283">
        <v>-2743584.4050000003</v>
      </c>
    </row>
    <row r="43" spans="1:22">
      <c r="A43" s="284">
        <v>8610</v>
      </c>
      <c r="B43" s="283" t="s">
        <v>608</v>
      </c>
      <c r="C43" s="291">
        <v>0</v>
      </c>
      <c r="D43" s="291">
        <v>4022206</v>
      </c>
      <c r="E43" s="335">
        <v>530075.30000000005</v>
      </c>
      <c r="F43" s="335">
        <v>2017722.73</v>
      </c>
      <c r="G43" s="335">
        <v>4022206</v>
      </c>
      <c r="H43" s="283">
        <v>5901340.3299999991</v>
      </c>
      <c r="I43" s="283">
        <f>1170583.41+4</f>
        <v>1170587.4099999999</v>
      </c>
      <c r="J43" s="283">
        <v>2365</v>
      </c>
      <c r="K43" s="283">
        <v>4970796.9071362494</v>
      </c>
      <c r="L43" s="283">
        <v>393862.95999999996</v>
      </c>
      <c r="M43" s="283">
        <v>30950.100000000002</v>
      </c>
      <c r="N43" s="283">
        <v>531229.57000000007</v>
      </c>
      <c r="O43" s="283">
        <v>115310.54999999999</v>
      </c>
      <c r="P43" s="283"/>
      <c r="Q43" s="283"/>
      <c r="R43" s="283">
        <v>911061.37999999977</v>
      </c>
      <c r="S43" s="283">
        <v>1021288.1299999998</v>
      </c>
      <c r="T43" s="283">
        <v>15566371.047136253</v>
      </c>
      <c r="U43" s="283">
        <v>1905.89</v>
      </c>
      <c r="V43" s="283">
        <v>-13546742.427136252</v>
      </c>
    </row>
    <row r="44" spans="1:22">
      <c r="A44" s="284">
        <v>8620</v>
      </c>
      <c r="B44" s="283" t="s">
        <v>1369</v>
      </c>
      <c r="C44" s="283"/>
      <c r="D44" s="283"/>
      <c r="E44" s="283"/>
      <c r="F44" s="283"/>
      <c r="G44" s="283"/>
      <c r="H44" s="283"/>
      <c r="I44" s="283"/>
      <c r="J44" s="283"/>
      <c r="K44" s="283">
        <v>636076.26500000001</v>
      </c>
      <c r="L44" s="283"/>
      <c r="M44" s="283"/>
      <c r="N44" s="283"/>
      <c r="O44" s="283"/>
      <c r="P44" s="283"/>
      <c r="Q44" s="283"/>
      <c r="R44" s="283"/>
      <c r="S44" s="283">
        <v>0</v>
      </c>
      <c r="T44" s="283">
        <v>636076.26500000001</v>
      </c>
      <c r="U44" s="283"/>
      <c r="V44" s="283">
        <v>-636076.26500000001</v>
      </c>
    </row>
    <row r="45" spans="1:22">
      <c r="A45" s="284">
        <v>8630</v>
      </c>
      <c r="B45" s="283" t="s">
        <v>1370</v>
      </c>
      <c r="C45" s="283"/>
      <c r="D45" s="283"/>
      <c r="E45" s="283"/>
      <c r="F45" s="283"/>
      <c r="G45" s="283"/>
      <c r="H45" s="283"/>
      <c r="I45" s="283"/>
      <c r="J45" s="283"/>
      <c r="K45" s="283">
        <v>3352083.0449999999</v>
      </c>
      <c r="L45" s="283"/>
      <c r="M45" s="283"/>
      <c r="N45" s="283"/>
      <c r="O45" s="283"/>
      <c r="P45" s="283"/>
      <c r="Q45" s="283"/>
      <c r="R45" s="283"/>
      <c r="S45" s="283">
        <v>0</v>
      </c>
      <c r="T45" s="283">
        <v>3352150.01</v>
      </c>
      <c r="U45" s="283"/>
      <c r="V45" s="283">
        <v>-3352150.01</v>
      </c>
    </row>
    <row r="46" spans="1:22">
      <c r="A46" s="284">
        <v>8650</v>
      </c>
      <c r="B46" s="283" t="s">
        <v>152</v>
      </c>
      <c r="C46" s="283">
        <v>0</v>
      </c>
      <c r="D46" s="283">
        <v>0</v>
      </c>
      <c r="E46" s="283">
        <v>0</v>
      </c>
      <c r="F46" s="283">
        <v>0</v>
      </c>
      <c r="G46" s="283">
        <v>0</v>
      </c>
      <c r="H46" s="283">
        <v>-2181.13</v>
      </c>
      <c r="I46" s="283">
        <v>50.960000000144987</v>
      </c>
      <c r="J46" s="283">
        <v>0</v>
      </c>
      <c r="K46" s="283">
        <v>2140142.1274999999</v>
      </c>
      <c r="L46" s="283">
        <v>16481.95</v>
      </c>
      <c r="M46" s="283">
        <v>0</v>
      </c>
      <c r="N46" s="283">
        <v>0</v>
      </c>
      <c r="O46" s="283">
        <v>0</v>
      </c>
      <c r="P46" s="283"/>
      <c r="Q46" s="283"/>
      <c r="R46" s="283">
        <v>3672.67</v>
      </c>
      <c r="S46" s="283">
        <v>29298.28</v>
      </c>
      <c r="T46" s="283">
        <v>1347481.1524999999</v>
      </c>
      <c r="U46" s="283">
        <v>0</v>
      </c>
      <c r="V46" s="283">
        <v>-1373106.7625</v>
      </c>
    </row>
    <row r="47" spans="1:22">
      <c r="A47" s="284">
        <v>8660</v>
      </c>
      <c r="B47" s="283" t="s">
        <v>1371</v>
      </c>
      <c r="C47" s="283"/>
      <c r="D47" s="283"/>
      <c r="E47" s="283"/>
      <c r="F47" s="283"/>
      <c r="G47" s="283"/>
      <c r="H47" s="283"/>
      <c r="I47" s="283"/>
      <c r="J47" s="283"/>
      <c r="K47" s="283">
        <v>175756.29749999996</v>
      </c>
      <c r="L47" s="283"/>
      <c r="M47" s="283"/>
      <c r="N47" s="283"/>
      <c r="O47" s="283"/>
      <c r="P47" s="283"/>
      <c r="Q47" s="283"/>
      <c r="R47" s="283"/>
      <c r="S47" s="283">
        <v>0</v>
      </c>
      <c r="T47" s="283">
        <v>175756.29749999996</v>
      </c>
      <c r="U47" s="283"/>
      <c r="V47" s="283">
        <v>-175756.29749999996</v>
      </c>
    </row>
    <row r="48" spans="1:22">
      <c r="A48" s="284">
        <v>8670</v>
      </c>
      <c r="B48" s="283" t="s">
        <v>154</v>
      </c>
      <c r="C48" s="283">
        <v>0</v>
      </c>
      <c r="D48" s="283">
        <v>0</v>
      </c>
      <c r="E48" s="283">
        <v>0</v>
      </c>
      <c r="F48" s="283">
        <v>0</v>
      </c>
      <c r="G48" s="283">
        <v>0</v>
      </c>
      <c r="H48" s="283">
        <v>0</v>
      </c>
      <c r="I48" s="283">
        <v>0</v>
      </c>
      <c r="J48" s="283">
        <v>0</v>
      </c>
      <c r="K48" s="283">
        <v>300916.22249999997</v>
      </c>
      <c r="L48" s="283">
        <v>18.98</v>
      </c>
      <c r="M48" s="283">
        <v>97.38</v>
      </c>
      <c r="N48" s="283">
        <v>0</v>
      </c>
      <c r="O48" s="283">
        <v>0</v>
      </c>
      <c r="P48" s="283"/>
      <c r="Q48" s="283"/>
      <c r="R48" s="283">
        <v>0</v>
      </c>
      <c r="S48" s="283">
        <v>0</v>
      </c>
      <c r="T48" s="283">
        <v>301032.58249999996</v>
      </c>
      <c r="U48" s="283">
        <v>0</v>
      </c>
      <c r="V48" s="283">
        <v>-301032.58249999996</v>
      </c>
    </row>
    <row r="49" spans="1:22">
      <c r="A49" s="284">
        <v>8680</v>
      </c>
      <c r="B49" s="283" t="s">
        <v>646</v>
      </c>
      <c r="C49" s="283"/>
      <c r="D49" s="283"/>
      <c r="E49" s="283"/>
      <c r="F49" s="283"/>
      <c r="G49" s="283"/>
      <c r="H49" s="283"/>
      <c r="I49" s="283"/>
      <c r="J49" s="283"/>
      <c r="K49" s="283">
        <v>104827.52750000003</v>
      </c>
      <c r="L49" s="283"/>
      <c r="M49" s="283"/>
      <c r="N49" s="283"/>
      <c r="O49" s="283"/>
      <c r="P49" s="283"/>
      <c r="Q49" s="283"/>
      <c r="R49" s="283"/>
      <c r="S49" s="283">
        <v>0</v>
      </c>
      <c r="T49" s="283">
        <v>104827.52750000003</v>
      </c>
      <c r="U49" s="283"/>
      <c r="V49" s="283">
        <v>-104827.52750000003</v>
      </c>
    </row>
    <row r="50" spans="1:22">
      <c r="A50" s="284">
        <v>8690</v>
      </c>
      <c r="B50" s="283" t="s">
        <v>648</v>
      </c>
      <c r="C50" s="283">
        <v>0</v>
      </c>
      <c r="D50" s="283">
        <v>0</v>
      </c>
      <c r="E50" s="283">
        <v>2425.81</v>
      </c>
      <c r="F50" s="283">
        <v>2425.81</v>
      </c>
      <c r="G50" s="283">
        <v>0</v>
      </c>
      <c r="H50" s="283">
        <v>0</v>
      </c>
      <c r="I50" s="283">
        <v>0</v>
      </c>
      <c r="J50" s="283">
        <v>0</v>
      </c>
      <c r="K50" s="283">
        <v>3919540.9096307494</v>
      </c>
      <c r="L50" s="283">
        <v>5280.22</v>
      </c>
      <c r="M50" s="283">
        <v>0</v>
      </c>
      <c r="N50" s="283">
        <v>19085.789999999997</v>
      </c>
      <c r="O50" s="283">
        <v>4004.76</v>
      </c>
      <c r="P50" s="283"/>
      <c r="Q50" s="283"/>
      <c r="R50" s="283">
        <v>0</v>
      </c>
      <c r="S50" s="283">
        <v>0</v>
      </c>
      <c r="T50" s="283">
        <v>3947911.6796307499</v>
      </c>
      <c r="U50" s="283">
        <v>0</v>
      </c>
      <c r="V50" s="283">
        <v>-3945485.8696307493</v>
      </c>
    </row>
    <row r="51" spans="1:22">
      <c r="A51" s="284">
        <v>8700</v>
      </c>
      <c r="B51" s="283" t="s">
        <v>650</v>
      </c>
      <c r="C51" s="283">
        <v>0</v>
      </c>
      <c r="D51" s="283">
        <v>0</v>
      </c>
      <c r="E51" s="283">
        <v>0</v>
      </c>
      <c r="F51" s="283">
        <v>0</v>
      </c>
      <c r="G51" s="283">
        <v>0</v>
      </c>
      <c r="H51" s="283">
        <v>0</v>
      </c>
      <c r="I51" s="283">
        <v>0</v>
      </c>
      <c r="J51" s="283">
        <v>0</v>
      </c>
      <c r="K51" s="283">
        <v>1544526.70456375</v>
      </c>
      <c r="L51" s="283">
        <v>147</v>
      </c>
      <c r="M51" s="283">
        <v>0</v>
      </c>
      <c r="N51" s="283">
        <v>0</v>
      </c>
      <c r="O51" s="283">
        <v>0</v>
      </c>
      <c r="P51" s="283"/>
      <c r="Q51" s="283"/>
      <c r="R51" s="283">
        <v>0</v>
      </c>
      <c r="S51" s="283">
        <v>0</v>
      </c>
      <c r="T51" s="283">
        <v>1536905.4670637499</v>
      </c>
      <c r="U51" s="283">
        <v>0</v>
      </c>
      <c r="V51" s="283">
        <v>-1536905.4670637499</v>
      </c>
    </row>
    <row r="52" spans="1:22">
      <c r="A52" s="284">
        <v>8710</v>
      </c>
      <c r="B52" s="283" t="s">
        <v>1372</v>
      </c>
      <c r="C52" s="283">
        <v>0</v>
      </c>
      <c r="D52" s="283">
        <v>0</v>
      </c>
      <c r="E52" s="283">
        <v>0</v>
      </c>
      <c r="F52" s="283">
        <v>0</v>
      </c>
      <c r="G52" s="283">
        <v>0</v>
      </c>
      <c r="H52" s="283">
        <v>0</v>
      </c>
      <c r="I52" s="283">
        <v>0</v>
      </c>
      <c r="J52" s="283">
        <v>18750</v>
      </c>
      <c r="K52" s="283">
        <v>7580781.2291360004</v>
      </c>
      <c r="L52" s="283">
        <v>8</v>
      </c>
      <c r="M52" s="283">
        <v>0</v>
      </c>
      <c r="N52" s="283">
        <v>467.41</v>
      </c>
      <c r="O52" s="283">
        <v>0</v>
      </c>
      <c r="P52" s="283"/>
      <c r="Q52" s="283"/>
      <c r="R52" s="283">
        <v>0</v>
      </c>
      <c r="S52" s="283">
        <v>0</v>
      </c>
      <c r="T52" s="283">
        <v>2633581.090636</v>
      </c>
      <c r="U52" s="283">
        <v>0</v>
      </c>
      <c r="V52" s="283">
        <v>-2633581.090636</v>
      </c>
    </row>
    <row r="53" spans="1:22">
      <c r="A53" s="284">
        <v>8720</v>
      </c>
      <c r="B53" s="283" t="s">
        <v>654</v>
      </c>
      <c r="C53" s="283">
        <v>0</v>
      </c>
      <c r="D53" s="283">
        <v>0</v>
      </c>
      <c r="E53" s="283">
        <v>4876.1400000000003</v>
      </c>
      <c r="F53" s="283">
        <v>4876.1400000000003</v>
      </c>
      <c r="G53" s="283">
        <v>0</v>
      </c>
      <c r="H53" s="283">
        <v>3131040.78</v>
      </c>
      <c r="I53" s="283">
        <v>693822.04</v>
      </c>
      <c r="J53" s="283">
        <v>0</v>
      </c>
      <c r="K53" s="283">
        <v>958129.19750000001</v>
      </c>
      <c r="L53" s="283">
        <v>20581.13</v>
      </c>
      <c r="M53" s="283">
        <v>1340.47</v>
      </c>
      <c r="N53" s="283">
        <v>28605.690000000002</v>
      </c>
      <c r="O53" s="283">
        <v>277563.17</v>
      </c>
      <c r="P53" s="283"/>
      <c r="Q53" s="283"/>
      <c r="R53" s="283">
        <v>120853.59999999999</v>
      </c>
      <c r="S53" s="283">
        <v>120853.59999999999</v>
      </c>
      <c r="T53" s="283">
        <v>5226577.1899999995</v>
      </c>
      <c r="U53" s="283">
        <v>0</v>
      </c>
      <c r="V53" s="283">
        <v>-5221701.05</v>
      </c>
    </row>
    <row r="54" spans="1:22">
      <c r="A54" s="284">
        <v>8740</v>
      </c>
      <c r="B54" s="283" t="s">
        <v>658</v>
      </c>
      <c r="C54" s="283">
        <v>0</v>
      </c>
      <c r="D54" s="283">
        <v>0</v>
      </c>
      <c r="E54" s="283">
        <v>3703.79</v>
      </c>
      <c r="F54" s="283">
        <v>3703.79</v>
      </c>
      <c r="G54" s="283">
        <v>0</v>
      </c>
      <c r="H54" s="283">
        <v>1029103.27</v>
      </c>
      <c r="I54" s="283">
        <v>236385.43</v>
      </c>
      <c r="J54" s="283">
        <v>0</v>
      </c>
      <c r="K54" s="283">
        <v>1084840.04</v>
      </c>
      <c r="L54" s="283">
        <v>39334.020000000004</v>
      </c>
      <c r="M54" s="283">
        <v>0</v>
      </c>
      <c r="N54" s="283">
        <v>46057.770000000004</v>
      </c>
      <c r="O54" s="283">
        <v>3955.16</v>
      </c>
      <c r="P54" s="283"/>
      <c r="Q54" s="283"/>
      <c r="R54" s="283">
        <v>6317.39</v>
      </c>
      <c r="S54" s="283">
        <v>6317.39</v>
      </c>
      <c r="T54" s="283">
        <f>1515657.26+930335.82</f>
        <v>2445993.08</v>
      </c>
      <c r="U54" s="283">
        <v>0</v>
      </c>
      <c r="V54" s="283">
        <f>+-1511953.47+-930335.82</f>
        <v>-2442289.29</v>
      </c>
    </row>
    <row r="55" spans="1:22">
      <c r="A55" s="284">
        <v>8770</v>
      </c>
      <c r="B55" s="283" t="s">
        <v>1373</v>
      </c>
      <c r="C55" s="283"/>
      <c r="D55" s="283"/>
      <c r="E55" s="283"/>
      <c r="F55" s="283"/>
      <c r="G55" s="283"/>
      <c r="H55" s="283"/>
      <c r="I55" s="283"/>
      <c r="J55" s="283"/>
      <c r="K55" s="283">
        <v>112544.0675</v>
      </c>
      <c r="L55" s="283"/>
      <c r="M55" s="283"/>
      <c r="N55" s="283"/>
      <c r="O55" s="283"/>
      <c r="P55" s="283"/>
      <c r="Q55" s="283"/>
      <c r="R55" s="283"/>
      <c r="S55" s="283">
        <v>0</v>
      </c>
      <c r="T55" s="283">
        <v>112544.0675</v>
      </c>
      <c r="U55" s="283"/>
      <c r="V55" s="283">
        <v>-112544.0675</v>
      </c>
    </row>
    <row r="56" spans="1:22">
      <c r="A56" s="284">
        <v>8790</v>
      </c>
      <c r="B56" s="283" t="s">
        <v>1374</v>
      </c>
      <c r="C56" s="283">
        <v>0</v>
      </c>
      <c r="D56" s="283">
        <v>0</v>
      </c>
      <c r="E56" s="283">
        <v>0</v>
      </c>
      <c r="F56" s="283">
        <v>0</v>
      </c>
      <c r="G56" s="283">
        <v>0</v>
      </c>
      <c r="H56" s="283">
        <v>0</v>
      </c>
      <c r="I56" s="283">
        <v>0</v>
      </c>
      <c r="J56" s="283">
        <v>0</v>
      </c>
      <c r="K56" s="283">
        <v>74543.632049000007</v>
      </c>
      <c r="L56" s="283">
        <v>64.63</v>
      </c>
      <c r="M56" s="283">
        <v>0</v>
      </c>
      <c r="N56" s="283">
        <v>167.74</v>
      </c>
      <c r="O56" s="283">
        <v>0</v>
      </c>
      <c r="P56" s="283"/>
      <c r="Q56" s="283"/>
      <c r="R56" s="283">
        <v>0</v>
      </c>
      <c r="S56" s="283">
        <v>0</v>
      </c>
      <c r="T56" s="283">
        <v>1410815.2570490001</v>
      </c>
      <c r="U56" s="283">
        <v>18018554.200000003</v>
      </c>
      <c r="V56" s="283">
        <v>16607738.942951003</v>
      </c>
    </row>
    <row r="57" spans="1:22">
      <c r="A57" s="284">
        <v>8900</v>
      </c>
      <c r="B57" s="283" t="s">
        <v>211</v>
      </c>
      <c r="C57" s="291">
        <v>-187488.58999999997</v>
      </c>
      <c r="D57" s="291">
        <v>-938287.81999999983</v>
      </c>
      <c r="E57" s="290">
        <v>12302.300000000017</v>
      </c>
      <c r="F57" s="283">
        <v>-1857945416.3499999</v>
      </c>
      <c r="G57" s="283">
        <v>-1125776.4100000001</v>
      </c>
      <c r="H57" s="291">
        <v>294565.28000000003</v>
      </c>
      <c r="I57" s="290">
        <f>1947.3</f>
        <v>1947.3</v>
      </c>
      <c r="J57" s="291">
        <v>1494533.43</v>
      </c>
      <c r="K57" s="291">
        <v>25768971.489397001</v>
      </c>
      <c r="L57" s="291">
        <v>370397.21999999858</v>
      </c>
      <c r="M57" s="291">
        <v>12011.130000000001</v>
      </c>
      <c r="N57" s="291">
        <v>166629.06999999995</v>
      </c>
      <c r="O57" s="290">
        <f>29405738.6</f>
        <v>29405738.600000001</v>
      </c>
      <c r="P57" s="283"/>
      <c r="Q57" s="283"/>
      <c r="R57" s="283">
        <v>17749002.039999999</v>
      </c>
      <c r="S57" s="283">
        <v>16553085.780000001</v>
      </c>
      <c r="T57" s="283">
        <v>79454100.917896986</v>
      </c>
      <c r="U57" s="291">
        <v>-1814043.45</v>
      </c>
      <c r="V57" s="283">
        <v>-1938793764.6478972</v>
      </c>
    </row>
    <row r="58" spans="1:22">
      <c r="A58" s="284">
        <v>7060</v>
      </c>
      <c r="B58" s="283" t="s">
        <v>1445</v>
      </c>
      <c r="C58" s="291"/>
      <c r="D58" s="291"/>
      <c r="E58" s="290"/>
      <c r="F58" s="283"/>
      <c r="G58" s="283"/>
      <c r="H58" s="291"/>
      <c r="I58" s="290"/>
      <c r="J58" s="291"/>
      <c r="K58" s="291">
        <v>215619.98499999999</v>
      </c>
      <c r="L58" s="291"/>
      <c r="M58" s="291"/>
      <c r="N58" s="291"/>
      <c r="O58" s="290"/>
      <c r="P58" s="283"/>
      <c r="Q58" s="283"/>
      <c r="R58" s="283"/>
      <c r="S58" s="283">
        <v>0</v>
      </c>
      <c r="T58" s="283"/>
      <c r="U58" s="291"/>
      <c r="V58" s="283"/>
    </row>
    <row r="59" spans="1:22">
      <c r="A59" s="283" t="s">
        <v>1358</v>
      </c>
      <c r="B59" s="283"/>
      <c r="C59" s="292">
        <v>1052674086.5399998</v>
      </c>
      <c r="D59" s="292">
        <v>1625901245.7800004</v>
      </c>
      <c r="E59" s="292">
        <v>5746464.5700000003</v>
      </c>
      <c r="F59" s="292">
        <v>677573394.61999953</v>
      </c>
      <c r="G59" s="292">
        <v>2678575332.3199997</v>
      </c>
      <c r="H59" s="292">
        <v>193640399.63999996</v>
      </c>
      <c r="I59" s="292">
        <v>41619655.539999999</v>
      </c>
      <c r="J59" s="292">
        <v>42048900.119999997</v>
      </c>
      <c r="K59" s="292">
        <v>146338607.74000001</v>
      </c>
      <c r="L59" s="292">
        <v>107520410.93999995</v>
      </c>
      <c r="M59" s="292">
        <v>4642352.87</v>
      </c>
      <c r="N59" s="292">
        <v>13217957.820000002</v>
      </c>
      <c r="O59" s="292">
        <f>46215678.32</f>
        <v>46215678.32</v>
      </c>
      <c r="P59" s="292"/>
      <c r="Q59" s="292"/>
      <c r="R59" s="292">
        <v>23312823.649999999</v>
      </c>
      <c r="S59" s="292">
        <f>SUM(S4:S58)</f>
        <v>23735010.149999999</v>
      </c>
      <c r="T59" s="292">
        <v>619373143.5999999</v>
      </c>
      <c r="U59" s="292">
        <v>15539565.820000004</v>
      </c>
      <c r="V59" s="292">
        <v>74133987.299999654</v>
      </c>
    </row>
    <row r="60" spans="1:22">
      <c r="K60" s="336">
        <f>+data!CE66</f>
        <v>146338607.73560297</v>
      </c>
      <c r="S60">
        <f>+data!CE69</f>
        <v>23714222.369999997</v>
      </c>
    </row>
    <row r="61" spans="1:22">
      <c r="A61" s="293" t="s">
        <v>1383</v>
      </c>
      <c r="K61" s="336">
        <f>+K59-K60</f>
        <v>4.3970346450805664E-3</v>
      </c>
      <c r="S61">
        <f>+S59-data!CE69</f>
        <v>20787.780000001192</v>
      </c>
    </row>
    <row r="62" spans="1:22">
      <c r="A62" s="283" t="s">
        <v>1384</v>
      </c>
    </row>
    <row r="63" spans="1:22" ht="26.4">
      <c r="B63" s="294" t="s">
        <v>1385</v>
      </c>
      <c r="C63" s="294" t="s">
        <v>1386</v>
      </c>
      <c r="D63" s="294" t="s">
        <v>1387</v>
      </c>
      <c r="E63" s="295" t="s">
        <v>1388</v>
      </c>
      <c r="H63" s="294" t="s">
        <v>1389</v>
      </c>
      <c r="I63" s="295" t="s">
        <v>1390</v>
      </c>
      <c r="J63" s="294" t="s">
        <v>1391</v>
      </c>
      <c r="K63" s="294" t="s">
        <v>1392</v>
      </c>
      <c r="L63" s="294" t="s">
        <v>1392</v>
      </c>
      <c r="M63" s="294" t="s">
        <v>1392</v>
      </c>
      <c r="N63" s="294" t="s">
        <v>1392</v>
      </c>
      <c r="O63" s="295" t="s">
        <v>1393</v>
      </c>
      <c r="P63" s="296"/>
      <c r="Q63" s="296"/>
      <c r="R63" s="296"/>
      <c r="S63" s="295" t="s">
        <v>1394</v>
      </c>
      <c r="T63" s="296"/>
      <c r="U63" s="297" t="s">
        <v>1395</v>
      </c>
      <c r="V63" s="296">
        <v>2.000046893954277E-3</v>
      </c>
    </row>
    <row r="65" spans="1:10" ht="15.6" thickBot="1">
      <c r="A65" s="298">
        <v>1</v>
      </c>
      <c r="B65" s="298">
        <v>2</v>
      </c>
      <c r="C65" s="286">
        <v>3</v>
      </c>
      <c r="D65" s="286">
        <v>4</v>
      </c>
      <c r="F65" s="298">
        <v>1</v>
      </c>
      <c r="G65" s="298">
        <v>2</v>
      </c>
      <c r="H65" s="286">
        <v>3</v>
      </c>
      <c r="I65" s="298">
        <v>4</v>
      </c>
      <c r="J65" s="298">
        <v>5</v>
      </c>
    </row>
    <row r="66" spans="1:10">
      <c r="A66" s="299"/>
      <c r="B66" s="299"/>
      <c r="C66" s="300"/>
      <c r="D66" s="300"/>
      <c r="F66" s="299"/>
      <c r="G66" s="299"/>
      <c r="H66" s="299"/>
      <c r="I66" s="300"/>
      <c r="J66" s="300"/>
    </row>
    <row r="67" spans="1:10" ht="15.6" thickBot="1">
      <c r="A67" s="301" t="s">
        <v>1375</v>
      </c>
      <c r="B67" s="302" t="s">
        <v>212</v>
      </c>
      <c r="C67" s="303" t="s">
        <v>1396</v>
      </c>
      <c r="D67" s="304" t="s">
        <v>1397</v>
      </c>
      <c r="F67" s="301" t="s">
        <v>1375</v>
      </c>
      <c r="G67" s="302" t="s">
        <v>212</v>
      </c>
      <c r="H67" s="301" t="s">
        <v>1188</v>
      </c>
      <c r="I67" s="302" t="s">
        <v>1404</v>
      </c>
      <c r="J67" s="302" t="s">
        <v>1405</v>
      </c>
    </row>
    <row r="68" spans="1:10">
      <c r="A68" s="305">
        <v>6010</v>
      </c>
      <c r="B68" s="306" t="s">
        <v>283</v>
      </c>
      <c r="C68" s="309">
        <v>37.431908653846151</v>
      </c>
      <c r="D68" s="312">
        <v>53.062019230769231</v>
      </c>
      <c r="F68" s="305">
        <v>6010</v>
      </c>
      <c r="G68" s="7" t="s">
        <v>283</v>
      </c>
      <c r="H68">
        <v>1741.080536693373</v>
      </c>
      <c r="I68" s="325">
        <v>8800</v>
      </c>
      <c r="J68" s="328">
        <v>1.5139446343565649E-2</v>
      </c>
    </row>
    <row r="69" spans="1:10">
      <c r="A69" s="305">
        <v>6070</v>
      </c>
      <c r="B69" s="306" t="s">
        <v>665</v>
      </c>
      <c r="C69" s="310">
        <v>199.36947596153846</v>
      </c>
      <c r="D69" s="313">
        <v>371.74393269230768</v>
      </c>
      <c r="F69" s="305">
        <v>6030</v>
      </c>
      <c r="G69" s="7" t="s">
        <v>284</v>
      </c>
      <c r="H69">
        <v>0</v>
      </c>
      <c r="I69" s="325"/>
      <c r="J69" s="328">
        <v>0</v>
      </c>
    </row>
    <row r="70" spans="1:10">
      <c r="A70" s="305">
        <v>6170</v>
      </c>
      <c r="B70" s="306" t="s">
        <v>99</v>
      </c>
      <c r="C70" s="310">
        <v>53.456235576923078</v>
      </c>
      <c r="D70" s="313">
        <v>72.579750000000004</v>
      </c>
      <c r="F70" s="305">
        <v>6070</v>
      </c>
      <c r="G70" s="7" t="s">
        <v>665</v>
      </c>
      <c r="H70">
        <v>17863.882006595981</v>
      </c>
      <c r="I70" s="325">
        <v>90290</v>
      </c>
      <c r="J70" s="328">
        <v>0.15533416026824345</v>
      </c>
    </row>
    <row r="71" spans="1:10">
      <c r="A71" s="305">
        <v>7020</v>
      </c>
      <c r="B71" s="306" t="s">
        <v>684</v>
      </c>
      <c r="C71" s="310">
        <v>43.042163461538465</v>
      </c>
      <c r="D71" s="313">
        <v>99.332899038461534</v>
      </c>
      <c r="F71" s="305">
        <v>6100</v>
      </c>
      <c r="G71" s="7" t="s">
        <v>1406</v>
      </c>
      <c r="H71">
        <v>0</v>
      </c>
      <c r="I71" s="325"/>
      <c r="J71" s="328">
        <v>0</v>
      </c>
    </row>
    <row r="72" spans="1:10">
      <c r="A72" s="305">
        <v>7030</v>
      </c>
      <c r="B72" s="306" t="s">
        <v>686</v>
      </c>
      <c r="C72" s="310">
        <v>31.203600961538463</v>
      </c>
      <c r="D72" s="313">
        <v>45.528759615384615</v>
      </c>
      <c r="F72" s="305">
        <v>6120</v>
      </c>
      <c r="G72" s="7" t="s">
        <v>1360</v>
      </c>
      <c r="H72">
        <v>0</v>
      </c>
      <c r="I72" s="325"/>
      <c r="J72" s="328">
        <v>0</v>
      </c>
    </row>
    <row r="73" spans="1:10">
      <c r="A73" s="305">
        <v>7040</v>
      </c>
      <c r="B73" s="306" t="s">
        <v>107</v>
      </c>
      <c r="C73" s="310">
        <v>3.7007451923076924</v>
      </c>
      <c r="D73" s="313">
        <v>4.1215288461538471</v>
      </c>
      <c r="F73" s="305">
        <v>6140</v>
      </c>
      <c r="G73" s="7" t="s">
        <v>671</v>
      </c>
      <c r="H73">
        <v>0</v>
      </c>
      <c r="I73" s="325"/>
      <c r="J73" s="328">
        <v>0</v>
      </c>
    </row>
    <row r="74" spans="1:10">
      <c r="A74" s="305">
        <v>7050</v>
      </c>
      <c r="B74" s="306" t="s">
        <v>689</v>
      </c>
      <c r="C74" s="310">
        <v>2.403846153846154E-3</v>
      </c>
      <c r="D74" s="313">
        <v>36.922096153846155</v>
      </c>
      <c r="F74" s="305">
        <v>6150</v>
      </c>
      <c r="G74" s="7" t="s">
        <v>1045</v>
      </c>
      <c r="H74">
        <v>0</v>
      </c>
      <c r="I74" s="325"/>
      <c r="J74" s="328">
        <v>0</v>
      </c>
    </row>
    <row r="75" spans="1:10">
      <c r="A75" s="305">
        <v>7070</v>
      </c>
      <c r="B75" s="306" t="s">
        <v>109</v>
      </c>
      <c r="C75" s="310">
        <v>0</v>
      </c>
      <c r="D75" s="313">
        <v>58.532798076923079</v>
      </c>
      <c r="F75" s="305">
        <v>6170</v>
      </c>
      <c r="G75" s="321" t="s">
        <v>1407</v>
      </c>
      <c r="H75">
        <v>3173.7128283066359</v>
      </c>
      <c r="I75" s="326">
        <f>1241+14800</f>
        <v>16041</v>
      </c>
      <c r="J75" s="328">
        <v>2.7596802136038247E-2</v>
      </c>
    </row>
    <row r="76" spans="1:10">
      <c r="A76" s="305">
        <v>7110</v>
      </c>
      <c r="B76" s="306" t="s">
        <v>1361</v>
      </c>
      <c r="C76" s="310">
        <v>0</v>
      </c>
      <c r="D76" s="313">
        <v>5.0219567307692303</v>
      </c>
      <c r="F76" s="305">
        <v>6200</v>
      </c>
      <c r="G76" s="7" t="s">
        <v>288</v>
      </c>
      <c r="H76">
        <v>0</v>
      </c>
      <c r="I76" s="325"/>
      <c r="J76" s="328">
        <v>0</v>
      </c>
    </row>
    <row r="77" spans="1:10">
      <c r="A77" s="305">
        <v>7140</v>
      </c>
      <c r="B77" s="306" t="s">
        <v>1363</v>
      </c>
      <c r="C77" s="310">
        <v>19.305326923076922</v>
      </c>
      <c r="D77" s="313">
        <v>150.90238461538462</v>
      </c>
      <c r="F77" s="305">
        <v>6210</v>
      </c>
      <c r="G77" s="7" t="s">
        <v>289</v>
      </c>
      <c r="H77">
        <v>0</v>
      </c>
      <c r="I77" s="325"/>
      <c r="J77" s="328">
        <v>0</v>
      </c>
    </row>
    <row r="78" spans="1:10">
      <c r="A78" s="305">
        <v>7150</v>
      </c>
      <c r="B78" s="306" t="s">
        <v>1364</v>
      </c>
      <c r="C78" s="310">
        <v>2.4004038461538459</v>
      </c>
      <c r="D78" s="313">
        <v>19.432495192307691</v>
      </c>
      <c r="F78" s="305">
        <v>6330</v>
      </c>
      <c r="G78" s="7" t="s">
        <v>1408</v>
      </c>
      <c r="H78">
        <v>0</v>
      </c>
      <c r="I78" s="325"/>
      <c r="J78" s="328">
        <v>0</v>
      </c>
    </row>
    <row r="79" spans="1:10">
      <c r="A79" s="305">
        <v>7160</v>
      </c>
      <c r="B79" s="306" t="s">
        <v>703</v>
      </c>
      <c r="C79" s="310">
        <v>3.8461538461538464E-3</v>
      </c>
      <c r="D79" s="313">
        <v>2.8648221153846154</v>
      </c>
      <c r="F79" s="305">
        <v>6400</v>
      </c>
      <c r="G79" s="7" t="s">
        <v>680</v>
      </c>
      <c r="H79">
        <v>0</v>
      </c>
      <c r="I79" s="325"/>
      <c r="J79" s="328">
        <v>0</v>
      </c>
    </row>
    <row r="80" spans="1:10">
      <c r="A80" s="305">
        <v>7170</v>
      </c>
      <c r="B80" s="306" t="s">
        <v>115</v>
      </c>
      <c r="C80" s="310">
        <v>0</v>
      </c>
      <c r="D80" s="313">
        <v>46.242716346153856</v>
      </c>
      <c r="F80" s="305">
        <v>7010</v>
      </c>
      <c r="G80" s="321" t="s">
        <v>1409</v>
      </c>
      <c r="H80">
        <v>0</v>
      </c>
      <c r="I80" s="326">
        <f>14800-14800</f>
        <v>0</v>
      </c>
      <c r="J80" s="328">
        <v>0</v>
      </c>
    </row>
    <row r="81" spans="1:10">
      <c r="A81" s="305">
        <v>7180</v>
      </c>
      <c r="B81" s="306" t="s">
        <v>706</v>
      </c>
      <c r="C81" s="310">
        <v>1.9638653846153846</v>
      </c>
      <c r="D81" s="313">
        <v>58.552673076923078</v>
      </c>
      <c r="F81" s="305">
        <v>7020</v>
      </c>
      <c r="G81" s="7" t="s">
        <v>684</v>
      </c>
      <c r="H81">
        <v>11631.209385355683</v>
      </c>
      <c r="I81" s="325">
        <v>58788</v>
      </c>
      <c r="J81" s="328">
        <v>0.10113838314153833</v>
      </c>
    </row>
    <row r="82" spans="1:10">
      <c r="A82" s="305">
        <v>7200</v>
      </c>
      <c r="B82" s="306" t="s">
        <v>709</v>
      </c>
      <c r="C82" s="310">
        <v>6.4009278846153848</v>
      </c>
      <c r="D82" s="313">
        <v>36.493836538461537</v>
      </c>
      <c r="F82" s="305">
        <v>7030</v>
      </c>
      <c r="G82" s="7" t="s">
        <v>686</v>
      </c>
      <c r="H82">
        <v>1706.8524761424692</v>
      </c>
      <c r="I82" s="325">
        <v>8627</v>
      </c>
      <c r="J82" s="328">
        <v>1.4841818591584188E-2</v>
      </c>
    </row>
    <row r="83" spans="1:10">
      <c r="A83" s="305">
        <v>7230</v>
      </c>
      <c r="B83" s="306" t="s">
        <v>713</v>
      </c>
      <c r="C83" s="310">
        <v>62.653269230769233</v>
      </c>
      <c r="D83" s="313">
        <v>115.81929326923077</v>
      </c>
      <c r="F83" s="305">
        <v>7040</v>
      </c>
      <c r="G83" s="7" t="s">
        <v>1410</v>
      </c>
      <c r="H83">
        <v>22.950607074594465</v>
      </c>
      <c r="I83" s="325">
        <v>116</v>
      </c>
      <c r="J83" s="328">
        <v>1.9956542907427447E-4</v>
      </c>
    </row>
    <row r="84" spans="1:10">
      <c r="A84" s="305">
        <v>7260</v>
      </c>
      <c r="B84" s="307" t="s">
        <v>121</v>
      </c>
      <c r="C84" s="311">
        <v>29.26</v>
      </c>
      <c r="D84" s="314">
        <v>466.14</v>
      </c>
      <c r="F84" s="305">
        <v>7050</v>
      </c>
      <c r="G84" s="7" t="s">
        <v>689</v>
      </c>
      <c r="H84">
        <v>1665.6996634569894</v>
      </c>
      <c r="I84" s="325">
        <v>8419</v>
      </c>
      <c r="J84" s="328">
        <v>1.4483977132554454E-2</v>
      </c>
    </row>
    <row r="85" spans="1:10">
      <c r="A85" s="305">
        <v>7310</v>
      </c>
      <c r="B85" s="306" t="s">
        <v>719</v>
      </c>
      <c r="C85" s="310">
        <v>0</v>
      </c>
      <c r="D85" s="313">
        <v>9.1775048076923067</v>
      </c>
      <c r="F85" s="305">
        <v>7060</v>
      </c>
      <c r="G85" s="7" t="s">
        <v>691</v>
      </c>
      <c r="H85">
        <v>0</v>
      </c>
      <c r="I85" s="325"/>
      <c r="J85" s="328">
        <v>0</v>
      </c>
    </row>
    <row r="86" spans="1:10">
      <c r="A86" s="305">
        <v>7320</v>
      </c>
      <c r="B86" s="306" t="s">
        <v>721</v>
      </c>
      <c r="C86" s="310">
        <v>0</v>
      </c>
      <c r="D86" s="313">
        <v>4.6697163461538462</v>
      </c>
      <c r="F86" s="305">
        <v>7070</v>
      </c>
      <c r="G86" s="7" t="s">
        <v>1411</v>
      </c>
      <c r="H86">
        <v>2646.0467156519512</v>
      </c>
      <c r="I86" s="325">
        <f>12266+1108</f>
        <v>13374</v>
      </c>
      <c r="J86" s="328">
        <v>2.3008517658959886E-2</v>
      </c>
    </row>
    <row r="87" spans="1:10">
      <c r="A87" s="305">
        <v>7330</v>
      </c>
      <c r="B87" s="306" t="s">
        <v>723</v>
      </c>
      <c r="C87" s="310">
        <v>0</v>
      </c>
      <c r="D87" s="313">
        <v>0</v>
      </c>
      <c r="F87" s="305">
        <v>7110</v>
      </c>
      <c r="G87" s="7" t="s">
        <v>1361</v>
      </c>
      <c r="H87">
        <v>0</v>
      </c>
      <c r="I87" s="325"/>
      <c r="J87" s="328">
        <v>0</v>
      </c>
    </row>
    <row r="88" spans="1:10">
      <c r="A88" s="305">
        <v>7380</v>
      </c>
      <c r="B88" s="306" t="s">
        <v>1365</v>
      </c>
      <c r="C88" s="310">
        <v>32.223875</v>
      </c>
      <c r="D88" s="313">
        <v>95.712490384615379</v>
      </c>
      <c r="F88" s="305">
        <v>7120</v>
      </c>
      <c r="G88" s="7" t="s">
        <v>1362</v>
      </c>
      <c r="H88">
        <v>433.68733368544019</v>
      </c>
      <c r="I88" s="325">
        <v>2192</v>
      </c>
      <c r="J88" s="328">
        <v>3.7710984528518073E-3</v>
      </c>
    </row>
    <row r="89" spans="1:10">
      <c r="A89" s="305">
        <v>7490</v>
      </c>
      <c r="B89" s="306" t="s">
        <v>740</v>
      </c>
      <c r="C89" s="310">
        <v>0.56800480769230766</v>
      </c>
      <c r="D89" s="313">
        <v>1.2377163461538463</v>
      </c>
      <c r="F89" s="305">
        <v>7130</v>
      </c>
      <c r="G89" s="7" t="s">
        <v>698</v>
      </c>
      <c r="H89">
        <v>0</v>
      </c>
      <c r="I89" s="325"/>
      <c r="J89" s="328">
        <v>0</v>
      </c>
    </row>
    <row r="90" spans="1:10">
      <c r="A90" s="305">
        <v>8200</v>
      </c>
      <c r="B90" s="306" t="s">
        <v>1366</v>
      </c>
      <c r="C90" s="317">
        <v>13.1235144230769</v>
      </c>
      <c r="D90" s="313">
        <v>13.154884615384615</v>
      </c>
      <c r="F90" s="305">
        <v>7140</v>
      </c>
      <c r="G90" s="7" t="s">
        <v>1363</v>
      </c>
      <c r="H90">
        <v>4564.9944571734313</v>
      </c>
      <c r="I90" s="325">
        <v>23073</v>
      </c>
      <c r="J90" s="328">
        <v>3.9694596077851162E-2</v>
      </c>
    </row>
    <row r="91" spans="1:10">
      <c r="A91" s="305">
        <v>8320</v>
      </c>
      <c r="B91" s="306" t="s">
        <v>135</v>
      </c>
      <c r="C91" s="317">
        <v>0</v>
      </c>
      <c r="D91" s="313">
        <v>76.414067307692306</v>
      </c>
      <c r="F91" s="305">
        <v>7150</v>
      </c>
      <c r="G91" s="7" t="s">
        <v>1364</v>
      </c>
      <c r="H91">
        <v>2329.2887680103499</v>
      </c>
      <c r="I91" s="325">
        <v>11773</v>
      </c>
      <c r="J91" s="328">
        <v>2.0254170659408908E-2</v>
      </c>
    </row>
    <row r="92" spans="1:10">
      <c r="A92" s="305">
        <v>8350</v>
      </c>
      <c r="B92" s="306" t="s">
        <v>625</v>
      </c>
      <c r="C92" s="317">
        <v>0</v>
      </c>
      <c r="D92" s="313">
        <v>2.8953317307692306</v>
      </c>
      <c r="F92" s="305">
        <v>7160</v>
      </c>
      <c r="G92" s="7" t="s">
        <v>703</v>
      </c>
      <c r="H92">
        <v>0</v>
      </c>
      <c r="I92" s="325"/>
      <c r="J92" s="328">
        <v>0</v>
      </c>
    </row>
    <row r="93" spans="1:10">
      <c r="A93" s="305">
        <v>8360</v>
      </c>
      <c r="B93" s="306" t="s">
        <v>629</v>
      </c>
      <c r="C93" s="317">
        <v>0</v>
      </c>
      <c r="D93" s="313">
        <v>0</v>
      </c>
      <c r="F93" s="305">
        <v>7170</v>
      </c>
      <c r="G93" s="7" t="s">
        <v>1412</v>
      </c>
      <c r="H93">
        <v>1098.4635386047282</v>
      </c>
      <c r="I93" s="325">
        <v>5552</v>
      </c>
      <c r="J93" s="328">
        <v>9.5516143294859645E-3</v>
      </c>
    </row>
    <row r="94" spans="1:10">
      <c r="A94" s="305">
        <v>8370</v>
      </c>
      <c r="B94" s="306" t="s">
        <v>631</v>
      </c>
      <c r="C94" s="317">
        <v>0</v>
      </c>
      <c r="D94" s="313">
        <v>15.772514423076924</v>
      </c>
      <c r="F94" s="305">
        <v>7180</v>
      </c>
      <c r="G94" s="7" t="s">
        <v>706</v>
      </c>
      <c r="H94">
        <v>1505.4411140568041</v>
      </c>
      <c r="I94" s="325">
        <v>7609</v>
      </c>
      <c r="J94" s="328">
        <v>1.3090459912294435E-2</v>
      </c>
    </row>
    <row r="95" spans="1:10">
      <c r="A95" s="305">
        <v>8430</v>
      </c>
      <c r="B95" s="306" t="s">
        <v>140</v>
      </c>
      <c r="C95" s="317">
        <v>0</v>
      </c>
      <c r="D95" s="313">
        <v>16.916639423076923</v>
      </c>
      <c r="F95" s="305">
        <v>7190</v>
      </c>
      <c r="G95" s="7" t="s">
        <v>1413</v>
      </c>
      <c r="H95">
        <v>160.25854940018547</v>
      </c>
      <c r="I95" s="325">
        <v>810</v>
      </c>
      <c r="J95" s="328">
        <v>1.39351722026002E-3</v>
      </c>
    </row>
    <row r="96" spans="1:10">
      <c r="A96" s="305">
        <v>8460</v>
      </c>
      <c r="B96" s="306" t="s">
        <v>141</v>
      </c>
      <c r="C96" s="317">
        <v>0</v>
      </c>
      <c r="D96" s="313">
        <v>74.515725961538465</v>
      </c>
      <c r="F96" s="305">
        <v>7200</v>
      </c>
      <c r="G96" s="7" t="s">
        <v>709</v>
      </c>
      <c r="H96">
        <v>4323.0238325852497</v>
      </c>
      <c r="I96" s="325">
        <v>21850</v>
      </c>
      <c r="J96" s="328">
        <v>3.7590557114421524E-2</v>
      </c>
    </row>
    <row r="97" spans="1:10">
      <c r="A97" s="305">
        <v>8490</v>
      </c>
      <c r="B97" s="306" t="s">
        <v>144</v>
      </c>
      <c r="C97" s="317">
        <v>0</v>
      </c>
      <c r="D97" s="313">
        <v>0.25144230769230769</v>
      </c>
      <c r="F97" s="305">
        <v>7220</v>
      </c>
      <c r="G97" s="7" t="s">
        <v>711</v>
      </c>
      <c r="H97">
        <v>0</v>
      </c>
      <c r="I97" s="325"/>
      <c r="J97" s="328">
        <v>0</v>
      </c>
    </row>
    <row r="98" spans="1:10">
      <c r="A98" s="305">
        <v>8530</v>
      </c>
      <c r="B98" s="306" t="s">
        <v>635</v>
      </c>
      <c r="C98" s="317">
        <v>0</v>
      </c>
      <c r="D98" s="313">
        <v>1.0025048076923078</v>
      </c>
      <c r="F98" s="305">
        <v>7230</v>
      </c>
      <c r="G98" s="7" t="s">
        <v>713</v>
      </c>
      <c r="H98">
        <v>5640.7052387645526</v>
      </c>
      <c r="I98" s="325">
        <v>28510</v>
      </c>
      <c r="J98" s="328">
        <v>4.90483653698928E-2</v>
      </c>
    </row>
    <row r="99" spans="1:10">
      <c r="A99" s="305">
        <v>8610</v>
      </c>
      <c r="B99" s="306" t="s">
        <v>608</v>
      </c>
      <c r="C99" s="317">
        <v>3.9426634615384613</v>
      </c>
      <c r="D99" s="313">
        <v>53.611427884615395</v>
      </c>
      <c r="F99" s="305">
        <v>7240</v>
      </c>
      <c r="G99" s="7" t="s">
        <v>1414</v>
      </c>
      <c r="H99">
        <v>0</v>
      </c>
      <c r="I99" s="325"/>
      <c r="J99" s="328">
        <v>0</v>
      </c>
    </row>
    <row r="100" spans="1:10">
      <c r="A100" s="305">
        <v>8710</v>
      </c>
      <c r="B100" s="306" t="s">
        <v>1398</v>
      </c>
      <c r="C100" s="317">
        <v>0</v>
      </c>
      <c r="D100" s="313">
        <v>0</v>
      </c>
      <c r="F100" s="305">
        <v>7250</v>
      </c>
      <c r="G100" s="7" t="s">
        <v>716</v>
      </c>
      <c r="H100">
        <v>0</v>
      </c>
      <c r="I100" s="325"/>
      <c r="J100" s="328">
        <v>0</v>
      </c>
    </row>
    <row r="101" spans="1:10">
      <c r="A101" s="305">
        <v>8720</v>
      </c>
      <c r="B101" s="306" t="s">
        <v>654</v>
      </c>
      <c r="C101" s="317">
        <v>12.92741826923077</v>
      </c>
      <c r="D101" s="313">
        <v>30.74129807692308</v>
      </c>
      <c r="F101" s="305">
        <v>7260</v>
      </c>
      <c r="G101" s="7" t="s">
        <v>1415</v>
      </c>
      <c r="H101">
        <v>0</v>
      </c>
      <c r="I101" s="325"/>
      <c r="J101" s="328">
        <v>0</v>
      </c>
    </row>
    <row r="102" spans="1:10">
      <c r="A102" s="305">
        <v>8740</v>
      </c>
      <c r="B102" s="306" t="s">
        <v>658</v>
      </c>
      <c r="C102" s="317">
        <f>6.07975961538462+0.01</f>
        <v>6.0897596153846196</v>
      </c>
      <c r="D102" s="313">
        <f>10.7906971153846+0.01</f>
        <v>10.800697115384599</v>
      </c>
      <c r="F102" s="305">
        <v>7310</v>
      </c>
      <c r="G102" s="7" t="s">
        <v>719</v>
      </c>
      <c r="H102">
        <v>926.13613548428179</v>
      </c>
      <c r="I102" s="325">
        <v>4681</v>
      </c>
      <c r="J102" s="328">
        <v>8.0531532197989555E-3</v>
      </c>
    </row>
    <row r="103" spans="1:10" ht="15.6" thickBot="1">
      <c r="A103" s="305">
        <v>8790</v>
      </c>
      <c r="B103" s="306" t="s">
        <v>1374</v>
      </c>
      <c r="C103" s="318">
        <v>0</v>
      </c>
      <c r="D103" s="315">
        <v>0</v>
      </c>
      <c r="F103" s="305">
        <v>7320</v>
      </c>
      <c r="G103" s="7" t="s">
        <v>721</v>
      </c>
      <c r="H103">
        <v>304.68909392134032</v>
      </c>
      <c r="I103" s="325">
        <v>1540</v>
      </c>
      <c r="J103" s="328">
        <v>2.6494031101239887E-3</v>
      </c>
    </row>
    <row r="104" spans="1:10" ht="15.6" thickBot="1">
      <c r="A104" s="308" t="s">
        <v>1358</v>
      </c>
      <c r="B104" s="308"/>
      <c r="C104" s="316">
        <f>SUM(C68:C103)</f>
        <v>559.06940865384615</v>
      </c>
      <c r="D104" s="316">
        <f>SUM(D68:D103)</f>
        <v>2050.1679230769228</v>
      </c>
      <c r="F104" s="305">
        <v>7330</v>
      </c>
      <c r="G104" s="7" t="s">
        <v>723</v>
      </c>
      <c r="H104">
        <v>0</v>
      </c>
      <c r="I104" s="325"/>
      <c r="J104" s="328">
        <v>0</v>
      </c>
    </row>
    <row r="105" spans="1:10">
      <c r="C105" s="319" t="s">
        <v>1399</v>
      </c>
      <c r="D105" t="s">
        <v>1403</v>
      </c>
      <c r="F105" s="305">
        <v>7340</v>
      </c>
      <c r="G105" s="7" t="s">
        <v>1416</v>
      </c>
      <c r="H105">
        <v>0</v>
      </c>
      <c r="I105" s="325"/>
      <c r="J105" s="328">
        <v>0</v>
      </c>
    </row>
    <row r="106" spans="1:10">
      <c r="C106" s="320" t="s">
        <v>1400</v>
      </c>
      <c r="F106" s="305">
        <v>7350</v>
      </c>
      <c r="G106" s="7" t="s">
        <v>727</v>
      </c>
      <c r="H106">
        <v>0</v>
      </c>
      <c r="I106" s="325"/>
      <c r="J106" s="328">
        <v>0</v>
      </c>
    </row>
    <row r="107" spans="1:10">
      <c r="C107" s="319" t="s">
        <v>1401</v>
      </c>
      <c r="F107" s="305">
        <v>7380</v>
      </c>
      <c r="G107" s="7" t="s">
        <v>1365</v>
      </c>
      <c r="H107">
        <v>12557.939071022929</v>
      </c>
      <c r="I107" s="325">
        <f>10823+15470+1518+33287+614+1760</f>
        <v>63472</v>
      </c>
      <c r="J107" s="328">
        <v>0.10919669753622714</v>
      </c>
    </row>
    <row r="108" spans="1:10">
      <c r="C108" s="319" t="s">
        <v>1402</v>
      </c>
      <c r="F108" s="305">
        <v>7390</v>
      </c>
      <c r="G108" s="7" t="s">
        <v>731</v>
      </c>
      <c r="H108">
        <v>0</v>
      </c>
      <c r="I108" s="325"/>
      <c r="J108" s="328">
        <v>0</v>
      </c>
    </row>
    <row r="109" spans="1:10">
      <c r="F109" s="305">
        <v>7400</v>
      </c>
      <c r="G109" s="7" t="s">
        <v>733</v>
      </c>
      <c r="H109">
        <v>0</v>
      </c>
      <c r="I109" s="325">
        <v>0</v>
      </c>
      <c r="J109" s="328">
        <v>0</v>
      </c>
    </row>
    <row r="110" spans="1:10">
      <c r="F110" s="305">
        <v>7410</v>
      </c>
      <c r="G110" s="7" t="s">
        <v>1417</v>
      </c>
      <c r="H110">
        <v>0</v>
      </c>
      <c r="I110" s="325"/>
      <c r="J110" s="328">
        <v>0</v>
      </c>
    </row>
    <row r="111" spans="1:10">
      <c r="F111" s="305">
        <v>7420</v>
      </c>
      <c r="G111" s="7" t="s">
        <v>1418</v>
      </c>
      <c r="H111">
        <v>0</v>
      </c>
      <c r="I111" s="325"/>
      <c r="J111" s="328">
        <v>0</v>
      </c>
    </row>
    <row r="112" spans="1:10">
      <c r="F112" s="305">
        <v>7430</v>
      </c>
      <c r="G112" s="7" t="s">
        <v>1419</v>
      </c>
      <c r="H112">
        <v>0</v>
      </c>
      <c r="I112" s="325"/>
      <c r="J112" s="328">
        <v>0</v>
      </c>
    </row>
    <row r="113" spans="6:10">
      <c r="F113" s="305">
        <v>7490</v>
      </c>
      <c r="G113" s="7" t="s">
        <v>740</v>
      </c>
      <c r="H113">
        <v>626.98684327060221</v>
      </c>
      <c r="I113" s="325">
        <f>2298+493+378</f>
        <v>3169</v>
      </c>
      <c r="J113" s="328">
        <v>5.4519210753135846E-3</v>
      </c>
    </row>
    <row r="114" spans="6:10">
      <c r="F114" s="305">
        <v>8200</v>
      </c>
      <c r="G114" s="7" t="s">
        <v>1366</v>
      </c>
      <c r="H114">
        <v>0</v>
      </c>
      <c r="I114" s="325"/>
      <c r="J114" s="328">
        <v>0</v>
      </c>
    </row>
    <row r="115" spans="6:10">
      <c r="F115" s="322">
        <v>8310</v>
      </c>
      <c r="G115" s="323" t="s">
        <v>603</v>
      </c>
      <c r="H115">
        <v>0</v>
      </c>
      <c r="I115" s="325"/>
      <c r="J115" s="328">
        <v>0</v>
      </c>
    </row>
    <row r="116" spans="6:10">
      <c r="F116" s="322">
        <v>8320</v>
      </c>
      <c r="G116" s="323" t="s">
        <v>1420</v>
      </c>
      <c r="H116">
        <v>814.94440120909132</v>
      </c>
      <c r="I116" s="325">
        <f>4119+15033</f>
        <v>19152</v>
      </c>
      <c r="J116" s="328">
        <v>7.0862931237666944E-3</v>
      </c>
    </row>
    <row r="117" spans="6:10">
      <c r="F117" s="322">
        <v>8330</v>
      </c>
      <c r="G117" s="323" t="s">
        <v>1421</v>
      </c>
      <c r="H117">
        <v>2974.2799668308498</v>
      </c>
      <c r="I117" s="325">
        <v>0</v>
      </c>
      <c r="J117" s="328">
        <v>2.5862647373048001E-2</v>
      </c>
    </row>
    <row r="118" spans="6:10">
      <c r="F118" s="305">
        <v>8350</v>
      </c>
      <c r="G118" s="7" t="s">
        <v>625</v>
      </c>
      <c r="H118">
        <v>735.60652675295012</v>
      </c>
      <c r="I118" s="325">
        <v>3718</v>
      </c>
      <c r="J118" s="328">
        <v>6.3964160801564867E-3</v>
      </c>
    </row>
    <row r="119" spans="6:10">
      <c r="F119" s="305">
        <v>8360</v>
      </c>
      <c r="G119" s="7" t="s">
        <v>629</v>
      </c>
      <c r="H119">
        <v>226.34046977013847</v>
      </c>
      <c r="I119" s="325">
        <v>1144</v>
      </c>
      <c r="J119" s="328">
        <v>1.9681280246635342E-3</v>
      </c>
    </row>
    <row r="120" spans="6:10">
      <c r="F120" s="305">
        <v>8370</v>
      </c>
      <c r="G120" s="7" t="s">
        <v>631</v>
      </c>
      <c r="H120">
        <v>0</v>
      </c>
      <c r="I120" s="325"/>
      <c r="J120" s="328">
        <v>0</v>
      </c>
    </row>
    <row r="121" spans="6:10">
      <c r="F121" s="322">
        <v>8420</v>
      </c>
      <c r="G121" s="323" t="s">
        <v>1422</v>
      </c>
      <c r="H121">
        <v>10409.683108816493</v>
      </c>
      <c r="I121" s="325">
        <v>52614</v>
      </c>
      <c r="J121" s="328">
        <v>9.0516685218223078E-2</v>
      </c>
    </row>
    <row r="122" spans="6:10">
      <c r="F122" s="322">
        <v>8430</v>
      </c>
      <c r="G122" s="323" t="s">
        <v>1423</v>
      </c>
      <c r="H122">
        <v>16094.904611303318</v>
      </c>
      <c r="I122" s="325">
        <v>81349</v>
      </c>
      <c r="J122" s="328">
        <v>0.13995213870485476</v>
      </c>
    </row>
    <row r="123" spans="6:10">
      <c r="F123" s="322">
        <v>8460</v>
      </c>
      <c r="G123" s="323" t="s">
        <v>1424</v>
      </c>
      <c r="H123">
        <v>2147.0688618405093</v>
      </c>
      <c r="I123" s="325">
        <v>10852</v>
      </c>
      <c r="J123" s="328">
        <v>1.8669689968224365E-2</v>
      </c>
    </row>
    <row r="124" spans="6:10">
      <c r="F124" s="322">
        <v>8470</v>
      </c>
      <c r="G124" s="323" t="s">
        <v>1425</v>
      </c>
      <c r="H124">
        <v>0</v>
      </c>
      <c r="I124" s="325"/>
      <c r="J124" s="328">
        <v>0</v>
      </c>
    </row>
    <row r="125" spans="6:10">
      <c r="F125" s="305">
        <v>8480</v>
      </c>
      <c r="G125" s="7" t="s">
        <v>637</v>
      </c>
      <c r="H125">
        <v>0</v>
      </c>
      <c r="I125" s="325"/>
      <c r="J125" s="328">
        <v>0</v>
      </c>
    </row>
    <row r="126" spans="6:10">
      <c r="F126" s="305">
        <v>8490</v>
      </c>
      <c r="G126" s="7" t="s">
        <v>633</v>
      </c>
      <c r="H126">
        <v>0</v>
      </c>
      <c r="I126" s="325"/>
      <c r="J126" s="328">
        <v>0</v>
      </c>
    </row>
    <row r="127" spans="6:10">
      <c r="F127" s="322">
        <v>8510</v>
      </c>
      <c r="G127" s="323" t="s">
        <v>1426</v>
      </c>
      <c r="H127">
        <v>0</v>
      </c>
      <c r="I127" s="325"/>
      <c r="J127" s="328">
        <v>0</v>
      </c>
    </row>
    <row r="128" spans="6:10">
      <c r="F128" s="305">
        <v>8530</v>
      </c>
      <c r="G128" s="7" t="s">
        <v>635</v>
      </c>
      <c r="H128">
        <v>0</v>
      </c>
      <c r="I128" s="325"/>
      <c r="J128" s="328">
        <v>0</v>
      </c>
    </row>
    <row r="129" spans="6:10">
      <c r="F129" s="305">
        <v>8560</v>
      </c>
      <c r="G129" s="7" t="s">
        <v>1427</v>
      </c>
      <c r="H129">
        <v>0</v>
      </c>
      <c r="I129" s="325"/>
      <c r="J129" s="328">
        <v>0</v>
      </c>
    </row>
    <row r="130" spans="6:10">
      <c r="F130" s="305">
        <v>8590</v>
      </c>
      <c r="G130" s="7" t="s">
        <v>1428</v>
      </c>
      <c r="H130">
        <v>0</v>
      </c>
      <c r="I130" s="325"/>
      <c r="J130" s="328">
        <v>0</v>
      </c>
    </row>
    <row r="131" spans="6:10">
      <c r="F131" s="322">
        <v>8610</v>
      </c>
      <c r="G131" s="323" t="s">
        <v>608</v>
      </c>
      <c r="H131">
        <v>2137.1763587911155</v>
      </c>
      <c r="I131" s="325">
        <v>10802</v>
      </c>
      <c r="J131" s="328">
        <v>1.8583670386726835E-2</v>
      </c>
    </row>
    <row r="132" spans="6:10">
      <c r="F132" s="322">
        <v>8620</v>
      </c>
      <c r="G132" s="323" t="s">
        <v>1369</v>
      </c>
      <c r="H132">
        <v>0</v>
      </c>
      <c r="I132" s="325"/>
      <c r="J132" s="328">
        <v>0</v>
      </c>
    </row>
    <row r="133" spans="6:10">
      <c r="F133" s="322">
        <v>8630</v>
      </c>
      <c r="G133" s="323" t="s">
        <v>612</v>
      </c>
      <c r="H133">
        <v>0</v>
      </c>
      <c r="I133" s="325"/>
      <c r="J133" s="328">
        <v>0</v>
      </c>
    </row>
    <row r="134" spans="6:10">
      <c r="F134" s="322">
        <v>8640</v>
      </c>
      <c r="G134" s="323" t="s">
        <v>616</v>
      </c>
      <c r="H134">
        <v>0</v>
      </c>
      <c r="I134" s="325"/>
      <c r="J134" s="328">
        <v>0</v>
      </c>
    </row>
    <row r="135" spans="6:10">
      <c r="F135" s="322">
        <v>8650</v>
      </c>
      <c r="G135" s="323" t="s">
        <v>1429</v>
      </c>
      <c r="H135">
        <v>787.83894285375129</v>
      </c>
      <c r="I135" s="337">
        <v>3982</v>
      </c>
      <c r="J135" s="328">
        <v>6.8505994704634561E-3</v>
      </c>
    </row>
    <row r="136" spans="6:10">
      <c r="F136" s="305">
        <v>8660</v>
      </c>
      <c r="G136" s="7" t="s">
        <v>642</v>
      </c>
      <c r="H136">
        <v>841.06060925949191</v>
      </c>
      <c r="I136" s="325">
        <f>2398+1853</f>
        <v>4251</v>
      </c>
      <c r="J136" s="328">
        <v>7.3133848189201791E-3</v>
      </c>
    </row>
    <row r="137" spans="6:10">
      <c r="F137" s="305">
        <v>8670</v>
      </c>
      <c r="G137" s="7" t="s">
        <v>644</v>
      </c>
      <c r="H137">
        <v>0</v>
      </c>
      <c r="I137" s="325"/>
      <c r="J137" s="328">
        <v>0</v>
      </c>
    </row>
    <row r="138" spans="6:10">
      <c r="F138" s="305">
        <v>8680</v>
      </c>
      <c r="G138" s="7" t="s">
        <v>646</v>
      </c>
      <c r="H138">
        <v>531.82096393543031</v>
      </c>
      <c r="I138" s="325">
        <v>2688</v>
      </c>
      <c r="J138" s="328">
        <v>4.6244127013073252E-3</v>
      </c>
    </row>
    <row r="139" spans="6:10">
      <c r="F139" s="305">
        <v>8690</v>
      </c>
      <c r="G139" s="7" t="s">
        <v>648</v>
      </c>
      <c r="H139">
        <v>1490.8002095437007</v>
      </c>
      <c r="I139" s="325">
        <v>7535</v>
      </c>
      <c r="J139" s="328">
        <v>1.2963150931678087E-2</v>
      </c>
    </row>
    <row r="140" spans="6:10">
      <c r="F140" s="305">
        <v>8700</v>
      </c>
      <c r="G140" s="7" t="s">
        <v>650</v>
      </c>
      <c r="H140">
        <v>0</v>
      </c>
      <c r="I140" s="325"/>
      <c r="J140" s="328">
        <v>0</v>
      </c>
    </row>
    <row r="141" spans="6:10">
      <c r="F141" s="305">
        <v>8710</v>
      </c>
      <c r="G141" s="7" t="s">
        <v>1398</v>
      </c>
      <c r="H141">
        <v>0</v>
      </c>
      <c r="I141" s="325"/>
      <c r="J141" s="328">
        <v>0</v>
      </c>
    </row>
    <row r="142" spans="6:10">
      <c r="F142" s="305">
        <v>8720</v>
      </c>
      <c r="G142" s="7" t="s">
        <v>654</v>
      </c>
      <c r="H142">
        <v>521.7306108250483</v>
      </c>
      <c r="I142" s="325">
        <v>2637</v>
      </c>
      <c r="J142" s="328">
        <v>4.5366727281798431E-3</v>
      </c>
    </row>
    <row r="143" spans="6:10">
      <c r="F143" s="305">
        <v>8730</v>
      </c>
      <c r="G143" s="7" t="s">
        <v>656</v>
      </c>
      <c r="H143">
        <v>0</v>
      </c>
      <c r="I143" s="325"/>
      <c r="J143" s="328">
        <v>0</v>
      </c>
    </row>
    <row r="144" spans="6:10">
      <c r="F144" s="324">
        <v>8740</v>
      </c>
      <c r="G144" s="119" t="s">
        <v>658</v>
      </c>
      <c r="H144" s="329">
        <v>366.61616301054772</v>
      </c>
      <c r="I144" s="330">
        <v>1853</v>
      </c>
      <c r="J144" s="331">
        <v>3.1878856902985394E-3</v>
      </c>
    </row>
    <row r="145" spans="6:10">
      <c r="G145" s="332" t="s">
        <v>203</v>
      </c>
      <c r="H145">
        <f>SUM(H68:H144)</f>
        <v>115002.92</v>
      </c>
      <c r="I145" s="338">
        <f>SUM(I68:I144)</f>
        <v>581263</v>
      </c>
      <c r="J145" s="327">
        <f>SUM(J68:J144)</f>
        <v>0.99999999999999989</v>
      </c>
    </row>
    <row r="146" spans="6:10">
      <c r="H146" s="333" t="s">
        <v>1430</v>
      </c>
      <c r="I146">
        <f>-I135</f>
        <v>-3982</v>
      </c>
    </row>
    <row r="147" spans="6:10">
      <c r="H147" s="333" t="s">
        <v>1438</v>
      </c>
      <c r="I147" s="334">
        <f>+I145+I146</f>
        <v>577281</v>
      </c>
    </row>
    <row r="148" spans="6:10">
      <c r="I148" t="s">
        <v>1446</v>
      </c>
    </row>
    <row r="149" spans="6:10" ht="15.6" thickBot="1">
      <c r="G149" t="s">
        <v>1437</v>
      </c>
    </row>
    <row r="150" spans="6:10">
      <c r="F150" s="299"/>
      <c r="G150" s="299"/>
      <c r="H150" s="299"/>
      <c r="I150" s="300"/>
      <c r="J150" s="300"/>
    </row>
    <row r="151" spans="6:10">
      <c r="F151" s="301" t="s">
        <v>1375</v>
      </c>
      <c r="G151" s="302" t="s">
        <v>212</v>
      </c>
      <c r="H151" s="301" t="s">
        <v>1188</v>
      </c>
      <c r="I151" s="302" t="s">
        <v>1404</v>
      </c>
      <c r="J151" s="302" t="s">
        <v>1405</v>
      </c>
    </row>
    <row r="152" spans="6:10">
      <c r="F152" s="305">
        <v>6010</v>
      </c>
      <c r="G152" s="7" t="s">
        <v>283</v>
      </c>
      <c r="H152">
        <v>2514.2745955400092</v>
      </c>
      <c r="I152" s="325">
        <v>8800</v>
      </c>
      <c r="J152" s="328">
        <v>1.5139446343565649E-2</v>
      </c>
    </row>
    <row r="153" spans="6:10">
      <c r="F153" s="305">
        <v>6030</v>
      </c>
      <c r="G153" s="7" t="s">
        <v>284</v>
      </c>
      <c r="H153">
        <v>0</v>
      </c>
      <c r="I153" s="325"/>
      <c r="J153" s="328">
        <v>0</v>
      </c>
    </row>
    <row r="154" spans="6:10">
      <c r="F154" s="305">
        <v>6070</v>
      </c>
      <c r="G154" s="7" t="s">
        <v>665</v>
      </c>
      <c r="H154">
        <v>25797.028776284933</v>
      </c>
      <c r="I154" s="325">
        <v>90290</v>
      </c>
      <c r="J154" s="328">
        <v>0.15533416026824345</v>
      </c>
    </row>
    <row r="155" spans="6:10">
      <c r="F155" s="305">
        <v>6100</v>
      </c>
      <c r="G155" s="7" t="s">
        <v>1406</v>
      </c>
      <c r="H155">
        <v>0</v>
      </c>
      <c r="I155" s="325"/>
      <c r="J155" s="328">
        <v>0</v>
      </c>
    </row>
    <row r="156" spans="6:10">
      <c r="F156" s="305">
        <v>6120</v>
      </c>
      <c r="G156" s="7" t="s">
        <v>1360</v>
      </c>
      <c r="H156">
        <v>0</v>
      </c>
      <c r="I156" s="325"/>
      <c r="J156" s="328">
        <v>0</v>
      </c>
    </row>
    <row r="157" spans="6:10">
      <c r="F157" s="305">
        <v>6140</v>
      </c>
      <c r="G157" s="7" t="s">
        <v>671</v>
      </c>
      <c r="H157">
        <v>0</v>
      </c>
      <c r="I157" s="325"/>
      <c r="J157" s="328">
        <v>0</v>
      </c>
    </row>
    <row r="158" spans="6:10">
      <c r="F158" s="305">
        <v>6150</v>
      </c>
      <c r="G158" s="7" t="s">
        <v>1045</v>
      </c>
      <c r="H158">
        <v>0</v>
      </c>
      <c r="I158" s="325"/>
      <c r="J158" s="328">
        <v>0</v>
      </c>
    </row>
    <row r="159" spans="6:10">
      <c r="F159" s="305">
        <v>6170</v>
      </c>
      <c r="G159" s="321" t="s">
        <v>1407</v>
      </c>
      <c r="H159">
        <v>4583.1225894383279</v>
      </c>
      <c r="I159" s="326">
        <f>1241+14800</f>
        <v>16041</v>
      </c>
      <c r="J159" s="328">
        <v>2.7596802136038247E-2</v>
      </c>
    </row>
    <row r="160" spans="6:10">
      <c r="F160" s="305">
        <v>6200</v>
      </c>
      <c r="G160" s="7" t="s">
        <v>288</v>
      </c>
      <c r="H160">
        <v>0</v>
      </c>
      <c r="I160" s="325"/>
      <c r="J160" s="328">
        <v>0</v>
      </c>
    </row>
    <row r="161" spans="6:10">
      <c r="F161" s="305">
        <v>6210</v>
      </c>
      <c r="G161" s="7" t="s">
        <v>289</v>
      </c>
      <c r="H161">
        <v>0</v>
      </c>
      <c r="I161" s="325"/>
      <c r="J161" s="328">
        <v>0</v>
      </c>
    </row>
    <row r="162" spans="6:10">
      <c r="F162" s="305">
        <v>6330</v>
      </c>
      <c r="G162" s="7" t="s">
        <v>1408</v>
      </c>
      <c r="H162">
        <v>0</v>
      </c>
      <c r="I162" s="325"/>
      <c r="J162" s="328">
        <v>0</v>
      </c>
    </row>
    <row r="163" spans="6:10">
      <c r="F163" s="305">
        <v>6400</v>
      </c>
      <c r="G163" s="7" t="s">
        <v>680</v>
      </c>
      <c r="H163">
        <v>0</v>
      </c>
      <c r="I163" s="325"/>
      <c r="J163" s="328">
        <v>0</v>
      </c>
    </row>
    <row r="164" spans="6:10">
      <c r="F164" s="305">
        <v>7010</v>
      </c>
      <c r="G164" s="321" t="s">
        <v>1409</v>
      </c>
      <c r="H164">
        <v>0</v>
      </c>
      <c r="I164" s="326">
        <f>14800-14800</f>
        <v>0</v>
      </c>
      <c r="J164" s="328">
        <v>0</v>
      </c>
    </row>
    <row r="165" spans="6:10">
      <c r="F165" s="305">
        <v>7020</v>
      </c>
      <c r="G165" s="7" t="s">
        <v>684</v>
      </c>
      <c r="H165">
        <v>16796.497150296142</v>
      </c>
      <c r="I165" s="325">
        <v>58788</v>
      </c>
      <c r="J165" s="328">
        <v>0.10113838314153833</v>
      </c>
    </row>
    <row r="166" spans="6:10">
      <c r="F166" s="305">
        <v>7030</v>
      </c>
      <c r="G166" s="7" t="s">
        <v>686</v>
      </c>
      <c r="H166">
        <v>2464.8462426958704</v>
      </c>
      <c r="I166" s="325">
        <v>8627</v>
      </c>
      <c r="J166" s="328">
        <v>1.4841818591584188E-2</v>
      </c>
    </row>
    <row r="167" spans="6:10">
      <c r="F167" s="305">
        <v>7040</v>
      </c>
      <c r="G167" s="7" t="s">
        <v>1410</v>
      </c>
      <c r="H167">
        <v>33.142710577572842</v>
      </c>
      <c r="I167" s="325">
        <v>116</v>
      </c>
      <c r="J167" s="328">
        <v>1.9956542907427447E-4</v>
      </c>
    </row>
    <row r="168" spans="6:10">
      <c r="F168" s="305">
        <v>7050</v>
      </c>
      <c r="G168" s="7" t="s">
        <v>689</v>
      </c>
      <c r="H168">
        <v>2405.4179340740156</v>
      </c>
      <c r="I168" s="325">
        <v>8419</v>
      </c>
      <c r="J168" s="328">
        <v>1.4483977132554454E-2</v>
      </c>
    </row>
    <row r="169" spans="6:10">
      <c r="F169" s="305">
        <v>7060</v>
      </c>
      <c r="G169" s="7" t="s">
        <v>691</v>
      </c>
      <c r="H169">
        <v>0</v>
      </c>
      <c r="I169" s="325"/>
      <c r="J169" s="328">
        <v>0</v>
      </c>
    </row>
    <row r="170" spans="6:10">
      <c r="F170" s="305">
        <v>7070</v>
      </c>
      <c r="G170" s="7" t="s">
        <v>1411</v>
      </c>
      <c r="H170">
        <v>3821.1259591763728</v>
      </c>
      <c r="I170" s="325">
        <f>12266+1108</f>
        <v>13374</v>
      </c>
      <c r="J170" s="328">
        <v>2.3008517658959886E-2</v>
      </c>
    </row>
    <row r="171" spans="6:10">
      <c r="F171" s="305">
        <v>7110</v>
      </c>
      <c r="G171" s="7" t="s">
        <v>1361</v>
      </c>
      <c r="H171">
        <v>0</v>
      </c>
      <c r="I171" s="325"/>
      <c r="J171" s="328">
        <v>0</v>
      </c>
    </row>
    <row r="172" spans="6:10">
      <c r="F172" s="305">
        <v>7120</v>
      </c>
      <c r="G172" s="7" t="s">
        <v>1362</v>
      </c>
      <c r="H172">
        <v>626.28294470723858</v>
      </c>
      <c r="I172" s="325">
        <v>2192</v>
      </c>
      <c r="J172" s="328">
        <v>3.7710984528518073E-3</v>
      </c>
    </row>
    <row r="173" spans="6:10">
      <c r="F173" s="305">
        <v>7130</v>
      </c>
      <c r="G173" s="7" t="s">
        <v>698</v>
      </c>
      <c r="H173">
        <v>0</v>
      </c>
      <c r="I173" s="325"/>
      <c r="J173" s="328">
        <v>0</v>
      </c>
    </row>
    <row r="174" spans="6:10">
      <c r="F174" s="305">
        <v>7140</v>
      </c>
      <c r="G174" s="7" t="s">
        <v>1363</v>
      </c>
      <c r="H174">
        <v>6592.2565616925713</v>
      </c>
      <c r="I174" s="325">
        <v>23073</v>
      </c>
      <c r="J174" s="328">
        <v>3.9694596077851162E-2</v>
      </c>
    </row>
    <row r="175" spans="6:10">
      <c r="F175" s="305">
        <v>7150</v>
      </c>
      <c r="G175" s="7" t="s">
        <v>1364</v>
      </c>
      <c r="H175">
        <v>3363.6994106014236</v>
      </c>
      <c r="I175" s="325">
        <v>11773</v>
      </c>
      <c r="J175" s="328">
        <v>2.0254170659408908E-2</v>
      </c>
    </row>
    <row r="176" spans="6:10">
      <c r="F176" s="305">
        <v>7160</v>
      </c>
      <c r="G176" s="7" t="s">
        <v>703</v>
      </c>
      <c r="H176">
        <v>0</v>
      </c>
      <c r="I176" s="325"/>
      <c r="J176" s="328">
        <v>0</v>
      </c>
    </row>
    <row r="177" spans="6:10">
      <c r="F177" s="305">
        <v>7170</v>
      </c>
      <c r="G177" s="7" t="s">
        <v>1412</v>
      </c>
      <c r="H177">
        <v>1586.2786993679692</v>
      </c>
      <c r="I177" s="325">
        <v>5552</v>
      </c>
      <c r="J177" s="328">
        <v>9.5516143294859645E-3</v>
      </c>
    </row>
    <row r="178" spans="6:10">
      <c r="F178" s="305">
        <v>7180</v>
      </c>
      <c r="G178" s="7" t="s">
        <v>706</v>
      </c>
      <c r="H178">
        <v>2173.9903860754462</v>
      </c>
      <c r="I178" s="325">
        <v>7609</v>
      </c>
      <c r="J178" s="328">
        <v>1.3090459912294435E-2</v>
      </c>
    </row>
    <row r="179" spans="6:10">
      <c r="F179" s="305">
        <v>7190</v>
      </c>
      <c r="G179" s="7" t="s">
        <v>1413</v>
      </c>
      <c r="H179">
        <v>231.42754799856903</v>
      </c>
      <c r="I179" s="325">
        <v>810</v>
      </c>
      <c r="J179" s="328">
        <v>1.39351722026002E-3</v>
      </c>
    </row>
    <row r="180" spans="6:10">
      <c r="F180" s="305">
        <v>7200</v>
      </c>
      <c r="G180" s="7" t="s">
        <v>709</v>
      </c>
      <c r="H180">
        <v>6242.8295355169548</v>
      </c>
      <c r="I180" s="325">
        <v>21850</v>
      </c>
      <c r="J180" s="328">
        <v>3.7590557114421524E-2</v>
      </c>
    </row>
    <row r="181" spans="6:10">
      <c r="F181" s="305">
        <v>7220</v>
      </c>
      <c r="G181" s="7" t="s">
        <v>711</v>
      </c>
      <c r="H181">
        <v>0</v>
      </c>
      <c r="I181" s="325"/>
      <c r="J181" s="328">
        <v>0</v>
      </c>
    </row>
    <row r="182" spans="6:10">
      <c r="F182" s="305">
        <v>7230</v>
      </c>
      <c r="G182" s="7" t="s">
        <v>713</v>
      </c>
      <c r="H182">
        <v>8145.6782635051877</v>
      </c>
      <c r="I182" s="325">
        <v>28510</v>
      </c>
      <c r="J182" s="328">
        <v>4.90483653698928E-2</v>
      </c>
    </row>
    <row r="183" spans="6:10">
      <c r="F183" s="305">
        <v>7240</v>
      </c>
      <c r="G183" s="7" t="s">
        <v>1414</v>
      </c>
      <c r="H183">
        <v>0</v>
      </c>
      <c r="I183" s="325"/>
      <c r="J183" s="328">
        <v>0</v>
      </c>
    </row>
    <row r="184" spans="6:10">
      <c r="F184" s="305">
        <v>7250</v>
      </c>
      <c r="G184" s="7" t="s">
        <v>716</v>
      </c>
      <c r="H184">
        <v>0</v>
      </c>
      <c r="I184" s="325"/>
      <c r="J184" s="328">
        <v>0</v>
      </c>
    </row>
    <row r="185" spans="6:10">
      <c r="F185" s="305">
        <v>7260</v>
      </c>
      <c r="G185" s="7" t="s">
        <v>1415</v>
      </c>
      <c r="H185">
        <v>0</v>
      </c>
      <c r="I185" s="325"/>
      <c r="J185" s="328">
        <v>0</v>
      </c>
    </row>
    <row r="186" spans="6:10">
      <c r="F186" s="305">
        <v>7310</v>
      </c>
      <c r="G186" s="7" t="s">
        <v>719</v>
      </c>
      <c r="H186">
        <v>1337.4226570139526</v>
      </c>
      <c r="I186" s="325">
        <v>4681</v>
      </c>
      <c r="J186" s="328">
        <v>8.0531532197989555E-3</v>
      </c>
    </row>
    <row r="187" spans="6:10">
      <c r="F187" s="305">
        <v>7320</v>
      </c>
      <c r="G187" s="7" t="s">
        <v>721</v>
      </c>
      <c r="H187">
        <v>439.99805421950163</v>
      </c>
      <c r="I187" s="325">
        <v>1540</v>
      </c>
      <c r="J187" s="328">
        <v>2.6494031101239887E-3</v>
      </c>
    </row>
    <row r="188" spans="6:10">
      <c r="F188" s="305">
        <v>7330</v>
      </c>
      <c r="G188" s="7" t="s">
        <v>723</v>
      </c>
      <c r="H188">
        <v>0</v>
      </c>
      <c r="I188" s="325"/>
      <c r="J188" s="328">
        <v>0</v>
      </c>
    </row>
    <row r="189" spans="6:10">
      <c r="F189" s="305">
        <v>7340</v>
      </c>
      <c r="G189" s="7" t="s">
        <v>1416</v>
      </c>
      <c r="H189">
        <v>0</v>
      </c>
      <c r="I189" s="325"/>
      <c r="J189" s="328">
        <v>0</v>
      </c>
    </row>
    <row r="190" spans="6:10">
      <c r="F190" s="305">
        <v>7350</v>
      </c>
      <c r="G190" s="7" t="s">
        <v>727</v>
      </c>
      <c r="H190">
        <v>0</v>
      </c>
      <c r="I190" s="325"/>
      <c r="J190" s="328">
        <v>0</v>
      </c>
    </row>
    <row r="191" spans="6:10">
      <c r="F191" s="305">
        <v>7380</v>
      </c>
      <c r="G191" s="7" t="s">
        <v>1365</v>
      </c>
      <c r="H191">
        <v>18134.776946376758</v>
      </c>
      <c r="I191" s="325">
        <f>10823+15470+1518+33287+614+1760</f>
        <v>63472</v>
      </c>
      <c r="J191" s="328">
        <v>0.10919669753622714</v>
      </c>
    </row>
    <row r="192" spans="6:10">
      <c r="F192" s="305">
        <v>7390</v>
      </c>
      <c r="G192" s="7" t="s">
        <v>731</v>
      </c>
      <c r="H192">
        <v>0</v>
      </c>
      <c r="I192" s="325"/>
      <c r="J192" s="328">
        <v>0</v>
      </c>
    </row>
    <row r="193" spans="6:10">
      <c r="F193" s="305">
        <v>7400</v>
      </c>
      <c r="G193" s="7" t="s">
        <v>733</v>
      </c>
      <c r="H193">
        <v>0</v>
      </c>
      <c r="I193" s="325">
        <v>0</v>
      </c>
      <c r="J193" s="328">
        <v>0</v>
      </c>
    </row>
    <row r="194" spans="6:10">
      <c r="F194" s="305">
        <v>7410</v>
      </c>
      <c r="G194" s="7" t="s">
        <v>1417</v>
      </c>
      <c r="H194">
        <v>0</v>
      </c>
      <c r="I194" s="325"/>
      <c r="J194" s="328">
        <v>0</v>
      </c>
    </row>
    <row r="195" spans="6:10">
      <c r="F195" s="305">
        <v>7420</v>
      </c>
      <c r="G195" s="7" t="s">
        <v>1418</v>
      </c>
      <c r="H195">
        <v>0</v>
      </c>
      <c r="I195" s="325"/>
      <c r="J195" s="328">
        <v>0</v>
      </c>
    </row>
    <row r="196" spans="6:10">
      <c r="F196" s="305">
        <v>7430</v>
      </c>
      <c r="G196" s="7" t="s">
        <v>1419</v>
      </c>
      <c r="H196">
        <v>0</v>
      </c>
      <c r="I196" s="325"/>
      <c r="J196" s="328">
        <v>0</v>
      </c>
    </row>
    <row r="197" spans="6:10">
      <c r="F197" s="305">
        <v>7490</v>
      </c>
      <c r="G197" s="7" t="s">
        <v>740</v>
      </c>
      <c r="H197">
        <v>905.42456741662374</v>
      </c>
      <c r="I197" s="325">
        <f>2298+493+378</f>
        <v>3169</v>
      </c>
      <c r="J197" s="328">
        <v>5.4519210753135846E-3</v>
      </c>
    </row>
    <row r="198" spans="6:10">
      <c r="F198" s="305">
        <v>8200</v>
      </c>
      <c r="G198" s="7" t="s">
        <v>1366</v>
      </c>
      <c r="H198">
        <v>0</v>
      </c>
      <c r="I198" s="325"/>
      <c r="J198" s="328">
        <v>0</v>
      </c>
    </row>
    <row r="199" spans="6:10">
      <c r="F199" s="322">
        <v>8310</v>
      </c>
      <c r="G199" s="323" t="s">
        <v>603</v>
      </c>
      <c r="H199">
        <v>0</v>
      </c>
      <c r="I199" s="325"/>
      <c r="J199" s="328">
        <v>0</v>
      </c>
    </row>
    <row r="200" spans="6:10">
      <c r="F200" s="322">
        <v>8320</v>
      </c>
      <c r="G200" s="323" t="s">
        <v>1420</v>
      </c>
      <c r="H200">
        <v>0</v>
      </c>
      <c r="I200" s="325">
        <v>0</v>
      </c>
      <c r="J200" s="328">
        <v>7.0862931237666944E-3</v>
      </c>
    </row>
    <row r="201" spans="6:10">
      <c r="F201" s="322">
        <v>8330</v>
      </c>
      <c r="G201" s="323" t="s">
        <v>1421</v>
      </c>
      <c r="H201">
        <v>0</v>
      </c>
      <c r="I201" s="325">
        <v>0</v>
      </c>
      <c r="J201" s="328">
        <v>2.5862647373048001E-2</v>
      </c>
    </row>
    <row r="202" spans="6:10">
      <c r="F202" s="305">
        <v>8350</v>
      </c>
      <c r="G202" s="7" t="s">
        <v>625</v>
      </c>
      <c r="H202">
        <v>1062.2810166156537</v>
      </c>
      <c r="I202" s="325">
        <v>3718</v>
      </c>
      <c r="J202" s="328">
        <v>6.3964160801564867E-3</v>
      </c>
    </row>
    <row r="203" spans="6:10">
      <c r="F203" s="305">
        <v>8360</v>
      </c>
      <c r="G203" s="7" t="s">
        <v>629</v>
      </c>
      <c r="H203">
        <v>326.85569742020118</v>
      </c>
      <c r="I203" s="325">
        <v>1144</v>
      </c>
      <c r="J203" s="328">
        <v>1.9681280246635342E-3</v>
      </c>
    </row>
    <row r="204" spans="6:10">
      <c r="F204" s="305">
        <v>8370</v>
      </c>
      <c r="G204" s="7" t="s">
        <v>631</v>
      </c>
      <c r="H204">
        <v>0</v>
      </c>
      <c r="I204" s="325"/>
      <c r="J204" s="328">
        <v>0</v>
      </c>
    </row>
    <row r="205" spans="6:10">
      <c r="F205" s="322">
        <v>8420</v>
      </c>
      <c r="G205" s="323" t="s">
        <v>1422</v>
      </c>
      <c r="H205">
        <v>0</v>
      </c>
      <c r="I205" s="325">
        <v>0</v>
      </c>
      <c r="J205" s="328">
        <v>9.0516685218223078E-2</v>
      </c>
    </row>
    <row r="206" spans="6:10">
      <c r="F206" s="322">
        <v>8430</v>
      </c>
      <c r="G206" s="323" t="s">
        <v>1423</v>
      </c>
      <c r="H206">
        <v>0</v>
      </c>
      <c r="I206" s="325">
        <v>0</v>
      </c>
      <c r="J206" s="328">
        <v>0.13995213870485476</v>
      </c>
    </row>
    <row r="207" spans="6:10">
      <c r="F207" s="322">
        <v>8460</v>
      </c>
      <c r="G207" s="323" t="s">
        <v>1424</v>
      </c>
      <c r="H207">
        <v>0</v>
      </c>
      <c r="I207" s="325">
        <v>0</v>
      </c>
      <c r="J207" s="328">
        <v>1.8669689968224365E-2</v>
      </c>
    </row>
    <row r="208" spans="6:10">
      <c r="F208" s="322">
        <v>8470</v>
      </c>
      <c r="G208" s="323" t="s">
        <v>1425</v>
      </c>
      <c r="H208">
        <v>0</v>
      </c>
      <c r="I208" s="325"/>
      <c r="J208" s="328">
        <v>0</v>
      </c>
    </row>
    <row r="209" spans="6:10">
      <c r="F209" s="305">
        <v>8480</v>
      </c>
      <c r="G209" s="7" t="s">
        <v>637</v>
      </c>
      <c r="H209">
        <v>0</v>
      </c>
      <c r="I209" s="325"/>
      <c r="J209" s="328">
        <v>0</v>
      </c>
    </row>
    <row r="210" spans="6:10">
      <c r="F210" s="305">
        <v>8490</v>
      </c>
      <c r="G210" s="7" t="s">
        <v>633</v>
      </c>
      <c r="H210">
        <v>0</v>
      </c>
      <c r="I210" s="325"/>
      <c r="J210" s="328">
        <v>0</v>
      </c>
    </row>
    <row r="211" spans="6:10">
      <c r="F211" s="322">
        <v>8510</v>
      </c>
      <c r="G211" s="323" t="s">
        <v>1426</v>
      </c>
      <c r="H211">
        <v>0</v>
      </c>
      <c r="I211" s="325"/>
      <c r="J211" s="328">
        <v>0</v>
      </c>
    </row>
    <row r="212" spans="6:10">
      <c r="F212" s="305">
        <v>8530</v>
      </c>
      <c r="G212" s="7" t="s">
        <v>635</v>
      </c>
      <c r="H212">
        <v>0</v>
      </c>
      <c r="I212" s="325"/>
      <c r="J212" s="328">
        <v>0</v>
      </c>
    </row>
    <row r="213" spans="6:10">
      <c r="F213" s="305">
        <v>8560</v>
      </c>
      <c r="G213" s="7" t="s">
        <v>1427</v>
      </c>
      <c r="H213">
        <v>0</v>
      </c>
      <c r="I213" s="325"/>
      <c r="J213" s="328">
        <v>0</v>
      </c>
    </row>
    <row r="214" spans="6:10">
      <c r="F214" s="305">
        <v>8590</v>
      </c>
      <c r="G214" s="7" t="s">
        <v>1428</v>
      </c>
      <c r="H214">
        <v>0</v>
      </c>
      <c r="I214" s="325"/>
      <c r="J214" s="328">
        <v>0</v>
      </c>
    </row>
    <row r="215" spans="6:10">
      <c r="F215" s="322">
        <v>8610</v>
      </c>
      <c r="G215" s="323" t="s">
        <v>608</v>
      </c>
      <c r="H215">
        <v>0</v>
      </c>
      <c r="I215" s="325">
        <v>0</v>
      </c>
      <c r="J215" s="328">
        <v>1.8583670386726835E-2</v>
      </c>
    </row>
    <row r="216" spans="6:10">
      <c r="F216" s="322">
        <v>8620</v>
      </c>
      <c r="G216" s="323" t="s">
        <v>1369</v>
      </c>
      <c r="H216">
        <v>0</v>
      </c>
      <c r="I216" s="325"/>
      <c r="J216" s="328">
        <v>0</v>
      </c>
    </row>
    <row r="217" spans="6:10">
      <c r="F217" s="322">
        <v>8630</v>
      </c>
      <c r="G217" s="323" t="s">
        <v>612</v>
      </c>
      <c r="H217">
        <v>0</v>
      </c>
      <c r="I217" s="325"/>
      <c r="J217" s="328">
        <v>0</v>
      </c>
    </row>
    <row r="218" spans="6:10">
      <c r="F218" s="322">
        <v>8640</v>
      </c>
      <c r="G218" s="323" t="s">
        <v>616</v>
      </c>
      <c r="H218">
        <v>0</v>
      </c>
      <c r="I218" s="325"/>
      <c r="J218" s="328">
        <v>0</v>
      </c>
    </row>
    <row r="219" spans="6:10">
      <c r="F219" s="322">
        <v>8650</v>
      </c>
      <c r="G219" s="323" t="s">
        <v>1429</v>
      </c>
      <c r="H219">
        <v>0</v>
      </c>
      <c r="I219" s="325">
        <v>0</v>
      </c>
      <c r="J219" s="328">
        <v>6.8505994704634561E-3</v>
      </c>
    </row>
    <row r="220" spans="6:10">
      <c r="F220" s="305">
        <v>8660</v>
      </c>
      <c r="G220" s="7" t="s">
        <v>642</v>
      </c>
      <c r="H220">
        <v>1214.5660574591566</v>
      </c>
      <c r="I220" s="325">
        <f>2398+1853</f>
        <v>4251</v>
      </c>
      <c r="J220" s="328">
        <v>7.3133848189201791E-3</v>
      </c>
    </row>
    <row r="221" spans="6:10">
      <c r="F221" s="305">
        <v>8670</v>
      </c>
      <c r="G221" s="7" t="s">
        <v>644</v>
      </c>
      <c r="H221">
        <v>0</v>
      </c>
      <c r="I221" s="325"/>
      <c r="J221" s="328">
        <v>0</v>
      </c>
    </row>
    <row r="222" spans="6:10">
      <c r="F222" s="305">
        <v>8680</v>
      </c>
      <c r="G222" s="7" t="s">
        <v>646</v>
      </c>
      <c r="H222">
        <v>767.99660372858466</v>
      </c>
      <c r="I222" s="325">
        <v>2688</v>
      </c>
      <c r="J222" s="328">
        <v>4.6244127013073252E-3</v>
      </c>
    </row>
    <row r="223" spans="6:10">
      <c r="F223" s="305">
        <v>8690</v>
      </c>
      <c r="G223" s="7" t="s">
        <v>648</v>
      </c>
      <c r="H223">
        <v>2152.8476224311325</v>
      </c>
      <c r="I223" s="325">
        <v>7535</v>
      </c>
      <c r="J223" s="328">
        <v>1.2963150931678087E-2</v>
      </c>
    </row>
    <row r="224" spans="6:10">
      <c r="F224" s="305">
        <v>8700</v>
      </c>
      <c r="G224" s="7" t="s">
        <v>650</v>
      </c>
      <c r="H224">
        <v>0</v>
      </c>
      <c r="I224" s="325"/>
      <c r="J224" s="328">
        <v>0</v>
      </c>
    </row>
    <row r="225" spans="6:10">
      <c r="F225" s="305">
        <v>8710</v>
      </c>
      <c r="G225" s="7" t="s">
        <v>1398</v>
      </c>
      <c r="H225">
        <v>0</v>
      </c>
      <c r="I225" s="325"/>
      <c r="J225" s="328">
        <v>0</v>
      </c>
    </row>
    <row r="226" spans="6:10">
      <c r="F226" s="305">
        <v>8720</v>
      </c>
      <c r="G226" s="7" t="s">
        <v>654</v>
      </c>
      <c r="H226">
        <v>753.42523959534128</v>
      </c>
      <c r="I226" s="325">
        <v>2637</v>
      </c>
      <c r="J226" s="328">
        <v>4.5366727281798431E-3</v>
      </c>
    </row>
    <row r="227" spans="6:10">
      <c r="F227" s="305">
        <v>8730</v>
      </c>
      <c r="G227" s="7" t="s">
        <v>656</v>
      </c>
      <c r="H227">
        <v>0</v>
      </c>
      <c r="I227" s="325"/>
      <c r="J227" s="328">
        <v>0</v>
      </c>
    </row>
    <row r="228" spans="6:10">
      <c r="F228" s="324">
        <v>8740</v>
      </c>
      <c r="G228" s="119" t="s">
        <v>658</v>
      </c>
      <c r="H228" s="329">
        <v>529.4262301745041</v>
      </c>
      <c r="I228" s="325">
        <v>1853</v>
      </c>
      <c r="J228" s="331">
        <v>3.1878856902985394E-3</v>
      </c>
    </row>
    <row r="229" spans="6:10">
      <c r="G229" s="332" t="s">
        <v>203</v>
      </c>
      <c r="H229">
        <f>SUM(H152:H228)</f>
        <v>115002.92000000003</v>
      </c>
      <c r="I229" s="334">
        <f>SUM(I152:I228)</f>
        <v>402512</v>
      </c>
      <c r="J229" s="327"/>
    </row>
    <row r="230" spans="6:10">
      <c r="G230" s="332" t="s">
        <v>1431</v>
      </c>
      <c r="I230" s="333" t="s">
        <v>1436</v>
      </c>
    </row>
    <row r="231" spans="6:10">
      <c r="G231" s="332" t="s">
        <v>1432</v>
      </c>
    </row>
    <row r="232" spans="6:10">
      <c r="G232" s="332" t="s">
        <v>1433</v>
      </c>
    </row>
    <row r="233" spans="6:10">
      <c r="G233" s="332" t="s">
        <v>1434</v>
      </c>
    </row>
    <row r="234" spans="6:10">
      <c r="G234" s="332" t="s">
        <v>1435</v>
      </c>
    </row>
  </sheetData>
  <sortState ref="A4:X61">
    <sortCondition ref="A4:A61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K1" workbookViewId="0">
      <selection activeCell="X2" sqref="X2:X58"/>
    </sheetView>
  </sheetViews>
  <sheetFormatPr defaultRowHeight="15"/>
  <cols>
    <col min="1" max="1" width="30.08203125" bestFit="1" customWidth="1"/>
    <col min="13" max="13" width="19.58203125" customWidth="1"/>
    <col min="15" max="15" width="17.08203125" customWidth="1"/>
    <col min="21" max="21" width="16" customWidth="1"/>
  </cols>
  <sheetData>
    <row r="1" spans="1:24">
      <c r="A1" t="s">
        <v>1283</v>
      </c>
      <c r="B1" t="s">
        <v>1284</v>
      </c>
      <c r="C1" t="s">
        <v>1285</v>
      </c>
      <c r="D1" t="s">
        <v>1286</v>
      </c>
      <c r="E1" t="s">
        <v>1287</v>
      </c>
      <c r="F1" t="s">
        <v>1288</v>
      </c>
      <c r="G1" t="s">
        <v>1289</v>
      </c>
      <c r="H1" t="s">
        <v>1290</v>
      </c>
      <c r="I1" t="s">
        <v>1291</v>
      </c>
      <c r="J1" t="s">
        <v>1292</v>
      </c>
      <c r="K1" t="s">
        <v>1293</v>
      </c>
      <c r="L1" t="s">
        <v>1294</v>
      </c>
      <c r="M1" t="s">
        <v>1295</v>
      </c>
      <c r="N1" t="s">
        <v>1296</v>
      </c>
      <c r="O1" t="s">
        <v>1297</v>
      </c>
      <c r="P1" t="s">
        <v>1298</v>
      </c>
      <c r="Q1" t="s">
        <v>1299</v>
      </c>
      <c r="R1" t="s">
        <v>1300</v>
      </c>
      <c r="S1" t="s">
        <v>1301</v>
      </c>
      <c r="T1" t="s">
        <v>1302</v>
      </c>
      <c r="U1" t="s">
        <v>1303</v>
      </c>
      <c r="V1" t="s">
        <v>1304</v>
      </c>
      <c r="W1" t="s">
        <v>1305</v>
      </c>
      <c r="X1" t="s">
        <v>1444</v>
      </c>
    </row>
    <row r="2" spans="1:24">
      <c r="A2" t="s">
        <v>1306</v>
      </c>
      <c r="B2">
        <v>36995871.610000014</v>
      </c>
      <c r="C2">
        <v>96090.799999999988</v>
      </c>
      <c r="D2">
        <v>0</v>
      </c>
      <c r="E2">
        <v>96090.799999999988</v>
      </c>
      <c r="F2">
        <v>37091962.410000011</v>
      </c>
      <c r="G2">
        <v>37091962.410000011</v>
      </c>
      <c r="H2">
        <v>0</v>
      </c>
      <c r="I2">
        <v>37091962.410000011</v>
      </c>
      <c r="J2">
        <v>5808922.879999999</v>
      </c>
      <c r="K2">
        <v>1174128.2500000002</v>
      </c>
      <c r="L2">
        <v>894450.26</v>
      </c>
      <c r="M2">
        <v>67589.37999999999</v>
      </c>
      <c r="N2">
        <v>2056.13</v>
      </c>
      <c r="O2">
        <v>69645.509999999995</v>
      </c>
      <c r="P2">
        <v>708566.23999999987</v>
      </c>
      <c r="Q2">
        <v>1049</v>
      </c>
      <c r="R2">
        <v>150414.71</v>
      </c>
      <c r="S2">
        <v>15218.560000000001</v>
      </c>
      <c r="T2">
        <v>3403.73</v>
      </c>
      <c r="U2">
        <v>8825799.1400000006</v>
      </c>
      <c r="V2">
        <v>0</v>
      </c>
      <c r="W2">
        <v>28266163.270000007</v>
      </c>
      <c r="X2">
        <v>3403.73</v>
      </c>
    </row>
    <row r="3" spans="1:24">
      <c r="A3" t="s">
        <v>1307</v>
      </c>
      <c r="B3">
        <v>195219316.60999998</v>
      </c>
      <c r="C3">
        <v>17379467.469999999</v>
      </c>
      <c r="D3">
        <v>0</v>
      </c>
      <c r="E3">
        <v>17379467.469999999</v>
      </c>
      <c r="F3">
        <v>212598784.08000001</v>
      </c>
      <c r="G3">
        <v>212598784.08000001</v>
      </c>
      <c r="H3">
        <v>3316.66</v>
      </c>
      <c r="I3">
        <v>212602100.73999998</v>
      </c>
      <c r="J3">
        <v>32941979.420000002</v>
      </c>
      <c r="K3">
        <v>7381305.6399999997</v>
      </c>
      <c r="L3">
        <v>5293358.7300000004</v>
      </c>
      <c r="M3">
        <v>1424982.0225</v>
      </c>
      <c r="N3">
        <v>67473.990000000005</v>
      </c>
      <c r="O3">
        <v>1492456.0125000002</v>
      </c>
      <c r="P3">
        <v>2017672.2300000002</v>
      </c>
      <c r="Q3">
        <v>7673.5700000000006</v>
      </c>
      <c r="R3">
        <v>231847.16</v>
      </c>
      <c r="S3">
        <v>16552.27</v>
      </c>
      <c r="T3">
        <v>40480.58</v>
      </c>
      <c r="U3">
        <v>49423325.612500012</v>
      </c>
      <c r="V3">
        <v>0</v>
      </c>
      <c r="W3">
        <v>163178775.1275</v>
      </c>
      <c r="X3">
        <v>40480.58</v>
      </c>
    </row>
    <row r="4" spans="1:24">
      <c r="A4" t="s">
        <v>1308</v>
      </c>
      <c r="M4">
        <v>119784.64750000001</v>
      </c>
      <c r="O4">
        <v>119784.64750000001</v>
      </c>
      <c r="U4">
        <v>119784.64750000001</v>
      </c>
      <c r="W4">
        <v>-119784.64750000001</v>
      </c>
      <c r="X4">
        <v>0</v>
      </c>
    </row>
    <row r="5" spans="1:24">
      <c r="A5" t="s">
        <v>1309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341.1</v>
      </c>
      <c r="R5">
        <v>0</v>
      </c>
      <c r="S5">
        <v>422.53</v>
      </c>
      <c r="T5">
        <v>0</v>
      </c>
      <c r="U5">
        <v>763.62999999999988</v>
      </c>
      <c r="V5">
        <v>0</v>
      </c>
      <c r="W5">
        <v>-763.62999999999988</v>
      </c>
      <c r="X5">
        <v>0</v>
      </c>
    </row>
    <row r="6" spans="1:24">
      <c r="A6" t="s">
        <v>1310</v>
      </c>
      <c r="B6">
        <v>60571494.869999997</v>
      </c>
      <c r="C6">
        <v>4298308.4400000004</v>
      </c>
      <c r="D6">
        <v>0</v>
      </c>
      <c r="E6">
        <v>4298308.4400000004</v>
      </c>
      <c r="F6">
        <v>64869803.310000002</v>
      </c>
      <c r="G6">
        <v>64869803.310000002</v>
      </c>
      <c r="H6">
        <v>7583.57</v>
      </c>
      <c r="I6">
        <v>64877386.879999995</v>
      </c>
      <c r="J6">
        <v>7498846.8699999992</v>
      </c>
      <c r="K6">
        <v>1563156.69</v>
      </c>
      <c r="L6">
        <v>1519079.29</v>
      </c>
      <c r="M6">
        <v>1100703.73</v>
      </c>
      <c r="N6">
        <v>4355.8799999999992</v>
      </c>
      <c r="O6">
        <v>1105059.6099999999</v>
      </c>
      <c r="P6">
        <v>794572.83</v>
      </c>
      <c r="Q6">
        <v>2094.2699999999995</v>
      </c>
      <c r="R6">
        <v>229836.4</v>
      </c>
      <c r="S6">
        <v>11075.9</v>
      </c>
      <c r="T6">
        <v>30530.57</v>
      </c>
      <c r="U6">
        <v>12754252.430000002</v>
      </c>
      <c r="V6">
        <v>0</v>
      </c>
      <c r="W6">
        <v>52123134.450000003</v>
      </c>
      <c r="X6">
        <v>30530.57</v>
      </c>
    </row>
    <row r="7" spans="1:24">
      <c r="A7" t="s">
        <v>1312</v>
      </c>
      <c r="B7">
        <v>222754045.53000003</v>
      </c>
      <c r="C7">
        <v>209123792.50000003</v>
      </c>
      <c r="D7">
        <v>0</v>
      </c>
      <c r="E7">
        <v>209123792.50000003</v>
      </c>
      <c r="F7">
        <v>431877838.03000003</v>
      </c>
      <c r="G7">
        <v>431877838.03000003</v>
      </c>
      <c r="H7">
        <v>364</v>
      </c>
      <c r="I7">
        <v>431878202.03000003</v>
      </c>
      <c r="J7">
        <v>9848226.870000001</v>
      </c>
      <c r="K7">
        <v>2079245.48</v>
      </c>
      <c r="L7">
        <v>3632366.89</v>
      </c>
      <c r="M7">
        <v>1294463.855</v>
      </c>
      <c r="N7">
        <v>538060.70000000007</v>
      </c>
      <c r="O7">
        <v>1832524.5550000002</v>
      </c>
      <c r="P7">
        <v>21822590.370000001</v>
      </c>
      <c r="Q7">
        <v>3857.46</v>
      </c>
      <c r="R7">
        <v>4541946.32</v>
      </c>
      <c r="S7">
        <v>1373297.17</v>
      </c>
      <c r="T7">
        <v>92682.069999999978</v>
      </c>
      <c r="U7">
        <v>45226737.18500001</v>
      </c>
      <c r="V7">
        <v>0</v>
      </c>
      <c r="W7">
        <v>386651464.84499991</v>
      </c>
      <c r="X7">
        <v>92682.069999999978</v>
      </c>
    </row>
    <row r="8" spans="1:24">
      <c r="A8" t="s">
        <v>1313</v>
      </c>
      <c r="B8">
        <v>15435530.939999998</v>
      </c>
      <c r="C8">
        <v>36398005.560000002</v>
      </c>
      <c r="D8">
        <v>0</v>
      </c>
      <c r="E8">
        <v>36398005.560000002</v>
      </c>
      <c r="F8">
        <v>51833536.5</v>
      </c>
      <c r="G8">
        <v>51833536.5</v>
      </c>
      <c r="H8">
        <v>0</v>
      </c>
      <c r="I8">
        <v>51833536.5</v>
      </c>
      <c r="J8">
        <v>4619032.41</v>
      </c>
      <c r="K8">
        <v>1006385.99</v>
      </c>
      <c r="L8">
        <v>0</v>
      </c>
      <c r="M8">
        <v>28490.389999999996</v>
      </c>
      <c r="N8">
        <v>12.51</v>
      </c>
      <c r="O8">
        <v>28502.899999999994</v>
      </c>
      <c r="P8">
        <v>481724.90999999992</v>
      </c>
      <c r="Q8">
        <v>1612.3300000000004</v>
      </c>
      <c r="R8">
        <v>9408.7800000000007</v>
      </c>
      <c r="S8">
        <v>3116.67</v>
      </c>
      <c r="T8">
        <v>14970.739999999991</v>
      </c>
      <c r="U8">
        <v>6164754.7300000014</v>
      </c>
      <c r="V8">
        <v>0</v>
      </c>
      <c r="W8">
        <v>45668781.769999996</v>
      </c>
      <c r="X8">
        <v>14970.739999999991</v>
      </c>
    </row>
    <row r="9" spans="1:24">
      <c r="A9" t="s">
        <v>1314</v>
      </c>
      <c r="B9">
        <v>8055699.71</v>
      </c>
      <c r="C9">
        <v>14339474.689999999</v>
      </c>
      <c r="D9">
        <v>0</v>
      </c>
      <c r="E9">
        <v>14339474.689999999</v>
      </c>
      <c r="F9">
        <v>22395174.399999999</v>
      </c>
      <c r="G9">
        <v>22395174.399999999</v>
      </c>
      <c r="H9">
        <v>0</v>
      </c>
      <c r="I9">
        <v>22395174.399999999</v>
      </c>
      <c r="J9">
        <v>294443.81</v>
      </c>
      <c r="K9">
        <v>78282.000000000015</v>
      </c>
      <c r="L9">
        <v>409954.48</v>
      </c>
      <c r="M9">
        <v>381509.52</v>
      </c>
      <c r="N9">
        <v>821.08</v>
      </c>
      <c r="O9">
        <v>382330.60000000003</v>
      </c>
      <c r="P9">
        <v>401212.72000000003</v>
      </c>
      <c r="Q9">
        <v>0</v>
      </c>
      <c r="R9">
        <v>0</v>
      </c>
      <c r="S9">
        <v>4940.9400000000005</v>
      </c>
      <c r="T9">
        <v>0</v>
      </c>
      <c r="U9">
        <v>1571164.5500000003</v>
      </c>
      <c r="V9">
        <v>0</v>
      </c>
      <c r="W9">
        <v>20824009.849999998</v>
      </c>
      <c r="X9">
        <v>0</v>
      </c>
    </row>
    <row r="10" spans="1:24">
      <c r="A10" t="s">
        <v>1315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2073165.7200000002</v>
      </c>
      <c r="K10">
        <v>629059.80999999994</v>
      </c>
      <c r="L10">
        <v>0</v>
      </c>
      <c r="M10">
        <v>529597.53945249994</v>
      </c>
      <c r="N10">
        <v>170538.88000000003</v>
      </c>
      <c r="O10">
        <v>700136.41945249995</v>
      </c>
      <c r="P10">
        <v>-857551.18000000052</v>
      </c>
      <c r="Q10">
        <v>0</v>
      </c>
      <c r="R10">
        <v>206248.56</v>
      </c>
      <c r="S10">
        <v>46598.500000000007</v>
      </c>
      <c r="T10">
        <v>91367.53</v>
      </c>
      <c r="U10">
        <v>2889025.3594524995</v>
      </c>
      <c r="V10">
        <v>0</v>
      </c>
      <c r="W10">
        <v>-2889025.3594524995</v>
      </c>
      <c r="X10">
        <v>91367.53</v>
      </c>
    </row>
    <row r="11" spans="1:24">
      <c r="A11" t="s">
        <v>1317</v>
      </c>
      <c r="B11">
        <v>65085801.170000002</v>
      </c>
      <c r="C11">
        <v>36401080.159999996</v>
      </c>
      <c r="D11">
        <v>0</v>
      </c>
      <c r="E11">
        <v>36401080.159999996</v>
      </c>
      <c r="F11">
        <v>101486881.32999998</v>
      </c>
      <c r="G11">
        <v>101486881.32999998</v>
      </c>
      <c r="H11">
        <v>122915.09</v>
      </c>
      <c r="I11">
        <v>101609796.42000002</v>
      </c>
      <c r="J11">
        <v>4537988.0299999993</v>
      </c>
      <c r="K11">
        <v>1071197.95</v>
      </c>
      <c r="L11">
        <v>60171.49</v>
      </c>
      <c r="M11">
        <v>3520186.4699999988</v>
      </c>
      <c r="N11">
        <v>43386.29</v>
      </c>
      <c r="O11">
        <v>3563572.7599999988</v>
      </c>
      <c r="P11">
        <v>4248022.34</v>
      </c>
      <c r="Q11">
        <v>63.88</v>
      </c>
      <c r="R11">
        <v>81539.820000000007</v>
      </c>
      <c r="S11">
        <v>76297.77</v>
      </c>
      <c r="T11">
        <v>565196.33000000007</v>
      </c>
      <c r="U11">
        <v>14204050.370000001</v>
      </c>
      <c r="V11">
        <v>0</v>
      </c>
      <c r="W11">
        <v>87405746.050000012</v>
      </c>
      <c r="X11">
        <v>565196.33000000007</v>
      </c>
    </row>
    <row r="12" spans="1:24">
      <c r="A12" t="s">
        <v>1318</v>
      </c>
      <c r="B12">
        <v>20929325.84</v>
      </c>
      <c r="C12">
        <v>12597609.68</v>
      </c>
      <c r="D12">
        <v>0</v>
      </c>
      <c r="E12">
        <v>12597609.68</v>
      </c>
      <c r="F12">
        <v>33526935.52</v>
      </c>
      <c r="G12">
        <v>33526935.52</v>
      </c>
      <c r="H12">
        <v>0</v>
      </c>
      <c r="I12">
        <v>33526935.52</v>
      </c>
      <c r="J12">
        <v>490154.9200000001</v>
      </c>
      <c r="K12">
        <v>109677.36999999998</v>
      </c>
      <c r="L12">
        <v>135997.07</v>
      </c>
      <c r="M12">
        <v>85172.82</v>
      </c>
      <c r="N12">
        <v>94668.67</v>
      </c>
      <c r="O12">
        <v>179841.49</v>
      </c>
      <c r="P12">
        <v>11234.910000000002</v>
      </c>
      <c r="Q12">
        <v>14.52</v>
      </c>
      <c r="R12">
        <v>164028.62</v>
      </c>
      <c r="S12">
        <v>0</v>
      </c>
      <c r="T12">
        <v>826.04</v>
      </c>
      <c r="U12">
        <v>1091774.94</v>
      </c>
      <c r="V12">
        <v>0</v>
      </c>
      <c r="W12">
        <v>32435160.580000002</v>
      </c>
      <c r="X12">
        <v>826.04</v>
      </c>
    </row>
    <row r="13" spans="1:24">
      <c r="A13" t="s">
        <v>1319</v>
      </c>
      <c r="B13">
        <v>6356582.4800000004</v>
      </c>
      <c r="C13">
        <v>15730749.129999999</v>
      </c>
      <c r="D13">
        <v>0</v>
      </c>
      <c r="E13">
        <v>15730749.129999999</v>
      </c>
      <c r="F13">
        <v>22087331.609999999</v>
      </c>
      <c r="G13">
        <v>22087331.609999999</v>
      </c>
      <c r="H13">
        <v>0</v>
      </c>
      <c r="I13">
        <v>22087331.609999999</v>
      </c>
      <c r="J13">
        <v>487374.59000000008</v>
      </c>
      <c r="K13">
        <v>108676.5</v>
      </c>
      <c r="L13">
        <v>0</v>
      </c>
      <c r="M13">
        <v>24811.08</v>
      </c>
      <c r="N13">
        <v>27721.65</v>
      </c>
      <c r="O13">
        <v>52532.729999999996</v>
      </c>
      <c r="P13">
        <v>88013.170000000013</v>
      </c>
      <c r="Q13">
        <v>432.15</v>
      </c>
      <c r="R13">
        <v>7428.58</v>
      </c>
      <c r="S13">
        <v>1521.05</v>
      </c>
      <c r="T13">
        <v>553.04000000000019</v>
      </c>
      <c r="U13">
        <v>746531.81</v>
      </c>
      <c r="V13">
        <v>0</v>
      </c>
      <c r="W13">
        <v>21340799.800000001</v>
      </c>
      <c r="X13">
        <v>553.04000000000019</v>
      </c>
    </row>
    <row r="14" spans="1:24">
      <c r="A14" t="s">
        <v>1320</v>
      </c>
      <c r="B14">
        <v>150561929.22</v>
      </c>
      <c r="C14">
        <v>273041739.06000006</v>
      </c>
      <c r="D14">
        <v>0</v>
      </c>
      <c r="E14">
        <v>273041739.06000006</v>
      </c>
      <c r="F14">
        <v>423603668.27999997</v>
      </c>
      <c r="G14">
        <v>423603668.27999997</v>
      </c>
      <c r="H14">
        <v>11687.69</v>
      </c>
      <c r="I14">
        <v>423615355.97000003</v>
      </c>
      <c r="J14">
        <v>12522593.6</v>
      </c>
      <c r="K14">
        <v>2995965.01</v>
      </c>
      <c r="L14">
        <v>557589.54</v>
      </c>
      <c r="M14">
        <v>3406290.8199999994</v>
      </c>
      <c r="N14">
        <v>317284.65000000002</v>
      </c>
      <c r="O14">
        <v>3723575.47</v>
      </c>
      <c r="P14">
        <v>17447975.600000001</v>
      </c>
      <c r="Q14">
        <v>232290.75999999998</v>
      </c>
      <c r="R14">
        <v>1705522.2500000005</v>
      </c>
      <c r="S14">
        <v>1070088.83</v>
      </c>
      <c r="T14">
        <v>32725.489999999998</v>
      </c>
      <c r="U14">
        <v>40288326.549999997</v>
      </c>
      <c r="V14">
        <v>0</v>
      </c>
      <c r="W14">
        <v>383327029.42000002</v>
      </c>
      <c r="X14">
        <v>32725.489999999998</v>
      </c>
    </row>
    <row r="15" spans="1:24">
      <c r="A15" t="s">
        <v>1321</v>
      </c>
      <c r="B15">
        <v>2707402.5900000003</v>
      </c>
      <c r="C15">
        <v>39218980.479999989</v>
      </c>
      <c r="D15">
        <v>0</v>
      </c>
      <c r="E15">
        <v>39218980.479999989</v>
      </c>
      <c r="F15">
        <v>41926383.07</v>
      </c>
      <c r="G15">
        <v>41926383.07</v>
      </c>
      <c r="H15">
        <v>4210.1499999999996</v>
      </c>
      <c r="I15">
        <v>41930593.219999999</v>
      </c>
      <c r="J15">
        <v>1855120.06</v>
      </c>
      <c r="K15">
        <v>419423.05999999994</v>
      </c>
      <c r="L15">
        <v>36637.5</v>
      </c>
      <c r="M15">
        <v>1173524.9300000002</v>
      </c>
      <c r="N15">
        <v>228552.63</v>
      </c>
      <c r="O15">
        <v>1402077.56</v>
      </c>
      <c r="P15">
        <v>47163.69</v>
      </c>
      <c r="Q15">
        <v>0</v>
      </c>
      <c r="R15">
        <v>115591.27</v>
      </c>
      <c r="S15">
        <v>8646.33</v>
      </c>
      <c r="T15">
        <v>10585.670000000002</v>
      </c>
      <c r="U15">
        <v>3895245.1399999997</v>
      </c>
      <c r="V15">
        <v>0</v>
      </c>
      <c r="W15">
        <v>38035348.079999991</v>
      </c>
      <c r="X15">
        <v>10585.670000000002</v>
      </c>
    </row>
    <row r="16" spans="1:24">
      <c r="A16" t="s">
        <v>1322</v>
      </c>
      <c r="B16">
        <v>5493616.379999999</v>
      </c>
      <c r="C16">
        <v>9350911.7599999979</v>
      </c>
      <c r="D16">
        <v>0</v>
      </c>
      <c r="E16">
        <v>9350911.7599999979</v>
      </c>
      <c r="F16">
        <v>14844528.140000001</v>
      </c>
      <c r="G16">
        <v>14844528.140000001</v>
      </c>
      <c r="H16">
        <v>0</v>
      </c>
      <c r="I16">
        <v>14844528.140000001</v>
      </c>
      <c r="J16">
        <v>307099.7</v>
      </c>
      <c r="K16">
        <v>65481.46</v>
      </c>
      <c r="L16">
        <v>0</v>
      </c>
      <c r="M16">
        <v>65337.13</v>
      </c>
      <c r="N16">
        <v>0</v>
      </c>
      <c r="O16">
        <v>65337.13</v>
      </c>
      <c r="P16">
        <v>753369.01</v>
      </c>
      <c r="Q16">
        <v>0</v>
      </c>
      <c r="R16">
        <v>135303.47</v>
      </c>
      <c r="S16">
        <v>467.27</v>
      </c>
      <c r="T16">
        <v>61</v>
      </c>
      <c r="U16">
        <v>1327119.04</v>
      </c>
      <c r="V16">
        <v>0</v>
      </c>
      <c r="W16">
        <v>13517409.1</v>
      </c>
      <c r="X16">
        <v>61</v>
      </c>
    </row>
    <row r="17" spans="1:24">
      <c r="A17" t="s">
        <v>1323</v>
      </c>
      <c r="B17">
        <v>149779547.75999999</v>
      </c>
      <c r="C17">
        <v>91983435.110000014</v>
      </c>
      <c r="D17">
        <v>0</v>
      </c>
      <c r="E17">
        <v>91983435.110000014</v>
      </c>
      <c r="F17">
        <v>241762982.87</v>
      </c>
      <c r="G17">
        <v>241762982.87</v>
      </c>
      <c r="H17">
        <v>0</v>
      </c>
      <c r="I17">
        <v>241762982.87</v>
      </c>
      <c r="J17">
        <v>4955303.91</v>
      </c>
      <c r="K17">
        <v>1036305.4700000001</v>
      </c>
      <c r="L17">
        <v>0</v>
      </c>
      <c r="M17">
        <v>526577.30999999994</v>
      </c>
      <c r="N17">
        <v>93680.39</v>
      </c>
      <c r="O17">
        <v>620257.69999999995</v>
      </c>
      <c r="P17">
        <v>11976472.909999998</v>
      </c>
      <c r="Q17">
        <v>1196.4499999999998</v>
      </c>
      <c r="R17">
        <v>297687.03000000003</v>
      </c>
      <c r="S17">
        <v>39988.420000000006</v>
      </c>
      <c r="T17">
        <v>51503.89</v>
      </c>
      <c r="U17">
        <v>18978715.780000001</v>
      </c>
      <c r="V17">
        <v>0</v>
      </c>
      <c r="W17">
        <v>222784267.09000003</v>
      </c>
      <c r="X17">
        <v>51503.89</v>
      </c>
    </row>
    <row r="18" spans="1:24">
      <c r="A18" t="s">
        <v>1324</v>
      </c>
      <c r="B18">
        <v>43268174.799999997</v>
      </c>
      <c r="C18">
        <v>19514490.920000002</v>
      </c>
      <c r="D18">
        <v>0</v>
      </c>
      <c r="E18">
        <v>19514490.920000002</v>
      </c>
      <c r="F18">
        <v>62782665.719999991</v>
      </c>
      <c r="G18">
        <v>62782665.719999991</v>
      </c>
      <c r="H18">
        <v>0</v>
      </c>
      <c r="I18">
        <v>62782665.719999991</v>
      </c>
      <c r="J18">
        <v>4751900.5000000009</v>
      </c>
      <c r="K18">
        <v>1182423.32</v>
      </c>
      <c r="L18">
        <v>66675</v>
      </c>
      <c r="M18">
        <v>92237.71</v>
      </c>
      <c r="N18">
        <v>29548.859999999997</v>
      </c>
      <c r="O18">
        <v>121786.57000000002</v>
      </c>
      <c r="P18">
        <v>522658.87999999995</v>
      </c>
      <c r="Q18">
        <v>4573.6299999999992</v>
      </c>
      <c r="R18">
        <v>199965.62999999995</v>
      </c>
      <c r="S18">
        <v>286637.23000000004</v>
      </c>
      <c r="T18">
        <v>22694.440000000002</v>
      </c>
      <c r="U18">
        <v>7159315.1999999983</v>
      </c>
      <c r="V18">
        <v>0</v>
      </c>
      <c r="W18">
        <v>55623350.519999996</v>
      </c>
      <c r="X18">
        <v>22694.440000000002</v>
      </c>
    </row>
    <row r="19" spans="1:24">
      <c r="A19" t="s">
        <v>1325</v>
      </c>
      <c r="B19">
        <v>5715212.0199999986</v>
      </c>
      <c r="C19">
        <v>21123398.710000001</v>
      </c>
      <c r="D19">
        <v>0</v>
      </c>
      <c r="E19">
        <v>21123398.710000001</v>
      </c>
      <c r="F19">
        <v>26838610.73</v>
      </c>
      <c r="G19">
        <v>26838610.73</v>
      </c>
      <c r="H19">
        <v>6605.24</v>
      </c>
      <c r="I19">
        <v>26845215.969999999</v>
      </c>
      <c r="J19">
        <v>2988700.49</v>
      </c>
      <c r="K19">
        <v>740504.33</v>
      </c>
      <c r="L19">
        <v>215086.96</v>
      </c>
      <c r="M19">
        <v>1618382.3900000001</v>
      </c>
      <c r="N19">
        <v>22679.99</v>
      </c>
      <c r="O19">
        <v>1641062.38</v>
      </c>
      <c r="P19">
        <v>586754.39</v>
      </c>
      <c r="Q19">
        <v>14602.95</v>
      </c>
      <c r="R19">
        <v>158427.04</v>
      </c>
      <c r="S19">
        <v>349676.32999999996</v>
      </c>
      <c r="T19">
        <v>18818.2</v>
      </c>
      <c r="U19">
        <v>6713633.0700000003</v>
      </c>
      <c r="V19">
        <v>0</v>
      </c>
      <c r="W19">
        <v>20131582.899999999</v>
      </c>
      <c r="X19">
        <v>18818.2</v>
      </c>
    </row>
    <row r="20" spans="1:24">
      <c r="A20" t="s">
        <v>1326</v>
      </c>
      <c r="B20">
        <v>55235562.890000001</v>
      </c>
      <c r="C20">
        <v>206165921.69</v>
      </c>
      <c r="D20">
        <v>0</v>
      </c>
      <c r="E20">
        <v>206165921.69</v>
      </c>
      <c r="F20">
        <v>261401484.57999998</v>
      </c>
      <c r="G20">
        <v>261401484.57999998</v>
      </c>
      <c r="H20">
        <v>5839.52</v>
      </c>
      <c r="I20">
        <v>261407324.09999996</v>
      </c>
      <c r="J20">
        <v>11775753.16</v>
      </c>
      <c r="K20">
        <v>2360956.3199999998</v>
      </c>
      <c r="L20">
        <v>4005048.29</v>
      </c>
      <c r="M20">
        <v>1739144.31</v>
      </c>
      <c r="N20">
        <v>25145.360000000004</v>
      </c>
      <c r="O20">
        <v>1764289.67</v>
      </c>
      <c r="P20">
        <v>1677276.4999999995</v>
      </c>
      <c r="Q20">
        <v>1561.73</v>
      </c>
      <c r="R20">
        <v>216836.53999999998</v>
      </c>
      <c r="S20">
        <v>31347.540000000005</v>
      </c>
      <c r="T20">
        <v>35512.329999999994</v>
      </c>
      <c r="U20">
        <v>21868582.079999998</v>
      </c>
      <c r="V20">
        <v>0</v>
      </c>
      <c r="W20">
        <v>239538742.01999992</v>
      </c>
      <c r="X20">
        <v>35512.329999999994</v>
      </c>
    </row>
    <row r="21" spans="1:24">
      <c r="A21" t="s">
        <v>545</v>
      </c>
      <c r="D21">
        <v>248490704.91000003</v>
      </c>
      <c r="E21">
        <v>248490704.91000003</v>
      </c>
      <c r="F21">
        <v>248490704.91000003</v>
      </c>
      <c r="G21">
        <v>101108803.45000003</v>
      </c>
      <c r="H21">
        <v>2357967.1500000004</v>
      </c>
      <c r="I21">
        <v>103466770.60000004</v>
      </c>
      <c r="J21">
        <v>57920827.82</v>
      </c>
      <c r="K21">
        <v>10055081.51</v>
      </c>
      <c r="L21">
        <v>23717360.199999999</v>
      </c>
      <c r="M21">
        <v>40349594.50999999</v>
      </c>
      <c r="N21">
        <v>274291.46999999997</v>
      </c>
      <c r="O21">
        <v>41473953.999999993</v>
      </c>
      <c r="P21">
        <v>2833738.4700000011</v>
      </c>
      <c r="Q21">
        <v>897858.03</v>
      </c>
      <c r="R21">
        <v>6289601.5700000003</v>
      </c>
      <c r="S21">
        <v>7477809.3500000006</v>
      </c>
      <c r="T21">
        <v>3162764.399999998</v>
      </c>
      <c r="U21">
        <v>155302038.38999999</v>
      </c>
      <c r="V21">
        <v>-666850.82000000007</v>
      </c>
      <c r="W21">
        <v>-52502118.609999947</v>
      </c>
      <c r="X21">
        <v>4635807.4399999976</v>
      </c>
    </row>
    <row r="22" spans="1:24">
      <c r="A22" t="s">
        <v>1327</v>
      </c>
      <c r="B22">
        <v>3380933.26</v>
      </c>
      <c r="C22">
        <v>3500355.56</v>
      </c>
      <c r="D22">
        <v>0</v>
      </c>
      <c r="E22">
        <v>3500355.56</v>
      </c>
      <c r="F22">
        <v>6881288.8200000003</v>
      </c>
      <c r="G22">
        <v>6881288.8200000003</v>
      </c>
      <c r="H22">
        <v>1858.82</v>
      </c>
      <c r="I22">
        <v>6883147.6400000006</v>
      </c>
      <c r="J22">
        <v>926052.93000000017</v>
      </c>
      <c r="K22">
        <v>202552.59</v>
      </c>
      <c r="L22">
        <v>0</v>
      </c>
      <c r="M22">
        <v>133358</v>
      </c>
      <c r="N22">
        <v>568.08000000000004</v>
      </c>
      <c r="O22">
        <v>133926.07999999999</v>
      </c>
      <c r="P22">
        <v>10168.02</v>
      </c>
      <c r="Q22">
        <v>1358.3600000000001</v>
      </c>
      <c r="R22">
        <v>0</v>
      </c>
      <c r="S22">
        <v>170110.53999999998</v>
      </c>
      <c r="T22">
        <v>5890.62</v>
      </c>
      <c r="U22">
        <v>1450059.1400000001</v>
      </c>
      <c r="V22">
        <v>0</v>
      </c>
      <c r="W22">
        <v>5433088.5</v>
      </c>
      <c r="X22">
        <v>5890.62</v>
      </c>
    </row>
    <row r="23" spans="1:24">
      <c r="A23" t="s">
        <v>1328</v>
      </c>
      <c r="B23">
        <v>1333139.9100000001</v>
      </c>
      <c r="C23">
        <v>2054124.5699999998</v>
      </c>
      <c r="D23">
        <v>0</v>
      </c>
      <c r="E23">
        <v>2054124.5699999998</v>
      </c>
      <c r="F23">
        <v>3387264.48</v>
      </c>
      <c r="G23">
        <v>3387264.48</v>
      </c>
      <c r="H23">
        <v>3695.38</v>
      </c>
      <c r="I23">
        <v>3390959.86</v>
      </c>
      <c r="J23">
        <v>455777.82</v>
      </c>
      <c r="K23">
        <v>103033.66</v>
      </c>
      <c r="L23">
        <v>0</v>
      </c>
      <c r="M23">
        <v>23544</v>
      </c>
      <c r="N23">
        <v>217.43</v>
      </c>
      <c r="O23">
        <v>23761.43</v>
      </c>
      <c r="P23">
        <v>5028.4099999999989</v>
      </c>
      <c r="Q23">
        <v>188.04</v>
      </c>
      <c r="R23">
        <v>0</v>
      </c>
      <c r="S23">
        <v>58368.81</v>
      </c>
      <c r="T23">
        <v>2246.86</v>
      </c>
      <c r="U23">
        <v>648405.03</v>
      </c>
      <c r="V23">
        <v>0</v>
      </c>
      <c r="W23">
        <v>2742554.8299999996</v>
      </c>
      <c r="X23">
        <v>2246.86</v>
      </c>
    </row>
    <row r="24" spans="1:24">
      <c r="A24" t="s">
        <v>1329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-44.78</v>
      </c>
      <c r="Q24">
        <v>0</v>
      </c>
      <c r="R24">
        <v>0</v>
      </c>
      <c r="S24">
        <v>0</v>
      </c>
      <c r="T24">
        <v>0</v>
      </c>
      <c r="U24">
        <v>-44.779999999999973</v>
      </c>
      <c r="V24">
        <v>0</v>
      </c>
      <c r="W24">
        <v>44.779999999999973</v>
      </c>
      <c r="X24">
        <v>0</v>
      </c>
    </row>
    <row r="25" spans="1:24">
      <c r="A25" t="s">
        <v>1330</v>
      </c>
      <c r="B25">
        <v>3982387.54</v>
      </c>
      <c r="C25">
        <v>361904506.97000015</v>
      </c>
      <c r="D25">
        <v>0</v>
      </c>
      <c r="E25">
        <v>361904506.97000015</v>
      </c>
      <c r="F25">
        <v>365886894.51000005</v>
      </c>
      <c r="G25">
        <v>365886894.51000005</v>
      </c>
      <c r="H25">
        <v>482046.26</v>
      </c>
      <c r="I25">
        <v>366368940.7700001</v>
      </c>
      <c r="J25">
        <v>6834455.4799999995</v>
      </c>
      <c r="K25">
        <v>1836035.73</v>
      </c>
      <c r="L25">
        <v>34260</v>
      </c>
      <c r="M25">
        <v>2379757.46</v>
      </c>
      <c r="N25">
        <v>90570.98</v>
      </c>
      <c r="O25">
        <v>2470328.44</v>
      </c>
      <c r="P25">
        <v>39078298.650000006</v>
      </c>
      <c r="Q25">
        <v>124264.42</v>
      </c>
      <c r="R25">
        <v>828749.06999999983</v>
      </c>
      <c r="S25">
        <v>697830.32</v>
      </c>
      <c r="T25">
        <v>40618.49</v>
      </c>
      <c r="U25">
        <v>51954047.960000016</v>
      </c>
      <c r="V25">
        <v>0</v>
      </c>
      <c r="W25">
        <v>314414892.80999994</v>
      </c>
      <c r="X25">
        <v>49825.849999999991</v>
      </c>
    </row>
    <row r="26" spans="1:24">
      <c r="A26" t="s">
        <v>1331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>
      <c r="A27" t="s">
        <v>1332</v>
      </c>
      <c r="B27">
        <v>0</v>
      </c>
      <c r="C27">
        <v>104179.43</v>
      </c>
      <c r="D27">
        <v>0</v>
      </c>
      <c r="E27">
        <v>104179.43</v>
      </c>
      <c r="F27">
        <v>104179.43</v>
      </c>
      <c r="G27">
        <v>104179.43</v>
      </c>
      <c r="H27">
        <v>24174.77</v>
      </c>
      <c r="I27">
        <v>128354.2</v>
      </c>
      <c r="J27">
        <v>188233.72</v>
      </c>
      <c r="K27">
        <v>32107.87999999999</v>
      </c>
      <c r="L27">
        <v>-44784.01</v>
      </c>
      <c r="M27">
        <v>1554850.0349999997</v>
      </c>
      <c r="N27">
        <v>0</v>
      </c>
      <c r="O27">
        <v>1554850.0349999997</v>
      </c>
      <c r="P27">
        <v>1951.96</v>
      </c>
      <c r="Q27">
        <v>165.48</v>
      </c>
      <c r="R27">
        <v>0</v>
      </c>
      <c r="S27">
        <v>0</v>
      </c>
      <c r="T27">
        <v>300</v>
      </c>
      <c r="U27">
        <v>1732825.0649999997</v>
      </c>
      <c r="V27">
        <v>0</v>
      </c>
      <c r="W27">
        <v>-1604470.8649999995</v>
      </c>
      <c r="X27">
        <v>300</v>
      </c>
    </row>
    <row r="28" spans="1:24">
      <c r="A28" t="s">
        <v>1333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305840.75</v>
      </c>
      <c r="I28">
        <v>305840.75</v>
      </c>
      <c r="J28">
        <v>906002.85</v>
      </c>
      <c r="K28">
        <v>247744.16999999998</v>
      </c>
      <c r="L28">
        <v>0</v>
      </c>
      <c r="M28">
        <v>172575</v>
      </c>
      <c r="N28">
        <v>0</v>
      </c>
      <c r="O28">
        <v>172575</v>
      </c>
      <c r="P28">
        <v>9923.239999999998</v>
      </c>
      <c r="Q28">
        <v>0</v>
      </c>
      <c r="R28">
        <v>0</v>
      </c>
      <c r="S28">
        <v>0</v>
      </c>
      <c r="T28">
        <v>1421.41</v>
      </c>
      <c r="U28">
        <v>1337666.67</v>
      </c>
      <c r="V28">
        <v>0</v>
      </c>
      <c r="W28">
        <v>-1031825.92</v>
      </c>
      <c r="X28">
        <v>1421.41</v>
      </c>
    </row>
    <row r="29" spans="1:24">
      <c r="A29" t="s">
        <v>1334</v>
      </c>
      <c r="M29">
        <v>194884.55999999997</v>
      </c>
      <c r="O29">
        <v>194884.55999999997</v>
      </c>
      <c r="U29">
        <v>194884.55999999997</v>
      </c>
      <c r="W29">
        <v>-194884.55999999997</v>
      </c>
      <c r="X29">
        <v>0</v>
      </c>
    </row>
    <row r="30" spans="1:24">
      <c r="A30" t="s">
        <v>1335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1854075.33</v>
      </c>
      <c r="I30">
        <v>1854075.33</v>
      </c>
      <c r="J30">
        <v>3301658.25</v>
      </c>
      <c r="K30">
        <v>1228138.27</v>
      </c>
      <c r="L30">
        <v>0</v>
      </c>
      <c r="M30">
        <v>939640.61999999988</v>
      </c>
      <c r="N30">
        <v>218680.06999999998</v>
      </c>
      <c r="O30">
        <v>1158320.69</v>
      </c>
      <c r="P30">
        <v>1742441.79</v>
      </c>
      <c r="Q30">
        <v>3379.77</v>
      </c>
      <c r="R30">
        <v>187724.98</v>
      </c>
      <c r="S30">
        <v>21773.610000000004</v>
      </c>
      <c r="T30">
        <v>102924.7</v>
      </c>
      <c r="U30">
        <v>7746362.0600000005</v>
      </c>
      <c r="V30">
        <v>0</v>
      </c>
      <c r="W30">
        <v>-5892286.7300000004</v>
      </c>
      <c r="X30">
        <v>102924.7</v>
      </c>
    </row>
    <row r="31" spans="1:24">
      <c r="A31" t="s">
        <v>1336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110174.56999999999</v>
      </c>
      <c r="K31">
        <v>45160.17</v>
      </c>
      <c r="L31">
        <v>0</v>
      </c>
      <c r="M31">
        <v>0.04</v>
      </c>
      <c r="N31">
        <v>0</v>
      </c>
      <c r="O31">
        <v>0.04</v>
      </c>
      <c r="P31">
        <v>0</v>
      </c>
      <c r="Q31">
        <v>0</v>
      </c>
      <c r="R31">
        <v>0</v>
      </c>
      <c r="S31">
        <v>0</v>
      </c>
      <c r="T31">
        <v>157.32</v>
      </c>
      <c r="U31">
        <v>155492.09999999998</v>
      </c>
      <c r="V31">
        <v>0</v>
      </c>
      <c r="W31">
        <v>-155492.09999999998</v>
      </c>
      <c r="X31">
        <v>157.32</v>
      </c>
    </row>
    <row r="32" spans="1:24">
      <c r="A32" t="s">
        <v>1337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918.7</v>
      </c>
      <c r="N32">
        <v>204.38</v>
      </c>
      <c r="O32">
        <v>1123.08</v>
      </c>
      <c r="P32">
        <v>3108.41</v>
      </c>
      <c r="Q32">
        <v>42.51</v>
      </c>
      <c r="R32">
        <v>0</v>
      </c>
      <c r="S32">
        <v>10011.42</v>
      </c>
      <c r="T32">
        <v>0</v>
      </c>
      <c r="U32">
        <v>14285.419999999998</v>
      </c>
      <c r="V32">
        <v>0</v>
      </c>
      <c r="W32">
        <v>-14285.419999999998</v>
      </c>
      <c r="X32">
        <v>0</v>
      </c>
    </row>
    <row r="33" spans="1:24">
      <c r="A33" t="s">
        <v>1338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616027.76</v>
      </c>
      <c r="K33">
        <v>247912.95999999999</v>
      </c>
      <c r="L33">
        <v>0</v>
      </c>
      <c r="M33">
        <v>321239.09999999998</v>
      </c>
      <c r="N33">
        <v>0</v>
      </c>
      <c r="O33">
        <v>321239.09999999998</v>
      </c>
      <c r="P33">
        <v>15413.140000000003</v>
      </c>
      <c r="Q33">
        <v>3092.12</v>
      </c>
      <c r="R33">
        <v>6602.56</v>
      </c>
      <c r="S33">
        <v>1156.2799999999997</v>
      </c>
      <c r="T33">
        <v>0</v>
      </c>
      <c r="U33">
        <v>1211443.92</v>
      </c>
      <c r="V33">
        <v>0</v>
      </c>
      <c r="W33">
        <v>-1211443.92</v>
      </c>
      <c r="X33">
        <v>0</v>
      </c>
    </row>
    <row r="34" spans="1:24">
      <c r="A34" t="s">
        <v>1339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900.85</v>
      </c>
      <c r="I34">
        <v>900.85</v>
      </c>
      <c r="J34">
        <v>1202463.32</v>
      </c>
      <c r="K34">
        <v>335644.81</v>
      </c>
      <c r="L34">
        <v>0</v>
      </c>
      <c r="M34">
        <v>10137876.369999999</v>
      </c>
      <c r="N34">
        <v>1813169.4000000001</v>
      </c>
      <c r="O34">
        <v>11951045.77</v>
      </c>
      <c r="P34">
        <v>28715.850000000002</v>
      </c>
      <c r="Q34">
        <v>3000713.44</v>
      </c>
      <c r="R34">
        <v>549848.1100000001</v>
      </c>
      <c r="S34">
        <v>605288.71</v>
      </c>
      <c r="T34">
        <v>187315.82</v>
      </c>
      <c r="U34">
        <v>17861035.830000002</v>
      </c>
      <c r="V34">
        <v>0</v>
      </c>
      <c r="W34">
        <v>-17860134.98</v>
      </c>
      <c r="X34">
        <v>187315.82</v>
      </c>
    </row>
    <row r="35" spans="1:24">
      <c r="A35" t="s">
        <v>1340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3068210.2700000005</v>
      </c>
      <c r="K35">
        <v>1181276.9900000002</v>
      </c>
      <c r="L35">
        <v>0</v>
      </c>
      <c r="M35">
        <v>49532.89</v>
      </c>
      <c r="N35">
        <v>15282.63</v>
      </c>
      <c r="O35">
        <v>64815.520000000004</v>
      </c>
      <c r="P35">
        <v>191132.07</v>
      </c>
      <c r="Q35">
        <v>5745.420000000001</v>
      </c>
      <c r="R35">
        <v>2775.13</v>
      </c>
      <c r="S35">
        <v>7603.2900000000009</v>
      </c>
      <c r="T35">
        <v>6155.869999999999</v>
      </c>
      <c r="U35">
        <v>4527714.5600000005</v>
      </c>
      <c r="V35">
        <v>0</v>
      </c>
      <c r="W35">
        <v>-4527714.5600000005</v>
      </c>
      <c r="X35">
        <v>6155.869999999999</v>
      </c>
    </row>
    <row r="36" spans="1:24">
      <c r="A36" t="s">
        <v>1341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838957.98250000004</v>
      </c>
      <c r="N36">
        <v>0</v>
      </c>
      <c r="O36">
        <v>838957.98250000004</v>
      </c>
      <c r="P36">
        <v>0</v>
      </c>
      <c r="Q36">
        <v>289756.17000000004</v>
      </c>
      <c r="R36">
        <v>87460.71</v>
      </c>
      <c r="S36">
        <v>1722.6399999999999</v>
      </c>
      <c r="T36">
        <v>0</v>
      </c>
      <c r="U36">
        <v>1217897.5024999999</v>
      </c>
      <c r="V36">
        <v>0</v>
      </c>
      <c r="W36">
        <v>-1217897.5024999999</v>
      </c>
      <c r="X36">
        <v>0</v>
      </c>
    </row>
    <row r="37" spans="1:24">
      <c r="A37" t="s">
        <v>567</v>
      </c>
      <c r="M37">
        <v>3654921.05</v>
      </c>
      <c r="O37">
        <v>3654921.05</v>
      </c>
      <c r="U37">
        <v>3654921.05</v>
      </c>
      <c r="W37">
        <v>-3654921.05</v>
      </c>
      <c r="X37">
        <v>0</v>
      </c>
    </row>
    <row r="38" spans="1:24">
      <c r="A38" t="s">
        <v>569</v>
      </c>
      <c r="M38">
        <v>872642.5924999998</v>
      </c>
      <c r="O38">
        <v>872642.5924999998</v>
      </c>
      <c r="U38">
        <v>872642.5924999998</v>
      </c>
      <c r="W38">
        <v>-872642.5924999998</v>
      </c>
      <c r="X38">
        <v>0</v>
      </c>
    </row>
    <row r="39" spans="1:24">
      <c r="A39" t="s">
        <v>1342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6941783.4936347501</v>
      </c>
      <c r="N39">
        <v>0</v>
      </c>
      <c r="O39">
        <v>6941783.4936347501</v>
      </c>
      <c r="P39">
        <v>292.09000000000003</v>
      </c>
      <c r="Q39">
        <v>0</v>
      </c>
      <c r="R39">
        <v>4311.7700000000004</v>
      </c>
      <c r="S39">
        <v>25787.65</v>
      </c>
      <c r="T39">
        <v>0</v>
      </c>
      <c r="U39">
        <v>6972175.0036347499</v>
      </c>
      <c r="V39">
        <v>0</v>
      </c>
      <c r="W39">
        <v>-6972175.0036347499</v>
      </c>
      <c r="X39">
        <v>0</v>
      </c>
    </row>
    <row r="40" spans="1:24">
      <c r="A40" t="s">
        <v>1343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39.380000000000003</v>
      </c>
      <c r="K40">
        <v>3.01</v>
      </c>
      <c r="L40">
        <v>0</v>
      </c>
      <c r="M40">
        <v>2704609.5150000001</v>
      </c>
      <c r="N40">
        <v>0</v>
      </c>
      <c r="O40">
        <v>2704609.5150000001</v>
      </c>
      <c r="P40">
        <v>26337.99</v>
      </c>
      <c r="Q40">
        <v>26.23</v>
      </c>
      <c r="R40">
        <v>0</v>
      </c>
      <c r="S40">
        <v>12358.85</v>
      </c>
      <c r="T40">
        <v>209.42999999999998</v>
      </c>
      <c r="U40">
        <v>2743584.4050000003</v>
      </c>
      <c r="V40">
        <v>0</v>
      </c>
      <c r="W40">
        <v>-2743584.4050000003</v>
      </c>
      <c r="X40">
        <v>209.42999999999998</v>
      </c>
    </row>
    <row r="41" spans="1:24">
      <c r="A41" t="s">
        <v>1344</v>
      </c>
      <c r="B41">
        <v>0</v>
      </c>
      <c r="C41">
        <v>0</v>
      </c>
      <c r="D41">
        <v>4022206</v>
      </c>
      <c r="E41">
        <v>4022206</v>
      </c>
      <c r="F41">
        <v>4022206</v>
      </c>
      <c r="G41">
        <v>1487647.43</v>
      </c>
      <c r="H41">
        <v>530075.30000000005</v>
      </c>
      <c r="I41">
        <v>2017722.73</v>
      </c>
      <c r="J41">
        <v>5901340.3299999991</v>
      </c>
      <c r="K41">
        <v>1170583.4100000001</v>
      </c>
      <c r="L41">
        <v>2365</v>
      </c>
      <c r="M41">
        <v>4967654.5171362497</v>
      </c>
      <c r="N41">
        <v>3142.39</v>
      </c>
      <c r="O41">
        <v>4970796.9071362494</v>
      </c>
      <c r="P41">
        <v>393862.95999999996</v>
      </c>
      <c r="Q41">
        <v>30950.100000000002</v>
      </c>
      <c r="R41">
        <v>115310.54999999999</v>
      </c>
      <c r="S41">
        <v>531229.57000000007</v>
      </c>
      <c r="T41">
        <v>911061.37999999977</v>
      </c>
      <c r="U41">
        <v>14137726.957136253</v>
      </c>
      <c r="V41">
        <v>1905.89</v>
      </c>
      <c r="W41">
        <v>-12118098.337136252</v>
      </c>
      <c r="X41">
        <v>1021288.1299999998</v>
      </c>
    </row>
    <row r="42" spans="1:24">
      <c r="A42" t="s">
        <v>574</v>
      </c>
      <c r="M42">
        <v>636076.26500000001</v>
      </c>
      <c r="O42">
        <v>636076.26500000001</v>
      </c>
      <c r="U42">
        <v>636076.26500000001</v>
      </c>
      <c r="W42">
        <v>-636076.26500000001</v>
      </c>
      <c r="X42">
        <v>0</v>
      </c>
    </row>
    <row r="43" spans="1:24">
      <c r="A43" t="s">
        <v>1345</v>
      </c>
      <c r="M43">
        <v>3352083.0449999999</v>
      </c>
      <c r="O43">
        <v>3352083.0449999999</v>
      </c>
      <c r="U43">
        <v>3352083.0449999999</v>
      </c>
      <c r="W43">
        <v>-3352083.0449999999</v>
      </c>
      <c r="X43">
        <v>0</v>
      </c>
    </row>
    <row r="44" spans="1:24">
      <c r="A44" t="s">
        <v>1346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-2181.13</v>
      </c>
      <c r="K44">
        <v>50.960000000144987</v>
      </c>
      <c r="L44">
        <v>0</v>
      </c>
      <c r="M44">
        <v>2140142.1274999999</v>
      </c>
      <c r="N44">
        <v>0</v>
      </c>
      <c r="O44">
        <v>2140142.1274999999</v>
      </c>
      <c r="P44">
        <v>16481.95</v>
      </c>
      <c r="Q44">
        <v>0</v>
      </c>
      <c r="R44">
        <v>0</v>
      </c>
      <c r="S44">
        <v>0</v>
      </c>
      <c r="T44">
        <v>3672.67</v>
      </c>
      <c r="U44">
        <v>2158166.5775000001</v>
      </c>
      <c r="V44">
        <v>0</v>
      </c>
      <c r="W44">
        <v>-2183792.1875</v>
      </c>
      <c r="X44">
        <v>29298.28</v>
      </c>
    </row>
    <row r="45" spans="1:24">
      <c r="A45" t="s">
        <v>1347</v>
      </c>
      <c r="M45">
        <v>175756.29749999996</v>
      </c>
      <c r="O45">
        <v>175756.29749999996</v>
      </c>
      <c r="U45">
        <v>175756.29749999996</v>
      </c>
      <c r="W45">
        <v>-175756.29749999996</v>
      </c>
      <c r="X45">
        <v>0</v>
      </c>
    </row>
    <row r="46" spans="1:24">
      <c r="A46" t="s">
        <v>1348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300916.22249999997</v>
      </c>
      <c r="N46">
        <v>0</v>
      </c>
      <c r="O46">
        <v>300916.22249999997</v>
      </c>
      <c r="P46">
        <v>18.98</v>
      </c>
      <c r="Q46">
        <v>97.38</v>
      </c>
      <c r="R46">
        <v>0</v>
      </c>
      <c r="S46">
        <v>0</v>
      </c>
      <c r="T46">
        <v>0</v>
      </c>
      <c r="U46">
        <v>301032.58249999996</v>
      </c>
      <c r="V46">
        <v>0</v>
      </c>
      <c r="W46">
        <v>-301032.58249999996</v>
      </c>
      <c r="X46">
        <v>0</v>
      </c>
    </row>
    <row r="47" spans="1:24">
      <c r="A47" t="s">
        <v>579</v>
      </c>
      <c r="M47">
        <v>104827.52750000003</v>
      </c>
      <c r="O47">
        <v>104827.52750000003</v>
      </c>
      <c r="U47">
        <v>104827.52750000003</v>
      </c>
      <c r="W47">
        <v>-104827.52750000003</v>
      </c>
      <c r="X47">
        <v>0</v>
      </c>
    </row>
    <row r="48" spans="1:24">
      <c r="A48" t="s">
        <v>1349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2425.81</v>
      </c>
      <c r="I48">
        <v>2425.81</v>
      </c>
      <c r="J48">
        <v>0</v>
      </c>
      <c r="K48">
        <v>0</v>
      </c>
      <c r="L48">
        <v>0</v>
      </c>
      <c r="M48">
        <v>3919540.9096307494</v>
      </c>
      <c r="N48">
        <v>0</v>
      </c>
      <c r="O48">
        <v>3919540.9096307494</v>
      </c>
      <c r="P48">
        <v>5280.22</v>
      </c>
      <c r="Q48">
        <v>0</v>
      </c>
      <c r="R48">
        <v>4004.76</v>
      </c>
      <c r="S48">
        <v>19085.789999999997</v>
      </c>
      <c r="T48">
        <v>0</v>
      </c>
      <c r="U48">
        <v>3947911.6796307499</v>
      </c>
      <c r="V48">
        <v>0</v>
      </c>
      <c r="W48">
        <v>-3945485.8696307493</v>
      </c>
      <c r="X48">
        <v>0</v>
      </c>
    </row>
    <row r="49" spans="1:24">
      <c r="A49" t="s">
        <v>581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1544526.70456375</v>
      </c>
      <c r="N49">
        <v>0</v>
      </c>
      <c r="O49">
        <v>1544526.70456375</v>
      </c>
      <c r="P49">
        <v>147</v>
      </c>
      <c r="Q49">
        <v>0</v>
      </c>
      <c r="R49">
        <v>0</v>
      </c>
      <c r="S49">
        <v>0</v>
      </c>
      <c r="T49">
        <v>0</v>
      </c>
      <c r="U49">
        <v>1544673.70456375</v>
      </c>
      <c r="V49">
        <v>0</v>
      </c>
      <c r="W49">
        <v>-1544673.70456375</v>
      </c>
      <c r="X49">
        <v>0</v>
      </c>
    </row>
    <row r="50" spans="1:24">
      <c r="A50" t="s">
        <v>1351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18750</v>
      </c>
      <c r="M50">
        <v>7580781.2291360004</v>
      </c>
      <c r="N50">
        <v>0</v>
      </c>
      <c r="O50">
        <v>7580781.2291360004</v>
      </c>
      <c r="P50">
        <v>8</v>
      </c>
      <c r="Q50">
        <v>0</v>
      </c>
      <c r="R50">
        <v>0</v>
      </c>
      <c r="S50">
        <v>467.41</v>
      </c>
      <c r="T50">
        <v>0</v>
      </c>
      <c r="U50">
        <v>7600006.6391360005</v>
      </c>
      <c r="V50">
        <v>0</v>
      </c>
      <c r="W50">
        <v>-7600006.6391360005</v>
      </c>
      <c r="X50">
        <v>0</v>
      </c>
    </row>
    <row r="51" spans="1:24">
      <c r="A51" t="s">
        <v>1352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4876.1400000000003</v>
      </c>
      <c r="I51">
        <v>4876.1400000000003</v>
      </c>
      <c r="J51">
        <v>3131040.78</v>
      </c>
      <c r="K51">
        <v>693822.04</v>
      </c>
      <c r="L51">
        <v>0</v>
      </c>
      <c r="M51">
        <v>978457.14749999996</v>
      </c>
      <c r="N51">
        <v>-20327.95</v>
      </c>
      <c r="O51">
        <v>958129.19750000001</v>
      </c>
      <c r="P51">
        <v>20581.13</v>
      </c>
      <c r="Q51">
        <v>1340.47</v>
      </c>
      <c r="R51">
        <v>277563.17</v>
      </c>
      <c r="S51">
        <v>28605.690000000002</v>
      </c>
      <c r="T51">
        <v>120853.59999999999</v>
      </c>
      <c r="U51">
        <v>5231936.0774999997</v>
      </c>
      <c r="V51">
        <v>0</v>
      </c>
      <c r="W51">
        <v>-5227059.9375</v>
      </c>
      <c r="X51">
        <v>120853.59999999999</v>
      </c>
    </row>
    <row r="52" spans="1:24">
      <c r="A52" t="s">
        <v>1353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3703.79</v>
      </c>
      <c r="I52">
        <v>3703.79</v>
      </c>
      <c r="J52">
        <v>1029103.27</v>
      </c>
      <c r="K52">
        <v>236385.43</v>
      </c>
      <c r="L52">
        <v>0</v>
      </c>
      <c r="M52">
        <v>1081791.06</v>
      </c>
      <c r="N52">
        <v>3048.98</v>
      </c>
      <c r="O52">
        <v>1084840.04</v>
      </c>
      <c r="P52">
        <v>39334.020000000004</v>
      </c>
      <c r="Q52">
        <v>0</v>
      </c>
      <c r="R52">
        <v>3955.16</v>
      </c>
      <c r="S52">
        <v>46057.770000000004</v>
      </c>
      <c r="T52">
        <v>6317.39</v>
      </c>
      <c r="U52">
        <v>2445993.08</v>
      </c>
      <c r="V52">
        <v>0</v>
      </c>
      <c r="W52">
        <v>-2442289.29</v>
      </c>
      <c r="X52">
        <v>6317.39</v>
      </c>
    </row>
    <row r="53" spans="1:24">
      <c r="A53" t="s">
        <v>1355</v>
      </c>
      <c r="M53">
        <v>112544.0675</v>
      </c>
      <c r="O53">
        <v>112544.0675</v>
      </c>
      <c r="U53">
        <v>112544.0675</v>
      </c>
      <c r="W53">
        <v>-112544.0675</v>
      </c>
      <c r="X53">
        <v>0</v>
      </c>
    </row>
    <row r="54" spans="1:24">
      <c r="A54" t="s">
        <v>1356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74543.632049000007</v>
      </c>
      <c r="N54">
        <v>0</v>
      </c>
      <c r="O54">
        <v>74543.632049000007</v>
      </c>
      <c r="P54">
        <v>64.63</v>
      </c>
      <c r="Q54">
        <v>0</v>
      </c>
      <c r="R54">
        <v>0</v>
      </c>
      <c r="S54">
        <v>167.74</v>
      </c>
      <c r="T54">
        <v>0</v>
      </c>
      <c r="U54">
        <v>74776.002049000002</v>
      </c>
      <c r="V54">
        <v>18018554.200000003</v>
      </c>
      <c r="W54">
        <v>17943778.197951004</v>
      </c>
      <c r="X54">
        <v>0</v>
      </c>
    </row>
    <row r="55" spans="1:24">
      <c r="A55" t="s">
        <v>1357</v>
      </c>
      <c r="B55">
        <v>-187488.58999999997</v>
      </c>
      <c r="C55">
        <v>-938287.81999999983</v>
      </c>
      <c r="D55">
        <v>0</v>
      </c>
      <c r="E55">
        <v>-938287.81999999983</v>
      </c>
      <c r="F55">
        <v>-1125776.4100000001</v>
      </c>
      <c r="G55">
        <v>-1857957718.6500001</v>
      </c>
      <c r="H55">
        <v>12302.300000000017</v>
      </c>
      <c r="I55">
        <v>-1857945416.3499999</v>
      </c>
      <c r="J55">
        <v>294565.28000000003</v>
      </c>
      <c r="K55">
        <v>1947.3</v>
      </c>
      <c r="L55">
        <v>1494533.43</v>
      </c>
      <c r="M55">
        <v>20899615.949397001</v>
      </c>
      <c r="N55">
        <v>70579.539999999994</v>
      </c>
      <c r="O55">
        <v>25768971.489397001</v>
      </c>
      <c r="P55">
        <v>370397.21999999858</v>
      </c>
      <c r="Q55">
        <v>12011.130000000001</v>
      </c>
      <c r="R55">
        <v>29405738.600000005</v>
      </c>
      <c r="S55">
        <v>166629.06999999995</v>
      </c>
      <c r="T55">
        <v>17749002.039999999</v>
      </c>
      <c r="U55">
        <v>74487675.369396985</v>
      </c>
      <c r="V55">
        <v>-1814043.45</v>
      </c>
      <c r="W55">
        <v>-1933827339.0993972</v>
      </c>
      <c r="X55">
        <v>16553085.780000001</v>
      </c>
    </row>
    <row r="56" spans="1:24">
      <c r="A56" t="s">
        <v>1443</v>
      </c>
      <c r="M56">
        <v>215619.98499999999</v>
      </c>
      <c r="O56">
        <v>215619.98499999999</v>
      </c>
      <c r="U56">
        <v>215619.98499999999</v>
      </c>
      <c r="W56">
        <v>-215619.98499999999</v>
      </c>
      <c r="X56">
        <v>0</v>
      </c>
    </row>
    <row r="57" spans="1:24">
      <c r="A57" t="s">
        <v>1358</v>
      </c>
      <c r="B57">
        <v>1052674086.5399998</v>
      </c>
      <c r="C57">
        <v>1373388334.8700004</v>
      </c>
      <c r="D57">
        <v>252512910.91000003</v>
      </c>
      <c r="E57">
        <v>1625901245.7800004</v>
      </c>
      <c r="F57">
        <v>2678575332.3199997</v>
      </c>
      <c r="G57">
        <v>671826930.04999948</v>
      </c>
      <c r="H57">
        <v>5746464.5700000003</v>
      </c>
      <c r="I57">
        <v>677573394.61999953</v>
      </c>
      <c r="J57">
        <v>193640399.63999996</v>
      </c>
      <c r="K57">
        <v>41619655.539999999</v>
      </c>
      <c r="L57">
        <v>42048900.119999997</v>
      </c>
      <c r="M57">
        <v>136554348.66</v>
      </c>
      <c r="N57">
        <v>4135415.0599999996</v>
      </c>
      <c r="O57">
        <v>146338607.74000001</v>
      </c>
      <c r="P57">
        <v>107520410.93999995</v>
      </c>
      <c r="Q57">
        <v>4642352.87</v>
      </c>
      <c r="R57">
        <v>46215678.320000008</v>
      </c>
      <c r="S57">
        <v>13217957.820000002</v>
      </c>
      <c r="T57">
        <v>23312823.649999999</v>
      </c>
      <c r="U57">
        <v>619373143.60000002</v>
      </c>
      <c r="V57">
        <v>15539565.820000004</v>
      </c>
      <c r="W57">
        <v>74133987.29999955</v>
      </c>
      <c r="X57">
        <v>23735010.149999999</v>
      </c>
    </row>
    <row r="58" spans="1:24">
      <c r="A58" t="s">
        <v>1358</v>
      </c>
      <c r="B58">
        <v>1052674086.5399998</v>
      </c>
      <c r="C58">
        <v>1373388334.8700004</v>
      </c>
      <c r="D58">
        <v>252512910.91000003</v>
      </c>
      <c r="E58">
        <v>1625901245.7800004</v>
      </c>
      <c r="F58">
        <v>2678575332.3199997</v>
      </c>
      <c r="G58">
        <v>671826930.04999948</v>
      </c>
      <c r="H58">
        <v>5746464.5700000003</v>
      </c>
      <c r="I58">
        <v>677573394.61999953</v>
      </c>
      <c r="J58">
        <v>193640399.63999996</v>
      </c>
      <c r="K58">
        <v>41619655.539999999</v>
      </c>
      <c r="L58">
        <v>42048900.119999997</v>
      </c>
      <c r="M58">
        <v>136554348.65999997</v>
      </c>
      <c r="N58">
        <v>4135415.0599999996</v>
      </c>
      <c r="O58">
        <v>146338607.74000001</v>
      </c>
      <c r="P58">
        <v>107520410.93999995</v>
      </c>
      <c r="Q58">
        <v>4642352.87</v>
      </c>
      <c r="R58">
        <v>46215678.320000008</v>
      </c>
      <c r="S58">
        <v>13217957.820000002</v>
      </c>
      <c r="T58">
        <v>23312823.649999999</v>
      </c>
      <c r="U58">
        <v>619373143.60000002</v>
      </c>
      <c r="V58">
        <v>15539565.820000004</v>
      </c>
      <c r="W58">
        <v>74133987.29999955</v>
      </c>
      <c r="X58">
        <v>23735010.149999999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opLeftCell="F1" workbookViewId="0">
      <selection activeCell="H16" sqref="H16"/>
    </sheetView>
  </sheetViews>
  <sheetFormatPr defaultRowHeight="15"/>
  <cols>
    <col min="1" max="1" width="30.58203125" bestFit="1" customWidth="1"/>
    <col min="2" max="4" width="40.75" bestFit="1" customWidth="1"/>
    <col min="5" max="5" width="32.58203125" bestFit="1" customWidth="1"/>
    <col min="6" max="6" width="38.75" bestFit="1" customWidth="1"/>
    <col min="7" max="7" width="36.6640625" bestFit="1" customWidth="1"/>
    <col min="8" max="8" width="33.6640625" bestFit="1" customWidth="1"/>
    <col min="9" max="9" width="31.58203125" bestFit="1" customWidth="1"/>
    <col min="10" max="10" width="26.4140625" bestFit="1" customWidth="1"/>
    <col min="11" max="11" width="25.4140625" bestFit="1" customWidth="1"/>
    <col min="12" max="12" width="33.6640625" bestFit="1" customWidth="1"/>
    <col min="13" max="13" width="26.4140625" bestFit="1" customWidth="1"/>
    <col min="14" max="14" width="31.58203125" bestFit="1" customWidth="1"/>
    <col min="15" max="15" width="30.58203125" bestFit="1" customWidth="1"/>
    <col min="16" max="16" width="24.33203125" bestFit="1" customWidth="1"/>
    <col min="17" max="17" width="25.4140625" bestFit="1" customWidth="1"/>
    <col min="18" max="18" width="37.75" bestFit="1" customWidth="1"/>
    <col min="19" max="19" width="26.4140625" bestFit="1" customWidth="1"/>
    <col min="20" max="20" width="22.33203125" bestFit="1" customWidth="1"/>
    <col min="21" max="21" width="32.58203125" bestFit="1" customWidth="1"/>
    <col min="22" max="22" width="35.6640625" bestFit="1" customWidth="1"/>
    <col min="23" max="23" width="24.33203125" bestFit="1" customWidth="1"/>
  </cols>
  <sheetData>
    <row r="1" spans="1:23">
      <c r="A1" t="s">
        <v>1359</v>
      </c>
      <c r="B1" s="280"/>
      <c r="C1" s="280"/>
    </row>
    <row r="3" spans="1:23">
      <c r="A3" t="s">
        <v>1283</v>
      </c>
      <c r="B3" t="s">
        <v>1284</v>
      </c>
      <c r="C3" t="s">
        <v>1285</v>
      </c>
      <c r="D3" t="s">
        <v>1286</v>
      </c>
      <c r="E3" t="s">
        <v>1287</v>
      </c>
      <c r="F3" t="s">
        <v>1288</v>
      </c>
      <c r="G3" t="s">
        <v>1289</v>
      </c>
      <c r="H3" t="s">
        <v>1290</v>
      </c>
      <c r="I3" t="s">
        <v>1291</v>
      </c>
      <c r="J3" t="s">
        <v>1292</v>
      </c>
      <c r="K3" t="s">
        <v>1293</v>
      </c>
      <c r="L3" t="s">
        <v>1294</v>
      </c>
      <c r="M3" t="s">
        <v>1295</v>
      </c>
      <c r="N3" t="s">
        <v>1296</v>
      </c>
      <c r="O3" t="s">
        <v>1297</v>
      </c>
      <c r="P3" t="s">
        <v>1298</v>
      </c>
      <c r="Q3" t="s">
        <v>1299</v>
      </c>
      <c r="R3" t="s">
        <v>1300</v>
      </c>
      <c r="S3" t="s">
        <v>1301</v>
      </c>
      <c r="T3" t="s">
        <v>1302</v>
      </c>
      <c r="U3" t="s">
        <v>1303</v>
      </c>
      <c r="V3" t="s">
        <v>1304</v>
      </c>
      <c r="W3" t="s">
        <v>1305</v>
      </c>
    </row>
    <row r="4" spans="1:23">
      <c r="A4" t="s">
        <v>1306</v>
      </c>
      <c r="B4">
        <v>36995871.610000014</v>
      </c>
      <c r="C4">
        <v>96090.799999999988</v>
      </c>
      <c r="D4">
        <v>0</v>
      </c>
      <c r="E4">
        <v>96090.799999999988</v>
      </c>
      <c r="F4">
        <v>37091962.410000011</v>
      </c>
      <c r="G4">
        <v>37091962.410000011</v>
      </c>
      <c r="H4">
        <v>0</v>
      </c>
      <c r="I4">
        <v>37091962.410000011</v>
      </c>
      <c r="J4">
        <v>5808922.879999999</v>
      </c>
      <c r="K4">
        <v>1174128.2500000002</v>
      </c>
      <c r="L4">
        <v>894450.26</v>
      </c>
      <c r="M4">
        <v>67589.37999999999</v>
      </c>
      <c r="N4">
        <v>2056.13</v>
      </c>
      <c r="O4">
        <v>69645.509999999995</v>
      </c>
      <c r="P4">
        <v>708566.23999999987</v>
      </c>
      <c r="Q4">
        <v>1049</v>
      </c>
      <c r="R4">
        <v>150414.71</v>
      </c>
      <c r="S4">
        <v>15218.560000000001</v>
      </c>
      <c r="T4">
        <v>3403.73</v>
      </c>
      <c r="U4">
        <v>8825799.1400000006</v>
      </c>
      <c r="V4">
        <v>0</v>
      </c>
      <c r="W4">
        <v>28266163.270000007</v>
      </c>
    </row>
    <row r="5" spans="1:23">
      <c r="A5" t="s">
        <v>1307</v>
      </c>
      <c r="B5">
        <v>195219316.60999998</v>
      </c>
      <c r="C5">
        <v>17379467.469999999</v>
      </c>
      <c r="D5">
        <v>0</v>
      </c>
      <c r="E5">
        <v>17379467.469999999</v>
      </c>
      <c r="F5">
        <v>212598784.08000001</v>
      </c>
      <c r="G5">
        <v>212598784.08000001</v>
      </c>
      <c r="H5">
        <v>3316.66</v>
      </c>
      <c r="I5">
        <v>212602100.73999998</v>
      </c>
      <c r="J5">
        <v>32941979.420000002</v>
      </c>
      <c r="K5">
        <v>7381305.6399999997</v>
      </c>
      <c r="L5">
        <v>5293358.7300000004</v>
      </c>
      <c r="M5">
        <v>467160.6399999999</v>
      </c>
      <c r="N5">
        <v>67473.990000000005</v>
      </c>
      <c r="O5">
        <v>534634.63</v>
      </c>
      <c r="P5">
        <v>2017672.2300000002</v>
      </c>
      <c r="Q5">
        <v>7673.5700000000006</v>
      </c>
      <c r="R5">
        <v>231847.16</v>
      </c>
      <c r="S5">
        <v>16552.27</v>
      </c>
      <c r="T5">
        <v>40480.58</v>
      </c>
      <c r="U5">
        <v>48465504.230000012</v>
      </c>
      <c r="V5">
        <v>0</v>
      </c>
      <c r="W5">
        <v>164136596.50999999</v>
      </c>
    </row>
    <row r="6" spans="1:23">
      <c r="A6" t="s">
        <v>1308</v>
      </c>
      <c r="M6">
        <v>119784.64750000001</v>
      </c>
      <c r="O6">
        <v>119784.64750000001</v>
      </c>
      <c r="U6">
        <v>119784.64750000001</v>
      </c>
      <c r="W6">
        <v>-119784.64750000001</v>
      </c>
    </row>
    <row r="7" spans="1:23">
      <c r="A7" t="s">
        <v>1309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341.1</v>
      </c>
      <c r="R7">
        <v>0</v>
      </c>
      <c r="S7">
        <v>422.53</v>
      </c>
      <c r="T7">
        <v>0</v>
      </c>
      <c r="U7">
        <v>763.62999999999988</v>
      </c>
      <c r="V7">
        <v>0</v>
      </c>
      <c r="W7">
        <v>-763.62999999999988</v>
      </c>
    </row>
    <row r="8" spans="1:23">
      <c r="A8" t="s">
        <v>1310</v>
      </c>
      <c r="B8">
        <v>60571494.869999997</v>
      </c>
      <c r="C8">
        <v>4298308.4400000004</v>
      </c>
      <c r="D8">
        <v>0</v>
      </c>
      <c r="E8">
        <v>4298308.4400000004</v>
      </c>
      <c r="F8">
        <v>64869803.310000002</v>
      </c>
      <c r="G8">
        <v>64869803.310000002</v>
      </c>
      <c r="H8">
        <v>7583.57</v>
      </c>
      <c r="I8">
        <v>64877386.879999995</v>
      </c>
      <c r="J8">
        <v>7498846.8699999992</v>
      </c>
      <c r="K8">
        <v>1563156.69</v>
      </c>
      <c r="L8">
        <v>1519079.29</v>
      </c>
      <c r="M8">
        <v>1100703.73</v>
      </c>
      <c r="N8">
        <v>4355.8799999999992</v>
      </c>
      <c r="O8">
        <v>1105059.6099999999</v>
      </c>
      <c r="P8">
        <v>794572.83</v>
      </c>
      <c r="Q8">
        <v>2094.2699999999995</v>
      </c>
      <c r="R8">
        <v>229836.4</v>
      </c>
      <c r="S8">
        <v>11075.9</v>
      </c>
      <c r="T8">
        <v>30530.57</v>
      </c>
      <c r="U8">
        <v>12754252.430000002</v>
      </c>
      <c r="V8">
        <v>0</v>
      </c>
      <c r="W8">
        <v>52123134.450000003</v>
      </c>
    </row>
    <row r="9" spans="1:23">
      <c r="A9" t="s">
        <v>1311</v>
      </c>
      <c r="M9">
        <v>330012.41500000004</v>
      </c>
      <c r="O9">
        <v>330012.41500000004</v>
      </c>
      <c r="U9">
        <v>330012.41500000004</v>
      </c>
      <c r="W9">
        <v>-330012.41500000004</v>
      </c>
    </row>
    <row r="10" spans="1:23">
      <c r="A10" t="s">
        <v>1312</v>
      </c>
      <c r="B10">
        <v>222754045.53000003</v>
      </c>
      <c r="C10">
        <v>209123792.50000003</v>
      </c>
      <c r="D10">
        <v>0</v>
      </c>
      <c r="E10">
        <v>209123792.50000003</v>
      </c>
      <c r="F10">
        <v>431877838.03000003</v>
      </c>
      <c r="G10">
        <v>431877838.03000003</v>
      </c>
      <c r="H10">
        <v>364</v>
      </c>
      <c r="I10">
        <v>431878202.03000003</v>
      </c>
      <c r="J10">
        <v>9848226.870000001</v>
      </c>
      <c r="K10">
        <v>2079245.48</v>
      </c>
      <c r="L10">
        <v>3632366.89</v>
      </c>
      <c r="M10">
        <v>964451.44000000006</v>
      </c>
      <c r="N10">
        <v>538060.70000000007</v>
      </c>
      <c r="O10">
        <v>1502512.1400000001</v>
      </c>
      <c r="P10">
        <v>21822590.370000001</v>
      </c>
      <c r="Q10">
        <v>3857.46</v>
      </c>
      <c r="R10">
        <v>4541946.32</v>
      </c>
      <c r="S10">
        <v>1373297.17</v>
      </c>
      <c r="T10">
        <v>92682.069999999978</v>
      </c>
      <c r="U10">
        <v>44896724.770000011</v>
      </c>
      <c r="V10">
        <v>0</v>
      </c>
      <c r="W10">
        <v>386981477.25999993</v>
      </c>
    </row>
    <row r="11" spans="1:23">
      <c r="A11" t="s">
        <v>1313</v>
      </c>
      <c r="B11">
        <v>15435530.939999998</v>
      </c>
      <c r="C11">
        <v>36398005.560000002</v>
      </c>
      <c r="D11">
        <v>0</v>
      </c>
      <c r="E11">
        <v>36398005.560000002</v>
      </c>
      <c r="F11">
        <v>51833536.5</v>
      </c>
      <c r="G11">
        <v>51833536.5</v>
      </c>
      <c r="H11">
        <v>0</v>
      </c>
      <c r="I11">
        <v>51833536.5</v>
      </c>
      <c r="J11">
        <v>4619032.41</v>
      </c>
      <c r="K11">
        <v>1006385.99</v>
      </c>
      <c r="L11">
        <v>0</v>
      </c>
      <c r="M11">
        <v>28490.389999999996</v>
      </c>
      <c r="N11">
        <v>12.51</v>
      </c>
      <c r="O11">
        <v>28502.899999999994</v>
      </c>
      <c r="P11">
        <v>481724.90999999992</v>
      </c>
      <c r="Q11">
        <v>1612.3300000000004</v>
      </c>
      <c r="R11">
        <v>9408.7800000000007</v>
      </c>
      <c r="S11">
        <v>3116.67</v>
      </c>
      <c r="T11">
        <v>14970.739999999991</v>
      </c>
      <c r="U11">
        <v>6164754.7300000014</v>
      </c>
      <c r="V11">
        <v>0</v>
      </c>
      <c r="W11">
        <v>45668781.769999996</v>
      </c>
    </row>
    <row r="12" spans="1:23">
      <c r="A12" t="s">
        <v>1314</v>
      </c>
      <c r="B12">
        <v>8055699.71</v>
      </c>
      <c r="C12">
        <v>14339474.689999999</v>
      </c>
      <c r="D12">
        <v>0</v>
      </c>
      <c r="E12">
        <v>14339474.689999999</v>
      </c>
      <c r="F12">
        <v>22395174.399999999</v>
      </c>
      <c r="G12">
        <v>22395174.399999999</v>
      </c>
      <c r="H12">
        <v>0</v>
      </c>
      <c r="I12">
        <v>22395174.399999999</v>
      </c>
      <c r="J12">
        <v>294443.81</v>
      </c>
      <c r="K12">
        <v>78282.000000000015</v>
      </c>
      <c r="L12">
        <v>409954.48</v>
      </c>
      <c r="M12">
        <v>381509.52</v>
      </c>
      <c r="N12">
        <v>821.08</v>
      </c>
      <c r="O12">
        <v>382330.60000000003</v>
      </c>
      <c r="P12">
        <v>401212.72000000003</v>
      </c>
      <c r="Q12">
        <v>0</v>
      </c>
      <c r="R12">
        <v>0</v>
      </c>
      <c r="S12">
        <v>4940.9400000000005</v>
      </c>
      <c r="T12">
        <v>0</v>
      </c>
      <c r="U12">
        <v>1571164.5500000003</v>
      </c>
      <c r="V12">
        <v>0</v>
      </c>
      <c r="W12">
        <v>20824009.849999998</v>
      </c>
    </row>
    <row r="13" spans="1:23">
      <c r="A13" t="s">
        <v>1315</v>
      </c>
      <c r="M13">
        <v>14991.054452499991</v>
      </c>
      <c r="O13">
        <v>14991.054452499991</v>
      </c>
      <c r="U13">
        <v>14991.054452499991</v>
      </c>
      <c r="W13">
        <v>-14991.054452499991</v>
      </c>
    </row>
    <row r="14" spans="1:23">
      <c r="A14" t="s">
        <v>1316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2073165.7200000002</v>
      </c>
      <c r="K14">
        <v>629059.80999999994</v>
      </c>
      <c r="L14">
        <v>0</v>
      </c>
      <c r="M14">
        <v>38829.770000000004</v>
      </c>
      <c r="N14">
        <v>170538.88000000003</v>
      </c>
      <c r="O14">
        <v>209368.65000000005</v>
      </c>
      <c r="P14">
        <v>-857551.18000000052</v>
      </c>
      <c r="Q14">
        <v>0</v>
      </c>
      <c r="R14">
        <v>206248.56</v>
      </c>
      <c r="S14">
        <v>46598.500000000007</v>
      </c>
      <c r="T14">
        <v>91367.53</v>
      </c>
      <c r="U14">
        <v>2398257.59</v>
      </c>
      <c r="V14">
        <v>0</v>
      </c>
      <c r="W14">
        <v>-2398257.59</v>
      </c>
    </row>
    <row r="15" spans="1:23">
      <c r="A15" t="s">
        <v>1317</v>
      </c>
      <c r="B15">
        <v>65085801.170000002</v>
      </c>
      <c r="C15">
        <v>36401080.159999996</v>
      </c>
      <c r="D15">
        <v>0</v>
      </c>
      <c r="E15">
        <v>36401080.159999996</v>
      </c>
      <c r="F15">
        <v>101486881.32999998</v>
      </c>
      <c r="G15">
        <v>101486881.32999998</v>
      </c>
      <c r="H15">
        <v>122915.09</v>
      </c>
      <c r="I15">
        <v>101609796.42000002</v>
      </c>
      <c r="J15">
        <v>4537988.0299999993</v>
      </c>
      <c r="K15">
        <v>1071197.95</v>
      </c>
      <c r="L15">
        <v>60171.49</v>
      </c>
      <c r="M15">
        <v>4135589.8424999989</v>
      </c>
      <c r="N15">
        <v>43386.29</v>
      </c>
      <c r="O15">
        <v>4178976.1324999989</v>
      </c>
      <c r="P15">
        <v>4248022.34</v>
      </c>
      <c r="Q15">
        <v>63.88</v>
      </c>
      <c r="R15">
        <v>81539.820000000007</v>
      </c>
      <c r="S15">
        <v>76297.77</v>
      </c>
      <c r="T15">
        <v>565196.33000000007</v>
      </c>
      <c r="U15">
        <v>14819453.7425</v>
      </c>
      <c r="V15">
        <v>0</v>
      </c>
      <c r="W15">
        <v>86790342.67750001</v>
      </c>
    </row>
    <row r="16" spans="1:23">
      <c r="A16" t="s">
        <v>1318</v>
      </c>
      <c r="B16">
        <v>20929325.84</v>
      </c>
      <c r="C16">
        <v>12597609.68</v>
      </c>
      <c r="D16">
        <v>0</v>
      </c>
      <c r="E16">
        <v>12597609.68</v>
      </c>
      <c r="F16">
        <v>33526935.52</v>
      </c>
      <c r="G16">
        <v>33526935.52</v>
      </c>
      <c r="H16">
        <v>0</v>
      </c>
      <c r="I16">
        <v>33526935.52</v>
      </c>
      <c r="J16">
        <v>490154.9200000001</v>
      </c>
      <c r="K16">
        <v>109677.36999999998</v>
      </c>
      <c r="L16">
        <v>135997.07</v>
      </c>
      <c r="M16">
        <v>85172.82</v>
      </c>
      <c r="N16">
        <v>94668.67</v>
      </c>
      <c r="O16">
        <v>179841.49</v>
      </c>
      <c r="P16">
        <v>11234.910000000002</v>
      </c>
      <c r="Q16">
        <v>14.52</v>
      </c>
      <c r="R16">
        <v>164028.62</v>
      </c>
      <c r="S16">
        <v>0</v>
      </c>
      <c r="T16">
        <v>826.04</v>
      </c>
      <c r="U16">
        <v>1091774.94</v>
      </c>
      <c r="V16">
        <v>0</v>
      </c>
      <c r="W16">
        <v>32435160.580000002</v>
      </c>
    </row>
    <row r="17" spans="1:23">
      <c r="A17" t="s">
        <v>1319</v>
      </c>
      <c r="B17">
        <v>6356582.4800000004</v>
      </c>
      <c r="C17">
        <v>15730749.129999999</v>
      </c>
      <c r="D17">
        <v>0</v>
      </c>
      <c r="E17">
        <v>15730749.129999999</v>
      </c>
      <c r="F17">
        <v>22087331.609999999</v>
      </c>
      <c r="G17">
        <v>22087331.609999999</v>
      </c>
      <c r="H17">
        <v>0</v>
      </c>
      <c r="I17">
        <v>22087331.609999999</v>
      </c>
      <c r="J17">
        <v>487374.59000000008</v>
      </c>
      <c r="K17">
        <v>108676.5</v>
      </c>
      <c r="L17">
        <v>0</v>
      </c>
      <c r="M17">
        <v>24811.08</v>
      </c>
      <c r="N17">
        <v>27721.65</v>
      </c>
      <c r="O17">
        <v>52532.729999999996</v>
      </c>
      <c r="P17">
        <v>88013.170000000013</v>
      </c>
      <c r="Q17">
        <v>432.15</v>
      </c>
      <c r="R17">
        <v>7428.58</v>
      </c>
      <c r="S17">
        <v>1521.05</v>
      </c>
      <c r="T17">
        <v>553.04000000000019</v>
      </c>
      <c r="U17">
        <v>746531.81</v>
      </c>
      <c r="V17">
        <v>0</v>
      </c>
      <c r="W17">
        <v>21340799.800000001</v>
      </c>
    </row>
    <row r="18" spans="1:23">
      <c r="A18" t="s">
        <v>1320</v>
      </c>
      <c r="B18">
        <v>150561929.22</v>
      </c>
      <c r="C18">
        <v>273041739.06000006</v>
      </c>
      <c r="D18">
        <v>0</v>
      </c>
      <c r="E18">
        <v>273041739.06000006</v>
      </c>
      <c r="F18">
        <v>423603668.27999997</v>
      </c>
      <c r="G18">
        <v>423603668.27999997</v>
      </c>
      <c r="H18">
        <v>11687.69</v>
      </c>
      <c r="I18">
        <v>423615355.97000003</v>
      </c>
      <c r="J18">
        <v>12522593.6</v>
      </c>
      <c r="K18">
        <v>2995965.01</v>
      </c>
      <c r="L18">
        <v>557589.54</v>
      </c>
      <c r="M18">
        <v>3406290.8199999994</v>
      </c>
      <c r="N18">
        <v>317284.65000000002</v>
      </c>
      <c r="O18">
        <v>3723575.47</v>
      </c>
      <c r="P18">
        <v>17447975.600000001</v>
      </c>
      <c r="Q18">
        <v>232290.75999999998</v>
      </c>
      <c r="R18">
        <v>1705522.2500000005</v>
      </c>
      <c r="S18">
        <v>1070088.83</v>
      </c>
      <c r="T18">
        <v>32725.489999999998</v>
      </c>
      <c r="U18">
        <v>40288326.549999997</v>
      </c>
      <c r="V18">
        <v>0</v>
      </c>
      <c r="W18">
        <v>383327029.42000002</v>
      </c>
    </row>
    <row r="19" spans="1:23">
      <c r="A19" t="s">
        <v>1321</v>
      </c>
      <c r="B19">
        <v>2707402.5900000003</v>
      </c>
      <c r="C19">
        <v>39218980.479999989</v>
      </c>
      <c r="D19">
        <v>0</v>
      </c>
      <c r="E19">
        <v>39218980.479999989</v>
      </c>
      <c r="F19">
        <v>41926383.07</v>
      </c>
      <c r="G19">
        <v>41926383.07</v>
      </c>
      <c r="H19">
        <v>4210.1499999999996</v>
      </c>
      <c r="I19">
        <v>41930593.219999999</v>
      </c>
      <c r="J19">
        <v>1855120.06</v>
      </c>
      <c r="K19">
        <v>419423.05999999994</v>
      </c>
      <c r="L19">
        <v>36637.5</v>
      </c>
      <c r="M19">
        <v>1173524.9300000002</v>
      </c>
      <c r="N19">
        <v>228552.63</v>
      </c>
      <c r="O19">
        <v>1402077.56</v>
      </c>
      <c r="P19">
        <v>47163.69</v>
      </c>
      <c r="Q19">
        <v>0</v>
      </c>
      <c r="R19">
        <v>115591.27</v>
      </c>
      <c r="S19">
        <v>8646.33</v>
      </c>
      <c r="T19">
        <v>10585.670000000002</v>
      </c>
      <c r="U19">
        <v>3895245.1399999997</v>
      </c>
      <c r="V19">
        <v>0</v>
      </c>
      <c r="W19">
        <v>38035348.079999991</v>
      </c>
    </row>
    <row r="20" spans="1:23">
      <c r="A20" t="s">
        <v>1322</v>
      </c>
      <c r="B20">
        <v>5493616.379999999</v>
      </c>
      <c r="C20">
        <v>9350911.7599999979</v>
      </c>
      <c r="D20">
        <v>0</v>
      </c>
      <c r="E20">
        <v>9350911.7599999979</v>
      </c>
      <c r="F20">
        <v>14844528.140000001</v>
      </c>
      <c r="G20">
        <v>14844528.140000001</v>
      </c>
      <c r="H20">
        <v>0</v>
      </c>
      <c r="I20">
        <v>14844528.140000001</v>
      </c>
      <c r="J20">
        <v>307099.7</v>
      </c>
      <c r="K20">
        <v>65481.46</v>
      </c>
      <c r="L20">
        <v>0</v>
      </c>
      <c r="M20">
        <v>65337.13</v>
      </c>
      <c r="N20">
        <v>0</v>
      </c>
      <c r="O20">
        <v>65337.13</v>
      </c>
      <c r="P20">
        <v>753369.01</v>
      </c>
      <c r="Q20">
        <v>0</v>
      </c>
      <c r="R20">
        <v>135303.47</v>
      </c>
      <c r="S20">
        <v>467.27</v>
      </c>
      <c r="T20">
        <v>61</v>
      </c>
      <c r="U20">
        <v>1327119.04</v>
      </c>
      <c r="V20">
        <v>0</v>
      </c>
      <c r="W20">
        <v>13517409.1</v>
      </c>
    </row>
    <row r="21" spans="1:23">
      <c r="A21" t="s">
        <v>1323</v>
      </c>
      <c r="B21">
        <v>149779547.75999999</v>
      </c>
      <c r="C21">
        <v>91983435.110000014</v>
      </c>
      <c r="D21">
        <v>0</v>
      </c>
      <c r="E21">
        <v>91983435.110000014</v>
      </c>
      <c r="F21">
        <v>241762982.87</v>
      </c>
      <c r="G21">
        <v>241762982.87</v>
      </c>
      <c r="H21">
        <v>0</v>
      </c>
      <c r="I21">
        <v>241762982.87</v>
      </c>
      <c r="J21">
        <v>4955303.91</v>
      </c>
      <c r="K21">
        <v>1036305.4700000001</v>
      </c>
      <c r="L21">
        <v>0</v>
      </c>
      <c r="M21">
        <v>526577.30999999994</v>
      </c>
      <c r="N21">
        <v>93680.39</v>
      </c>
      <c r="O21">
        <v>620257.69999999995</v>
      </c>
      <c r="P21">
        <v>11976472.909999998</v>
      </c>
      <c r="Q21">
        <v>1196.4499999999998</v>
      </c>
      <c r="R21">
        <v>297687.03000000003</v>
      </c>
      <c r="S21">
        <v>39988.420000000006</v>
      </c>
      <c r="T21">
        <v>51503.89</v>
      </c>
      <c r="U21">
        <v>18978715.780000001</v>
      </c>
      <c r="V21">
        <v>0</v>
      </c>
      <c r="W21">
        <v>222784267.09000003</v>
      </c>
    </row>
    <row r="22" spans="1:23">
      <c r="A22" t="s">
        <v>1324</v>
      </c>
      <c r="B22">
        <v>43268174.799999997</v>
      </c>
      <c r="C22">
        <v>19514490.920000002</v>
      </c>
      <c r="D22">
        <v>0</v>
      </c>
      <c r="E22">
        <v>19514490.920000002</v>
      </c>
      <c r="F22">
        <v>62782665.719999991</v>
      </c>
      <c r="G22">
        <v>62782665.719999991</v>
      </c>
      <c r="H22">
        <v>0</v>
      </c>
      <c r="I22">
        <v>62782665.719999991</v>
      </c>
      <c r="J22">
        <v>4751900.5000000009</v>
      </c>
      <c r="K22">
        <v>1182423.32</v>
      </c>
      <c r="L22">
        <v>66675</v>
      </c>
      <c r="M22">
        <v>92237.71</v>
      </c>
      <c r="N22">
        <v>29548.859999999997</v>
      </c>
      <c r="O22">
        <v>121786.57000000002</v>
      </c>
      <c r="P22">
        <v>522658.87999999995</v>
      </c>
      <c r="Q22">
        <v>4573.6299999999992</v>
      </c>
      <c r="R22">
        <v>199965.62999999995</v>
      </c>
      <c r="S22">
        <v>286637.23000000004</v>
      </c>
      <c r="T22">
        <v>22694.440000000002</v>
      </c>
      <c r="U22">
        <v>7159315.1999999983</v>
      </c>
      <c r="V22">
        <v>0</v>
      </c>
      <c r="W22">
        <v>55623350.519999996</v>
      </c>
    </row>
    <row r="23" spans="1:23">
      <c r="A23" t="s">
        <v>1325</v>
      </c>
      <c r="B23">
        <v>5715212.0199999986</v>
      </c>
      <c r="C23">
        <v>21123398.710000001</v>
      </c>
      <c r="D23">
        <v>0</v>
      </c>
      <c r="E23">
        <v>21123398.710000001</v>
      </c>
      <c r="F23">
        <v>26838610.73</v>
      </c>
      <c r="G23">
        <v>26838610.73</v>
      </c>
      <c r="H23">
        <v>6605.24</v>
      </c>
      <c r="I23">
        <v>26845215.969999999</v>
      </c>
      <c r="J23">
        <v>2988700.49</v>
      </c>
      <c r="K23">
        <v>740504.33</v>
      </c>
      <c r="L23">
        <v>215086.96</v>
      </c>
      <c r="M23">
        <v>1618382.3900000001</v>
      </c>
      <c r="N23">
        <v>22679.99</v>
      </c>
      <c r="O23">
        <v>1641062.38</v>
      </c>
      <c r="P23">
        <v>586754.39</v>
      </c>
      <c r="Q23">
        <v>14602.95</v>
      </c>
      <c r="R23">
        <v>158427.04</v>
      </c>
      <c r="S23">
        <v>349676.32999999996</v>
      </c>
      <c r="T23">
        <v>18818.2</v>
      </c>
      <c r="U23">
        <v>6713633.0700000003</v>
      </c>
      <c r="V23">
        <v>0</v>
      </c>
      <c r="W23">
        <v>20131582.899999999</v>
      </c>
    </row>
    <row r="24" spans="1:23">
      <c r="A24" t="s">
        <v>1326</v>
      </c>
      <c r="B24">
        <v>55235562.890000001</v>
      </c>
      <c r="C24">
        <v>206165921.69</v>
      </c>
      <c r="D24">
        <v>0</v>
      </c>
      <c r="E24">
        <v>206165921.69</v>
      </c>
      <c r="F24">
        <v>261401484.57999998</v>
      </c>
      <c r="G24">
        <v>261401484.57999998</v>
      </c>
      <c r="H24">
        <v>5839.52</v>
      </c>
      <c r="I24">
        <v>261407324.09999996</v>
      </c>
      <c r="J24">
        <v>11775753.16</v>
      </c>
      <c r="K24">
        <v>2360956.3199999998</v>
      </c>
      <c r="L24">
        <v>4005048.29</v>
      </c>
      <c r="M24">
        <v>1739144.31</v>
      </c>
      <c r="N24">
        <v>25145.360000000004</v>
      </c>
      <c r="O24">
        <v>1764289.67</v>
      </c>
      <c r="P24">
        <v>1677276.4999999995</v>
      </c>
      <c r="Q24">
        <v>1561.73</v>
      </c>
      <c r="R24">
        <v>216836.53999999998</v>
      </c>
      <c r="S24">
        <v>31347.540000000005</v>
      </c>
      <c r="T24">
        <v>35512.329999999994</v>
      </c>
      <c r="U24">
        <v>21868582.079999998</v>
      </c>
      <c r="V24">
        <v>0</v>
      </c>
      <c r="W24">
        <v>239538742.01999992</v>
      </c>
    </row>
    <row r="25" spans="1:23">
      <c r="A25" t="s">
        <v>1327</v>
      </c>
      <c r="B25">
        <v>3380933.26</v>
      </c>
      <c r="C25">
        <v>3500355.56</v>
      </c>
      <c r="D25">
        <v>0</v>
      </c>
      <c r="E25">
        <v>3500355.56</v>
      </c>
      <c r="F25">
        <v>6881288.8200000003</v>
      </c>
      <c r="G25">
        <v>6881288.8200000003</v>
      </c>
      <c r="H25">
        <v>1858.82</v>
      </c>
      <c r="I25">
        <v>6883147.6400000006</v>
      </c>
      <c r="J25">
        <v>926052.93000000017</v>
      </c>
      <c r="K25">
        <v>202552.59</v>
      </c>
      <c r="L25">
        <v>0</v>
      </c>
      <c r="M25">
        <v>133358</v>
      </c>
      <c r="N25">
        <v>568.08000000000004</v>
      </c>
      <c r="O25">
        <v>133926.07999999999</v>
      </c>
      <c r="P25">
        <v>10168.02</v>
      </c>
      <c r="Q25">
        <v>1358.3600000000001</v>
      </c>
      <c r="R25">
        <v>0</v>
      </c>
      <c r="S25">
        <v>170110.53999999998</v>
      </c>
      <c r="T25">
        <v>5890.62</v>
      </c>
      <c r="U25">
        <v>1450059.1400000001</v>
      </c>
      <c r="V25">
        <v>0</v>
      </c>
      <c r="W25">
        <v>5433088.5</v>
      </c>
    </row>
    <row r="26" spans="1:23">
      <c r="A26" t="s">
        <v>1328</v>
      </c>
      <c r="B26">
        <v>1333139.9100000001</v>
      </c>
      <c r="C26">
        <v>2054124.5699999998</v>
      </c>
      <c r="D26">
        <v>0</v>
      </c>
      <c r="E26">
        <v>2054124.5699999998</v>
      </c>
      <c r="F26">
        <v>3387264.48</v>
      </c>
      <c r="G26">
        <v>3387264.48</v>
      </c>
      <c r="H26">
        <v>3695.38</v>
      </c>
      <c r="I26">
        <v>3390959.86</v>
      </c>
      <c r="J26">
        <v>455777.82</v>
      </c>
      <c r="K26">
        <v>103033.66</v>
      </c>
      <c r="L26">
        <v>0</v>
      </c>
      <c r="M26">
        <v>23544</v>
      </c>
      <c r="N26">
        <v>217.43</v>
      </c>
      <c r="O26">
        <v>23761.43</v>
      </c>
      <c r="P26">
        <v>5028.4099999999989</v>
      </c>
      <c r="Q26">
        <v>188.04</v>
      </c>
      <c r="R26">
        <v>0</v>
      </c>
      <c r="S26">
        <v>58368.81</v>
      </c>
      <c r="T26">
        <v>2246.86</v>
      </c>
      <c r="U26">
        <v>648405.03</v>
      </c>
      <c r="V26">
        <v>0</v>
      </c>
      <c r="W26">
        <v>2742554.8299999996</v>
      </c>
    </row>
    <row r="27" spans="1:23">
      <c r="A27" t="s">
        <v>1329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-44.78</v>
      </c>
      <c r="Q27">
        <v>0</v>
      </c>
      <c r="R27">
        <v>0</v>
      </c>
      <c r="S27">
        <v>0</v>
      </c>
      <c r="T27">
        <v>0</v>
      </c>
      <c r="U27">
        <v>-44.779999999999973</v>
      </c>
      <c r="V27">
        <v>0</v>
      </c>
      <c r="W27">
        <v>44.779999999999973</v>
      </c>
    </row>
    <row r="28" spans="1:23">
      <c r="A28" t="s">
        <v>1330</v>
      </c>
      <c r="B28">
        <v>3982387.54</v>
      </c>
      <c r="C28">
        <v>361904506.97000015</v>
      </c>
      <c r="D28">
        <v>0</v>
      </c>
      <c r="E28">
        <v>361904506.97000015</v>
      </c>
      <c r="F28">
        <v>365886894.51000005</v>
      </c>
      <c r="G28">
        <v>365886894.51000005</v>
      </c>
      <c r="H28">
        <v>482046.26</v>
      </c>
      <c r="I28">
        <v>366368940.7700001</v>
      </c>
      <c r="J28">
        <v>6834455.4799999995</v>
      </c>
      <c r="K28">
        <v>1836035.73</v>
      </c>
      <c r="L28">
        <v>34260</v>
      </c>
      <c r="M28">
        <v>2379757.46</v>
      </c>
      <c r="N28">
        <v>90570.98</v>
      </c>
      <c r="O28">
        <v>2470328.44</v>
      </c>
      <c r="P28">
        <v>39078298.650000006</v>
      </c>
      <c r="Q28">
        <v>124264.42</v>
      </c>
      <c r="R28">
        <v>828749.06999999983</v>
      </c>
      <c r="S28">
        <v>697830.32</v>
      </c>
      <c r="T28">
        <v>40618.49</v>
      </c>
      <c r="U28">
        <v>51954047.960000016</v>
      </c>
      <c r="V28">
        <v>0</v>
      </c>
      <c r="W28">
        <v>314414892.80999994</v>
      </c>
    </row>
    <row r="29" spans="1:23">
      <c r="A29" t="s">
        <v>1331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</row>
    <row r="30" spans="1:23">
      <c r="A30" t="s">
        <v>1332</v>
      </c>
      <c r="B30">
        <v>0</v>
      </c>
      <c r="C30">
        <v>104179.43</v>
      </c>
      <c r="D30">
        <v>0</v>
      </c>
      <c r="E30">
        <v>104179.43</v>
      </c>
      <c r="F30">
        <v>104179.43</v>
      </c>
      <c r="G30">
        <v>104179.43</v>
      </c>
      <c r="H30">
        <v>24174.77</v>
      </c>
      <c r="I30">
        <v>128354.2</v>
      </c>
      <c r="J30">
        <v>188233.72</v>
      </c>
      <c r="K30">
        <v>32107.87999999999</v>
      </c>
      <c r="L30">
        <v>-44784.01</v>
      </c>
      <c r="M30">
        <v>2381975.71</v>
      </c>
      <c r="N30">
        <v>0</v>
      </c>
      <c r="O30">
        <v>2381975.71</v>
      </c>
      <c r="P30">
        <v>1951.96</v>
      </c>
      <c r="Q30">
        <v>165.48</v>
      </c>
      <c r="R30">
        <v>0</v>
      </c>
      <c r="S30">
        <v>0</v>
      </c>
      <c r="T30">
        <v>300</v>
      </c>
      <c r="U30">
        <v>2559950.7400000002</v>
      </c>
      <c r="V30">
        <v>0</v>
      </c>
      <c r="W30">
        <v>-2431596.54</v>
      </c>
    </row>
    <row r="31" spans="1:23">
      <c r="A31" t="s">
        <v>1333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305840.75</v>
      </c>
      <c r="I31">
        <v>305840.75</v>
      </c>
      <c r="J31">
        <v>906002.85</v>
      </c>
      <c r="K31">
        <v>247744.16999999998</v>
      </c>
      <c r="L31">
        <v>0</v>
      </c>
      <c r="M31">
        <v>172575</v>
      </c>
      <c r="N31">
        <v>0</v>
      </c>
      <c r="O31">
        <v>172575</v>
      </c>
      <c r="P31">
        <v>9923.239999999998</v>
      </c>
      <c r="Q31">
        <v>0</v>
      </c>
      <c r="R31">
        <v>0</v>
      </c>
      <c r="S31">
        <v>0</v>
      </c>
      <c r="T31">
        <v>1421.41</v>
      </c>
      <c r="U31">
        <v>1337666.67</v>
      </c>
      <c r="V31">
        <v>0</v>
      </c>
      <c r="W31">
        <v>-1031825.92</v>
      </c>
    </row>
    <row r="32" spans="1:23">
      <c r="A32" t="s">
        <v>1334</v>
      </c>
      <c r="M32">
        <v>194884.55999999997</v>
      </c>
      <c r="O32">
        <v>194884.55999999997</v>
      </c>
      <c r="U32">
        <v>194884.55999999997</v>
      </c>
      <c r="W32">
        <v>-194884.55999999997</v>
      </c>
    </row>
    <row r="33" spans="1:23">
      <c r="A33" t="s">
        <v>1335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1854075.33</v>
      </c>
      <c r="I33">
        <v>1854075.33</v>
      </c>
      <c r="J33">
        <v>3301658.25</v>
      </c>
      <c r="K33">
        <v>1228138.27</v>
      </c>
      <c r="L33">
        <v>0</v>
      </c>
      <c r="M33">
        <v>939640.61999999988</v>
      </c>
      <c r="N33">
        <v>218680.06999999998</v>
      </c>
      <c r="O33">
        <v>1158320.69</v>
      </c>
      <c r="P33">
        <v>1742441.79</v>
      </c>
      <c r="Q33">
        <v>3379.77</v>
      </c>
      <c r="R33">
        <v>187724.98</v>
      </c>
      <c r="S33">
        <v>21773.610000000004</v>
      </c>
      <c r="T33">
        <v>102924.7</v>
      </c>
      <c r="U33">
        <v>7746362.0600000005</v>
      </c>
      <c r="V33">
        <v>0</v>
      </c>
      <c r="W33">
        <v>-5892286.7300000004</v>
      </c>
    </row>
    <row r="34" spans="1:23">
      <c r="A34" t="s">
        <v>1336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110174.56999999999</v>
      </c>
      <c r="K34">
        <v>45160.17</v>
      </c>
      <c r="L34">
        <v>0</v>
      </c>
      <c r="M34">
        <v>0.04</v>
      </c>
      <c r="N34">
        <v>0</v>
      </c>
      <c r="O34">
        <v>0.04</v>
      </c>
      <c r="P34">
        <v>0</v>
      </c>
      <c r="Q34">
        <v>0</v>
      </c>
      <c r="R34">
        <v>0</v>
      </c>
      <c r="S34">
        <v>0</v>
      </c>
      <c r="T34">
        <v>157.32</v>
      </c>
      <c r="U34">
        <v>155492.09999999998</v>
      </c>
      <c r="V34">
        <v>0</v>
      </c>
      <c r="W34">
        <v>-155492.09999999998</v>
      </c>
    </row>
    <row r="35" spans="1:23">
      <c r="A35" t="s">
        <v>1337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918.7</v>
      </c>
      <c r="N35">
        <v>204.38</v>
      </c>
      <c r="O35">
        <v>1123.08</v>
      </c>
      <c r="P35">
        <v>3108.41</v>
      </c>
      <c r="Q35">
        <v>42.51</v>
      </c>
      <c r="R35">
        <v>0</v>
      </c>
      <c r="S35">
        <v>10011.42</v>
      </c>
      <c r="T35">
        <v>0</v>
      </c>
      <c r="U35">
        <v>14285.419999999998</v>
      </c>
      <c r="V35">
        <v>0</v>
      </c>
      <c r="W35">
        <v>-14285.419999999998</v>
      </c>
    </row>
    <row r="36" spans="1:23">
      <c r="A36" t="s">
        <v>1338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616027.76</v>
      </c>
      <c r="K36">
        <v>247912.95999999999</v>
      </c>
      <c r="L36">
        <v>0</v>
      </c>
      <c r="M36">
        <v>321239.09999999998</v>
      </c>
      <c r="N36">
        <v>0</v>
      </c>
      <c r="O36">
        <v>321239.09999999998</v>
      </c>
      <c r="P36">
        <v>15413.140000000003</v>
      </c>
      <c r="Q36">
        <v>3092.12</v>
      </c>
      <c r="R36">
        <v>6602.56</v>
      </c>
      <c r="S36">
        <v>1156.2799999999997</v>
      </c>
      <c r="T36">
        <v>0</v>
      </c>
      <c r="U36">
        <v>1211443.92</v>
      </c>
      <c r="V36">
        <v>0</v>
      </c>
      <c r="W36">
        <v>-1211443.92</v>
      </c>
    </row>
    <row r="37" spans="1:23">
      <c r="A37" t="s">
        <v>1339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900.85</v>
      </c>
      <c r="I37">
        <v>900.85</v>
      </c>
      <c r="J37">
        <v>1202463.32</v>
      </c>
      <c r="K37">
        <v>335644.81</v>
      </c>
      <c r="L37">
        <v>0</v>
      </c>
      <c r="M37">
        <v>9738092.9824999999</v>
      </c>
      <c r="N37">
        <v>1813169.4000000001</v>
      </c>
      <c r="O37">
        <v>11551262.3825</v>
      </c>
      <c r="P37">
        <v>28715.850000000002</v>
      </c>
      <c r="Q37">
        <v>3000713.44</v>
      </c>
      <c r="R37">
        <v>549848.1100000001</v>
      </c>
      <c r="S37">
        <v>605288.71</v>
      </c>
      <c r="T37">
        <v>187315.82</v>
      </c>
      <c r="U37">
        <v>17461252.442500003</v>
      </c>
      <c r="V37">
        <v>0</v>
      </c>
      <c r="W37">
        <v>-17460351.592500001</v>
      </c>
    </row>
    <row r="38" spans="1:23">
      <c r="A38" t="s">
        <v>1340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3068210.2700000005</v>
      </c>
      <c r="K38">
        <v>1181276.9900000002</v>
      </c>
      <c r="L38">
        <v>0</v>
      </c>
      <c r="M38">
        <v>49532.89</v>
      </c>
      <c r="N38">
        <v>15282.63</v>
      </c>
      <c r="O38">
        <v>64815.520000000004</v>
      </c>
      <c r="P38">
        <v>191132.07</v>
      </c>
      <c r="Q38">
        <v>5745.420000000001</v>
      </c>
      <c r="R38">
        <v>2775.13</v>
      </c>
      <c r="S38">
        <v>7603.2900000000009</v>
      </c>
      <c r="T38">
        <v>6155.869999999999</v>
      </c>
      <c r="U38">
        <v>4527714.5600000005</v>
      </c>
      <c r="V38">
        <v>0</v>
      </c>
      <c r="W38">
        <v>-4527714.5600000005</v>
      </c>
    </row>
    <row r="39" spans="1:23">
      <c r="A39" t="s">
        <v>1341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838957.98250000004</v>
      </c>
      <c r="N39">
        <v>0</v>
      </c>
      <c r="O39">
        <v>838957.98250000004</v>
      </c>
      <c r="P39">
        <v>0</v>
      </c>
      <c r="Q39">
        <v>289756.17000000004</v>
      </c>
      <c r="R39">
        <v>87460.71</v>
      </c>
      <c r="S39">
        <v>1722.6399999999999</v>
      </c>
      <c r="T39">
        <v>0</v>
      </c>
      <c r="U39">
        <v>1217897.5024999999</v>
      </c>
      <c r="V39">
        <v>0</v>
      </c>
      <c r="W39">
        <v>-1217897.5024999999</v>
      </c>
    </row>
    <row r="40" spans="1:23">
      <c r="A40" t="s">
        <v>567</v>
      </c>
      <c r="M40">
        <v>2318881.7949999999</v>
      </c>
      <c r="O40">
        <v>2318881.7949999999</v>
      </c>
      <c r="U40">
        <v>2318881.7949999999</v>
      </c>
      <c r="W40">
        <v>-2318881.7949999999</v>
      </c>
    </row>
    <row r="41" spans="1:23">
      <c r="A41" t="s">
        <v>569</v>
      </c>
      <c r="M41">
        <v>1076376.1999999997</v>
      </c>
      <c r="O41">
        <v>1076376.1999999997</v>
      </c>
      <c r="U41">
        <v>1076376.1999999997</v>
      </c>
      <c r="W41">
        <v>-1076376.1999999997</v>
      </c>
    </row>
    <row r="42" spans="1:23">
      <c r="A42" t="s">
        <v>1342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6739623.8036347497</v>
      </c>
      <c r="N42">
        <v>0</v>
      </c>
      <c r="O42">
        <v>6739623.8036347497</v>
      </c>
      <c r="P42">
        <v>292.09000000000003</v>
      </c>
      <c r="Q42">
        <v>0</v>
      </c>
      <c r="R42">
        <v>4311.7700000000004</v>
      </c>
      <c r="S42">
        <v>25787.65</v>
      </c>
      <c r="T42">
        <v>0</v>
      </c>
      <c r="U42">
        <v>6770015.3136347495</v>
      </c>
      <c r="V42">
        <v>0</v>
      </c>
      <c r="W42">
        <v>-6770015.3136347495</v>
      </c>
    </row>
    <row r="43" spans="1:23">
      <c r="A43" t="s">
        <v>1343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39.380000000000003</v>
      </c>
      <c r="K43">
        <v>3.01</v>
      </c>
      <c r="L43">
        <v>0</v>
      </c>
      <c r="M43">
        <v>2704609.5150000001</v>
      </c>
      <c r="N43">
        <v>0</v>
      </c>
      <c r="O43">
        <v>2704609.5150000001</v>
      </c>
      <c r="P43">
        <v>26337.99</v>
      </c>
      <c r="Q43">
        <v>26.23</v>
      </c>
      <c r="R43">
        <v>0</v>
      </c>
      <c r="S43">
        <v>12358.85</v>
      </c>
      <c r="T43">
        <v>209.42999999999998</v>
      </c>
      <c r="U43">
        <v>2743584.4050000003</v>
      </c>
      <c r="V43">
        <v>0</v>
      </c>
      <c r="W43">
        <v>-2743584.4050000003</v>
      </c>
    </row>
    <row r="44" spans="1:23">
      <c r="A44" t="s">
        <v>1344</v>
      </c>
      <c r="B44">
        <v>0</v>
      </c>
      <c r="C44">
        <v>0</v>
      </c>
      <c r="D44">
        <v>4022206</v>
      </c>
      <c r="E44">
        <v>4022206</v>
      </c>
      <c r="F44">
        <v>4022206</v>
      </c>
      <c r="G44">
        <v>1487647.43</v>
      </c>
      <c r="H44">
        <v>530075.30000000005</v>
      </c>
      <c r="I44">
        <v>2017722.73</v>
      </c>
      <c r="J44">
        <v>5901340.3299999991</v>
      </c>
      <c r="K44">
        <v>1170583.4100000001</v>
      </c>
      <c r="L44">
        <v>2365</v>
      </c>
      <c r="M44">
        <v>6396298.6071362486</v>
      </c>
      <c r="N44">
        <v>3142.39</v>
      </c>
      <c r="O44">
        <v>6399440.9971362492</v>
      </c>
      <c r="P44">
        <v>393862.95999999996</v>
      </c>
      <c r="Q44">
        <v>30950.100000000002</v>
      </c>
      <c r="R44">
        <v>115310.54999999999</v>
      </c>
      <c r="S44">
        <v>531229.57000000007</v>
      </c>
      <c r="T44">
        <v>911061.37999999977</v>
      </c>
      <c r="U44">
        <v>15566371.047136253</v>
      </c>
      <c r="V44">
        <v>1905.89</v>
      </c>
      <c r="W44">
        <v>-13546742.427136252</v>
      </c>
    </row>
    <row r="45" spans="1:23">
      <c r="A45" t="s">
        <v>574</v>
      </c>
      <c r="M45">
        <v>636076.26500000001</v>
      </c>
      <c r="O45">
        <v>636076.26500000001</v>
      </c>
      <c r="U45">
        <v>636076.26500000001</v>
      </c>
      <c r="W45">
        <v>-636076.26500000001</v>
      </c>
    </row>
    <row r="46" spans="1:23">
      <c r="A46" t="s">
        <v>1345</v>
      </c>
      <c r="M46">
        <v>3352150.01</v>
      </c>
      <c r="O46">
        <v>3352150.01</v>
      </c>
      <c r="U46">
        <v>3352150.01</v>
      </c>
      <c r="W46">
        <v>-3352150.01</v>
      </c>
    </row>
    <row r="47" spans="1:23">
      <c r="A47" t="s">
        <v>1346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-2181.13</v>
      </c>
      <c r="K47">
        <v>50.960000000144987</v>
      </c>
      <c r="L47">
        <v>0</v>
      </c>
      <c r="M47">
        <v>1329456.7024999999</v>
      </c>
      <c r="N47">
        <v>0</v>
      </c>
      <c r="O47">
        <v>1329456.7024999999</v>
      </c>
      <c r="P47">
        <v>16481.95</v>
      </c>
      <c r="Q47">
        <v>0</v>
      </c>
      <c r="R47">
        <v>0</v>
      </c>
      <c r="S47">
        <v>0</v>
      </c>
      <c r="T47">
        <v>3672.67</v>
      </c>
      <c r="U47">
        <v>1347481.1524999999</v>
      </c>
      <c r="V47">
        <v>0</v>
      </c>
      <c r="W47">
        <v>-1373106.7625</v>
      </c>
    </row>
    <row r="48" spans="1:23">
      <c r="A48" t="s">
        <v>1347</v>
      </c>
      <c r="M48">
        <v>175756.29749999996</v>
      </c>
      <c r="O48">
        <v>175756.29749999996</v>
      </c>
      <c r="U48">
        <v>175756.29749999996</v>
      </c>
      <c r="W48">
        <v>-175756.29749999996</v>
      </c>
    </row>
    <row r="49" spans="1:23">
      <c r="A49" t="s">
        <v>1348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300916.22249999997</v>
      </c>
      <c r="N49">
        <v>0</v>
      </c>
      <c r="O49">
        <v>300916.22249999997</v>
      </c>
      <c r="P49">
        <v>18.98</v>
      </c>
      <c r="Q49">
        <v>97.38</v>
      </c>
      <c r="R49">
        <v>0</v>
      </c>
      <c r="S49">
        <v>0</v>
      </c>
      <c r="T49">
        <v>0</v>
      </c>
      <c r="U49">
        <v>301032.58249999996</v>
      </c>
      <c r="V49">
        <v>0</v>
      </c>
      <c r="W49">
        <v>-301032.58249999996</v>
      </c>
    </row>
    <row r="50" spans="1:23">
      <c r="A50" t="s">
        <v>579</v>
      </c>
      <c r="M50">
        <v>104827.52750000003</v>
      </c>
      <c r="O50">
        <v>104827.52750000003</v>
      </c>
      <c r="U50">
        <v>104827.52750000003</v>
      </c>
      <c r="W50">
        <v>-104827.52750000003</v>
      </c>
    </row>
    <row r="51" spans="1:23">
      <c r="A51" t="s">
        <v>1349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2425.81</v>
      </c>
      <c r="I51">
        <v>2425.81</v>
      </c>
      <c r="J51">
        <v>0</v>
      </c>
      <c r="K51">
        <v>0</v>
      </c>
      <c r="L51">
        <v>0</v>
      </c>
      <c r="M51">
        <v>3919540.9096307494</v>
      </c>
      <c r="N51">
        <v>0</v>
      </c>
      <c r="O51">
        <v>3919540.9096307494</v>
      </c>
      <c r="P51">
        <v>5280.22</v>
      </c>
      <c r="Q51">
        <v>0</v>
      </c>
      <c r="R51">
        <v>4004.76</v>
      </c>
      <c r="S51">
        <v>19085.789999999997</v>
      </c>
      <c r="T51">
        <v>0</v>
      </c>
      <c r="U51">
        <v>3947911.6796307499</v>
      </c>
      <c r="V51">
        <v>0</v>
      </c>
      <c r="W51">
        <v>-3945485.8696307493</v>
      </c>
    </row>
    <row r="52" spans="1:23">
      <c r="A52" t="s">
        <v>1350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1536758.4670637499</v>
      </c>
      <c r="N52">
        <v>0</v>
      </c>
      <c r="O52">
        <v>1536758.4670637499</v>
      </c>
      <c r="P52">
        <v>147</v>
      </c>
      <c r="Q52">
        <v>0</v>
      </c>
      <c r="R52">
        <v>0</v>
      </c>
      <c r="S52">
        <v>0</v>
      </c>
      <c r="T52">
        <v>0</v>
      </c>
      <c r="U52">
        <v>1536905.4670637499</v>
      </c>
      <c r="V52">
        <v>0</v>
      </c>
      <c r="W52">
        <v>-1536905.4670637499</v>
      </c>
    </row>
    <row r="53" spans="1:23">
      <c r="A53" t="s">
        <v>1351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18750</v>
      </c>
      <c r="M53">
        <v>2614355.6806359999</v>
      </c>
      <c r="N53">
        <v>0</v>
      </c>
      <c r="O53">
        <v>2614355.6806359999</v>
      </c>
      <c r="P53">
        <v>8</v>
      </c>
      <c r="Q53">
        <v>0</v>
      </c>
      <c r="R53">
        <v>0</v>
      </c>
      <c r="S53">
        <v>467.41</v>
      </c>
      <c r="T53">
        <v>0</v>
      </c>
      <c r="U53">
        <v>2633581.090636</v>
      </c>
      <c r="V53">
        <v>0</v>
      </c>
      <c r="W53">
        <v>-2633581.090636</v>
      </c>
    </row>
    <row r="54" spans="1:23">
      <c r="A54" t="s">
        <v>1352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4876.1400000000003</v>
      </c>
      <c r="I54">
        <v>4876.1400000000003</v>
      </c>
      <c r="J54">
        <v>3131040.78</v>
      </c>
      <c r="K54">
        <v>693822.04</v>
      </c>
      <c r="L54">
        <v>0</v>
      </c>
      <c r="M54">
        <v>973098.26</v>
      </c>
      <c r="N54">
        <v>-20327.95</v>
      </c>
      <c r="O54">
        <v>952770.31</v>
      </c>
      <c r="P54">
        <v>20581.13</v>
      </c>
      <c r="Q54">
        <v>1340.47</v>
      </c>
      <c r="R54">
        <v>277563.17</v>
      </c>
      <c r="S54">
        <v>28605.690000000002</v>
      </c>
      <c r="T54">
        <v>120853.59999999999</v>
      </c>
      <c r="U54">
        <v>5226577.1899999995</v>
      </c>
      <c r="V54">
        <v>0</v>
      </c>
      <c r="W54">
        <v>-5221701.05</v>
      </c>
    </row>
    <row r="55" spans="1:23">
      <c r="A55" t="s">
        <v>1353</v>
      </c>
      <c r="M55">
        <v>930335.82</v>
      </c>
      <c r="O55">
        <v>930335.82</v>
      </c>
      <c r="U55">
        <v>930335.82</v>
      </c>
      <c r="W55">
        <v>-930335.82</v>
      </c>
    </row>
    <row r="56" spans="1:23">
      <c r="A56" t="s">
        <v>1354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3703.79</v>
      </c>
      <c r="I56">
        <v>3703.79</v>
      </c>
      <c r="J56">
        <v>1029103.27</v>
      </c>
      <c r="K56">
        <v>236385.43</v>
      </c>
      <c r="L56">
        <v>0</v>
      </c>
      <c r="M56">
        <v>151455.24</v>
      </c>
      <c r="N56">
        <v>3048.98</v>
      </c>
      <c r="O56">
        <v>154504.22</v>
      </c>
      <c r="P56">
        <v>39334.020000000004</v>
      </c>
      <c r="Q56">
        <v>0</v>
      </c>
      <c r="R56">
        <v>3955.16</v>
      </c>
      <c r="S56">
        <v>46057.770000000004</v>
      </c>
      <c r="T56">
        <v>6317.39</v>
      </c>
      <c r="U56">
        <v>1515657.26</v>
      </c>
      <c r="V56">
        <v>0</v>
      </c>
      <c r="W56">
        <v>-1511953.47</v>
      </c>
    </row>
    <row r="57" spans="1:23">
      <c r="A57" t="s">
        <v>1355</v>
      </c>
      <c r="M57">
        <v>112544.0675</v>
      </c>
      <c r="O57">
        <v>112544.0675</v>
      </c>
      <c r="U57">
        <v>112544.0675</v>
      </c>
      <c r="W57">
        <v>-112544.0675</v>
      </c>
    </row>
    <row r="58" spans="1:23">
      <c r="A58" t="s">
        <v>1356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1410582.887049</v>
      </c>
      <c r="N58">
        <v>0</v>
      </c>
      <c r="O58">
        <v>1410582.887049</v>
      </c>
      <c r="P58">
        <v>64.63</v>
      </c>
      <c r="Q58">
        <v>0</v>
      </c>
      <c r="R58">
        <v>0</v>
      </c>
      <c r="S58">
        <v>167.74</v>
      </c>
      <c r="T58">
        <v>0</v>
      </c>
      <c r="U58">
        <v>1410815.2570490001</v>
      </c>
      <c r="V58">
        <v>18018554.200000003</v>
      </c>
      <c r="W58">
        <v>16607738.942951003</v>
      </c>
    </row>
    <row r="59" spans="1:23">
      <c r="A59" t="s">
        <v>1357</v>
      </c>
      <c r="B59">
        <v>-187488.58999999997</v>
      </c>
      <c r="C59">
        <v>-938287.81999999983</v>
      </c>
      <c r="D59">
        <v>0</v>
      </c>
      <c r="E59">
        <v>-938287.81999999983</v>
      </c>
      <c r="F59">
        <v>-1125776.4100000001</v>
      </c>
      <c r="G59">
        <v>-1857957718.6500001</v>
      </c>
      <c r="H59">
        <v>12302.300000000017</v>
      </c>
      <c r="I59">
        <v>-1857945416.3499999</v>
      </c>
      <c r="J59">
        <v>294565.28000000003</v>
      </c>
      <c r="K59">
        <v>1947.3</v>
      </c>
      <c r="L59">
        <v>1494533.43</v>
      </c>
      <c r="M59">
        <v>25866041.497896999</v>
      </c>
      <c r="N59">
        <v>70579.539999999994</v>
      </c>
      <c r="O59">
        <v>30735397.037896998</v>
      </c>
      <c r="P59">
        <v>370397.21999999858</v>
      </c>
      <c r="Q59">
        <v>12011.130000000001</v>
      </c>
      <c r="R59">
        <v>29405738.600000005</v>
      </c>
      <c r="S59">
        <v>166629.06999999995</v>
      </c>
      <c r="T59">
        <v>17749002.039999999</v>
      </c>
      <c r="U59">
        <v>79454100.917896986</v>
      </c>
      <c r="V59">
        <v>-1814043.45</v>
      </c>
      <c r="W59">
        <v>-1938793764.6478972</v>
      </c>
    </row>
    <row r="60" spans="1:23">
      <c r="A60" t="s">
        <v>545</v>
      </c>
      <c r="D60">
        <v>248490704.91000003</v>
      </c>
      <c r="E60">
        <v>248490704.91000003</v>
      </c>
      <c r="F60">
        <v>248490704.91000003</v>
      </c>
      <c r="G60">
        <v>101108803.45000003</v>
      </c>
      <c r="H60">
        <v>2357967.1500000004</v>
      </c>
      <c r="I60">
        <v>103466770.60000004</v>
      </c>
      <c r="J60">
        <v>57920827.82</v>
      </c>
      <c r="K60">
        <v>10055081.51</v>
      </c>
      <c r="L60">
        <v>23717360.199999999</v>
      </c>
      <c r="M60">
        <v>40349594.50999999</v>
      </c>
      <c r="N60">
        <v>274291.46999999997</v>
      </c>
      <c r="O60">
        <v>41473953.999999993</v>
      </c>
      <c r="P60">
        <v>2833738.4700000011</v>
      </c>
      <c r="Q60">
        <v>897858.03</v>
      </c>
      <c r="R60">
        <v>6289601.5700000003</v>
      </c>
      <c r="S60">
        <v>7477809.3500000006</v>
      </c>
      <c r="T60">
        <v>3162764.399999998</v>
      </c>
      <c r="U60">
        <v>155302038.38999999</v>
      </c>
      <c r="V60">
        <v>-666850.82000000007</v>
      </c>
      <c r="W60">
        <v>-52502118.609999947</v>
      </c>
    </row>
    <row r="61" spans="1:23">
      <c r="A61" t="s">
        <v>1358</v>
      </c>
      <c r="B61">
        <v>1052674086.5399998</v>
      </c>
      <c r="C61">
        <v>1373388334.8700004</v>
      </c>
      <c r="D61">
        <v>252512910.91000003</v>
      </c>
      <c r="E61">
        <v>1625901245.7800004</v>
      </c>
      <c r="F61">
        <v>2678575332.3199997</v>
      </c>
      <c r="G61">
        <v>671826930.04999948</v>
      </c>
      <c r="H61">
        <v>5746464.5700000003</v>
      </c>
      <c r="I61">
        <v>677573394.61999953</v>
      </c>
      <c r="J61">
        <v>193640399.63999996</v>
      </c>
      <c r="K61">
        <v>41619655.539999999</v>
      </c>
      <c r="L61">
        <v>42048900.119999997</v>
      </c>
      <c r="M61">
        <v>136554348.65999997</v>
      </c>
      <c r="N61">
        <v>4135415.0599999996</v>
      </c>
      <c r="O61">
        <v>146338607.74000001</v>
      </c>
      <c r="P61">
        <v>107520410.93999995</v>
      </c>
      <c r="Q61">
        <v>4642352.87</v>
      </c>
      <c r="R61">
        <v>46215678.320000008</v>
      </c>
      <c r="S61">
        <v>13217957.820000002</v>
      </c>
      <c r="T61">
        <v>23312823.649999999</v>
      </c>
      <c r="U61">
        <v>619373143.5999999</v>
      </c>
      <c r="V61">
        <v>15539565.820000004</v>
      </c>
      <c r="W61">
        <v>74133987.299999654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79" t="s">
        <v>1264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54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Harrison Medical Center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H-142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2520 Cherry Avenue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 t="str">
        <f>+data!C86</f>
        <v>2520 Cherry Avenue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Bremerton, WA 98310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H-142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Harrison Medical Center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Kitsap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253-588-1711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253-588-3001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13385</v>
      </c>
      <c r="G23" s="21">
        <f>data!D111</f>
        <v>61575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1972</v>
      </c>
      <c r="G26" s="13">
        <f>data!D114</f>
        <v>3964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20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56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192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10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20</v>
      </c>
      <c r="E34" s="49" t="s">
        <v>291</v>
      </c>
      <c r="F34" s="24"/>
      <c r="G34" s="21">
        <f>data!E127</f>
        <v>298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336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22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Harrison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7272</v>
      </c>
      <c r="C7" s="48">
        <f>data!B139</f>
        <v>37931</v>
      </c>
      <c r="D7" s="48">
        <f>data!B140</f>
        <v>0</v>
      </c>
      <c r="E7" s="48">
        <f>data!B141</f>
        <v>650822579.09000003</v>
      </c>
      <c r="F7" s="48">
        <f>data!B142</f>
        <v>732255388.60000014</v>
      </c>
      <c r="G7" s="48">
        <f>data!B141+data!B142</f>
        <v>1383077967.6900001</v>
      </c>
    </row>
    <row r="8" spans="1:13" ht="20.100000000000001" customHeight="1">
      <c r="A8" s="23" t="s">
        <v>297</v>
      </c>
      <c r="B8" s="48">
        <f>data!C138</f>
        <v>2340</v>
      </c>
      <c r="C8" s="48">
        <f>data!C139</f>
        <v>10468</v>
      </c>
      <c r="D8" s="48">
        <f>data!C140</f>
        <v>0</v>
      </c>
      <c r="E8" s="48">
        <f>data!C141</f>
        <v>160319185.94999999</v>
      </c>
      <c r="F8" s="48">
        <f>data!C142</f>
        <v>266538239.76999998</v>
      </c>
      <c r="G8" s="48">
        <f>data!C141+data!C142</f>
        <v>426857425.71999997</v>
      </c>
    </row>
    <row r="9" spans="1:13" ht="20.100000000000001" customHeight="1">
      <c r="A9" s="23" t="s">
        <v>1058</v>
      </c>
      <c r="B9" s="48">
        <f>data!D138</f>
        <v>3773</v>
      </c>
      <c r="C9" s="48">
        <f>data!D139</f>
        <v>13176</v>
      </c>
      <c r="D9" s="48">
        <f>data!D140</f>
        <v>0</v>
      </c>
      <c r="E9" s="48">
        <f>data!D141</f>
        <v>241532321.49999997</v>
      </c>
      <c r="F9" s="48">
        <f>data!D142</f>
        <v>627107617.40999997</v>
      </c>
      <c r="G9" s="48">
        <f>data!D141+data!D142</f>
        <v>868639938.90999997</v>
      </c>
    </row>
    <row r="10" spans="1:13" ht="20.100000000000001" customHeight="1">
      <c r="A10" s="111" t="s">
        <v>203</v>
      </c>
      <c r="B10" s="48">
        <f>data!E138</f>
        <v>13385</v>
      </c>
      <c r="C10" s="48">
        <f>data!E139</f>
        <v>61575</v>
      </c>
      <c r="D10" s="48">
        <f>data!E140</f>
        <v>0</v>
      </c>
      <c r="E10" s="48">
        <f>data!E141</f>
        <v>1052674086.54</v>
      </c>
      <c r="F10" s="48">
        <f>data!E142</f>
        <v>1625901245.7800002</v>
      </c>
      <c r="G10" s="48">
        <f>data!E141+data!E142</f>
        <v>2678575332.3200002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4022206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2416330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Harrison Medical Center</v>
      </c>
      <c r="B3" s="30"/>
      <c r="C3" s="31" t="str">
        <f>"FYE: "&amp;data!C82</f>
        <v>FYE: 06/30/2019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12278046.07</v>
      </c>
    </row>
    <row r="7" spans="1:13" ht="20.100000000000001" customHeight="1">
      <c r="A7" s="40">
        <v>3</v>
      </c>
      <c r="B7" s="97" t="s">
        <v>308</v>
      </c>
      <c r="C7" s="13">
        <f>data!C166</f>
        <v>172095.84</v>
      </c>
    </row>
    <row r="8" spans="1:13" ht="20.100000000000001" customHeight="1">
      <c r="A8" s="40">
        <v>4</v>
      </c>
      <c r="B8" s="49" t="s">
        <v>309</v>
      </c>
      <c r="C8" s="13">
        <f>data!C167</f>
        <v>1475452.29</v>
      </c>
    </row>
    <row r="9" spans="1:13" ht="20.100000000000001" customHeight="1">
      <c r="A9" s="40">
        <v>5</v>
      </c>
      <c r="B9" s="49" t="s">
        <v>310</v>
      </c>
      <c r="C9" s="13">
        <f>data!C168</f>
        <v>20712623.940000001</v>
      </c>
    </row>
    <row r="10" spans="1:13" ht="20.100000000000001" customHeight="1">
      <c r="A10" s="40">
        <v>6</v>
      </c>
      <c r="B10" s="49" t="s">
        <v>311</v>
      </c>
      <c r="C10" s="13">
        <f>data!C169</f>
        <v>119197.94</v>
      </c>
    </row>
    <row r="11" spans="1:13" ht="20.100000000000001" customHeight="1">
      <c r="A11" s="40">
        <v>7</v>
      </c>
      <c r="B11" s="49" t="s">
        <v>312</v>
      </c>
      <c r="C11" s="13">
        <f>data!C170</f>
        <v>6002515.4299999997</v>
      </c>
    </row>
    <row r="12" spans="1:13" ht="20.100000000000001" customHeight="1">
      <c r="A12" s="40">
        <v>8</v>
      </c>
      <c r="B12" s="49" t="s">
        <v>313</v>
      </c>
      <c r="C12" s="13">
        <f>data!C171</f>
        <v>859723.43</v>
      </c>
    </row>
    <row r="13" spans="1:13" ht="20.100000000000001" customHeight="1">
      <c r="A13" s="40">
        <v>9</v>
      </c>
      <c r="B13" s="49" t="s">
        <v>313</v>
      </c>
      <c r="C13" s="13">
        <f>data!C172</f>
        <v>0</v>
      </c>
    </row>
    <row r="14" spans="1:13" ht="20.100000000000001" customHeight="1">
      <c r="A14" s="40">
        <v>10</v>
      </c>
      <c r="B14" s="49" t="s">
        <v>1066</v>
      </c>
      <c r="C14" s="13">
        <f>data!D173</f>
        <v>41619654.939999998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10524116.110000001</v>
      </c>
    </row>
    <row r="19" spans="1:3" ht="20.100000000000001" customHeight="1">
      <c r="A19" s="13">
        <v>13</v>
      </c>
      <c r="B19" s="49" t="s">
        <v>1068</v>
      </c>
      <c r="C19" s="13">
        <f>data!C176</f>
        <v>2693841.71</v>
      </c>
    </row>
    <row r="20" spans="1:3" ht="20.100000000000001" customHeight="1">
      <c r="A20" s="13">
        <v>14</v>
      </c>
      <c r="B20" s="49" t="s">
        <v>1069</v>
      </c>
      <c r="C20" s="13">
        <f>data!D177</f>
        <v>13217957.82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4718554.1099999994</v>
      </c>
    </row>
    <row r="26" spans="1:3" ht="20.100000000000001" customHeight="1">
      <c r="A26" s="13">
        <v>18</v>
      </c>
      <c r="B26" s="49" t="s">
        <v>319</v>
      </c>
      <c r="C26" s="13">
        <f>data!C180</f>
        <v>843122.91999999993</v>
      </c>
    </row>
    <row r="27" spans="1:3" ht="20.100000000000001" customHeight="1">
      <c r="A27" s="13">
        <v>19</v>
      </c>
      <c r="B27" s="49" t="s">
        <v>1072</v>
      </c>
      <c r="C27" s="13">
        <f>data!D181</f>
        <v>5561677.0299999993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0</v>
      </c>
    </row>
    <row r="32" spans="1:3" ht="20.100000000000001" customHeight="1">
      <c r="A32" s="13">
        <v>22</v>
      </c>
      <c r="B32" s="49" t="s">
        <v>1074</v>
      </c>
      <c r="C32" s="13">
        <f>data!C184</f>
        <v>14935935.68</v>
      </c>
    </row>
    <row r="33" spans="1:3" ht="20.100000000000001" customHeight="1">
      <c r="A33" s="13">
        <v>23</v>
      </c>
      <c r="B33" s="49" t="s">
        <v>132</v>
      </c>
      <c r="C33" s="13">
        <f>data!C185</f>
        <v>0</v>
      </c>
    </row>
    <row r="34" spans="1:3" ht="20.100000000000001" customHeight="1">
      <c r="A34" s="13">
        <v>24</v>
      </c>
      <c r="B34" s="49" t="s">
        <v>1075</v>
      </c>
      <c r="C34" s="13">
        <f>data!D186</f>
        <v>14935935.68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0</v>
      </c>
    </row>
    <row r="39" spans="1:3" ht="20.100000000000001" customHeight="1">
      <c r="A39" s="13">
        <v>27</v>
      </c>
      <c r="B39" s="49" t="s">
        <v>325</v>
      </c>
      <c r="C39" s="13">
        <f>data!C189</f>
        <v>-5045428.8099999996</v>
      </c>
    </row>
    <row r="40" spans="1:3" ht="20.100000000000001" customHeight="1">
      <c r="A40" s="13">
        <v>28</v>
      </c>
      <c r="B40" s="49" t="s">
        <v>1077</v>
      </c>
      <c r="C40" s="13">
        <f>data!D190</f>
        <v>-5045428.8099999996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Harrison Medical Center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10245719</v>
      </c>
      <c r="D7" s="21">
        <f>data!C195</f>
        <v>0</v>
      </c>
      <c r="E7" s="21">
        <f>data!D195</f>
        <v>0</v>
      </c>
      <c r="F7" s="21">
        <f>data!E195</f>
        <v>10245719</v>
      </c>
    </row>
    <row r="8" spans="1:13" ht="20.100000000000001" customHeight="1">
      <c r="A8" s="13">
        <v>2</v>
      </c>
      <c r="B8" s="14" t="s">
        <v>333</v>
      </c>
      <c r="C8" s="21">
        <f>data!B196</f>
        <v>2319119</v>
      </c>
      <c r="D8" s="21">
        <f>data!C196</f>
        <v>0</v>
      </c>
      <c r="E8" s="21">
        <f>data!D196</f>
        <v>0</v>
      </c>
      <c r="F8" s="21">
        <f>data!E196</f>
        <v>2319119</v>
      </c>
    </row>
    <row r="9" spans="1:13" ht="20.100000000000001" customHeight="1">
      <c r="A9" s="13">
        <v>3</v>
      </c>
      <c r="B9" s="14" t="s">
        <v>334</v>
      </c>
      <c r="C9" s="21">
        <f>data!B197</f>
        <v>99727204</v>
      </c>
      <c r="D9" s="21">
        <f>data!C197</f>
        <v>0</v>
      </c>
      <c r="E9" s="21">
        <f>data!D197</f>
        <v>0</v>
      </c>
      <c r="F9" s="21">
        <f>data!E197</f>
        <v>99727204</v>
      </c>
    </row>
    <row r="10" spans="1:13" ht="20.100000000000001" customHeight="1">
      <c r="A10" s="13">
        <v>4</v>
      </c>
      <c r="B10" s="14" t="s">
        <v>1083</v>
      </c>
      <c r="C10" s="21">
        <f>data!B198</f>
        <v>14481861.77</v>
      </c>
      <c r="D10" s="21">
        <f>data!C198</f>
        <v>947224.6</v>
      </c>
      <c r="E10" s="21">
        <f>data!D198</f>
        <v>0</v>
      </c>
      <c r="F10" s="21">
        <f>data!E198</f>
        <v>15429086.369999999</v>
      </c>
    </row>
    <row r="11" spans="1:13" ht="20.100000000000001" customHeight="1">
      <c r="A11" s="13">
        <v>5</v>
      </c>
      <c r="B11" s="14" t="s">
        <v>1084</v>
      </c>
      <c r="C11" s="21">
        <f>data!B199</f>
        <v>5219862.55</v>
      </c>
      <c r="D11" s="21">
        <f>data!C199</f>
        <v>64003.78</v>
      </c>
      <c r="E11" s="21">
        <f>data!D199</f>
        <v>0</v>
      </c>
      <c r="F11" s="21">
        <f>data!E199</f>
        <v>5283866.33</v>
      </c>
    </row>
    <row r="12" spans="1:13" ht="20.100000000000001" customHeight="1">
      <c r="A12" s="13">
        <v>6</v>
      </c>
      <c r="B12" s="14" t="s">
        <v>1085</v>
      </c>
      <c r="C12" s="21">
        <f>data!B200</f>
        <v>150454584.72999999</v>
      </c>
      <c r="D12" s="21">
        <f>data!C200</f>
        <v>7517365.1200000001</v>
      </c>
      <c r="E12" s="21">
        <f>data!D200</f>
        <v>323294.93</v>
      </c>
      <c r="F12" s="21">
        <f>data!E200</f>
        <v>157648654.91999999</v>
      </c>
    </row>
    <row r="13" spans="1:13" ht="20.100000000000001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>
      <c r="A14" s="13">
        <v>8</v>
      </c>
      <c r="B14" s="14" t="s">
        <v>339</v>
      </c>
      <c r="C14" s="21">
        <f>data!B202</f>
        <v>31151860.710000001</v>
      </c>
      <c r="D14" s="21">
        <f>data!C202</f>
        <v>2382011.13</v>
      </c>
      <c r="E14" s="21">
        <f>data!D202</f>
        <v>23102.75</v>
      </c>
      <c r="F14" s="21">
        <f>data!E202</f>
        <v>33510769.09</v>
      </c>
    </row>
    <row r="15" spans="1:13" ht="20.100000000000001" customHeight="1">
      <c r="A15" s="13">
        <v>9</v>
      </c>
      <c r="B15" s="14" t="s">
        <v>1087</v>
      </c>
      <c r="C15" s="21">
        <f>data!B203</f>
        <v>139559184.93000001</v>
      </c>
      <c r="D15" s="21">
        <f>data!C203</f>
        <v>140361771.98999998</v>
      </c>
      <c r="E15" s="21">
        <f>data!D203</f>
        <v>0</v>
      </c>
      <c r="F15" s="21">
        <f>data!E203</f>
        <v>279920956.91999996</v>
      </c>
      <c r="M15" s="264"/>
    </row>
    <row r="16" spans="1:13" ht="20.100000000000001" customHeight="1">
      <c r="A16" s="13">
        <v>10</v>
      </c>
      <c r="B16" s="14" t="s">
        <v>661</v>
      </c>
      <c r="C16" s="21">
        <f>data!B204</f>
        <v>453159396.68999994</v>
      </c>
      <c r="D16" s="21">
        <f>data!C204</f>
        <v>151272376.61999997</v>
      </c>
      <c r="E16" s="21">
        <f>data!D204</f>
        <v>346397.68</v>
      </c>
      <c r="F16" s="21">
        <f>data!E204</f>
        <v>604085375.62999988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424527</v>
      </c>
      <c r="D24" s="21">
        <f>data!C209</f>
        <v>154438.88</v>
      </c>
      <c r="E24" s="21">
        <f>data!D209</f>
        <v>0</v>
      </c>
      <c r="F24" s="21">
        <f>data!E209</f>
        <v>578965.88</v>
      </c>
    </row>
    <row r="25" spans="1:6" ht="20.100000000000001" customHeight="1">
      <c r="A25" s="13">
        <v>13</v>
      </c>
      <c r="B25" s="14" t="s">
        <v>334</v>
      </c>
      <c r="C25" s="21">
        <f>data!B210</f>
        <v>31193841</v>
      </c>
      <c r="D25" s="21">
        <f>data!C210</f>
        <v>20522680.009999998</v>
      </c>
      <c r="E25" s="21">
        <f>data!D210</f>
        <v>0</v>
      </c>
      <c r="F25" s="21">
        <f>data!E210</f>
        <v>51716521.009999998</v>
      </c>
    </row>
    <row r="26" spans="1:6" ht="20.100000000000001" customHeight="1">
      <c r="A26" s="13">
        <v>14</v>
      </c>
      <c r="B26" s="14" t="s">
        <v>1083</v>
      </c>
      <c r="C26" s="21">
        <f>data!B211</f>
        <v>3721920.25</v>
      </c>
      <c r="D26" s="21">
        <f>data!C211</f>
        <v>986302.34</v>
      </c>
      <c r="E26" s="21">
        <f>data!D211</f>
        <v>0</v>
      </c>
      <c r="F26" s="21">
        <f>data!E211</f>
        <v>4708222.59</v>
      </c>
    </row>
    <row r="27" spans="1:6" ht="20.100000000000001" customHeight="1">
      <c r="A27" s="13">
        <v>15</v>
      </c>
      <c r="B27" s="14" t="s">
        <v>1084</v>
      </c>
      <c r="C27" s="21">
        <f>data!B212</f>
        <v>2612447.41</v>
      </c>
      <c r="D27" s="21">
        <f>data!C212</f>
        <v>897705.19</v>
      </c>
      <c r="E27" s="21">
        <f>data!D212</f>
        <v>0</v>
      </c>
      <c r="F27" s="21">
        <f>data!E212</f>
        <v>3510152.6</v>
      </c>
    </row>
    <row r="28" spans="1:6" ht="20.100000000000001" customHeight="1">
      <c r="A28" s="13">
        <v>16</v>
      </c>
      <c r="B28" s="14" t="s">
        <v>1085</v>
      </c>
      <c r="C28" s="21">
        <f>data!B213</f>
        <v>94424837.180000007</v>
      </c>
      <c r="D28" s="21">
        <f>data!C213</f>
        <v>20584128.550000001</v>
      </c>
      <c r="E28" s="21">
        <f>data!D213</f>
        <v>1450661.6400000001</v>
      </c>
      <c r="F28" s="21">
        <f>data!E213</f>
        <v>113558304.09</v>
      </c>
    </row>
    <row r="29" spans="1:6" ht="20.100000000000001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>
      <c r="A30" s="13">
        <v>18</v>
      </c>
      <c r="B30" s="14" t="s">
        <v>339</v>
      </c>
      <c r="C30" s="21">
        <f>data!B215</f>
        <v>16950458.560000002</v>
      </c>
      <c r="D30" s="21">
        <f>data!C215</f>
        <v>3091211.95</v>
      </c>
      <c r="E30" s="21">
        <f>data!D215</f>
        <v>0</v>
      </c>
      <c r="F30" s="21">
        <f>data!E215</f>
        <v>20041670.510000002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149328031.40000001</v>
      </c>
      <c r="D32" s="21">
        <f>data!C217</f>
        <v>46236466.920000002</v>
      </c>
      <c r="E32" s="21">
        <f>data!D217</f>
        <v>1450661.6400000001</v>
      </c>
      <c r="F32" s="21">
        <f>data!E217</f>
        <v>194113836.68000001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Harrison Medical Center</v>
      </c>
      <c r="B2" s="30"/>
      <c r="C2" s="30"/>
      <c r="D2" s="31" t="str">
        <f>"FYE: "&amp;data!C82</f>
        <v>FYE: 06/30/2019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1255</v>
      </c>
      <c r="D5" s="14">
        <f>data!D221</f>
        <v>12497585.57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1144398494.7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364484631.63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456814023.1099999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1965697149.4399998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11035</v>
      </c>
      <c r="M16" s="264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4758089.33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10612766.5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15370855.83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69">
        <v>20</v>
      </c>
      <c r="B24" s="55">
        <v>5970</v>
      </c>
      <c r="C24" s="14" t="s">
        <v>357</v>
      </c>
      <c r="D24" s="14">
        <f>data!C238</f>
        <v>13182811.430000002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2006748402.2699997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Harrison Medical Center</v>
      </c>
      <c r="B3" s="30"/>
      <c r="C3" s="31" t="str">
        <f>" FYE: "&amp;data!C82</f>
        <v xml:space="preserve"> FYE: 06/30/2019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38483281.5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324627763.14999998</v>
      </c>
    </row>
    <row r="9" spans="1:13" ht="20.100000000000001" customHeight="1">
      <c r="A9" s="13">
        <v>5</v>
      </c>
      <c r="B9" s="14" t="s">
        <v>1104</v>
      </c>
      <c r="C9" s="21">
        <f>data!C253</f>
        <v>238065926.28000003</v>
      </c>
    </row>
    <row r="10" spans="1:13" ht="20.100000000000001" customHeight="1">
      <c r="A10" s="13">
        <v>6</v>
      </c>
      <c r="B10" s="14" t="s">
        <v>1105</v>
      </c>
      <c r="C10" s="21">
        <f>data!C254</f>
        <v>0</v>
      </c>
    </row>
    <row r="11" spans="1:13" ht="20.100000000000001" customHeight="1">
      <c r="A11" s="13">
        <v>7</v>
      </c>
      <c r="B11" s="14" t="s">
        <v>1106</v>
      </c>
      <c r="C11" s="21">
        <f>data!C255</f>
        <v>3067312.37</v>
      </c>
    </row>
    <row r="12" spans="1:13" ht="20.100000000000001" customHeight="1">
      <c r="A12" s="13">
        <v>8</v>
      </c>
      <c r="B12" s="14" t="s">
        <v>367</v>
      </c>
      <c r="C12" s="21">
        <f>data!C256</f>
        <v>0</v>
      </c>
    </row>
    <row r="13" spans="1:13" ht="20.100000000000001" customHeight="1">
      <c r="A13" s="13">
        <v>9</v>
      </c>
      <c r="B13" s="14" t="s">
        <v>368</v>
      </c>
      <c r="C13" s="21">
        <f>data!C257</f>
        <v>10059923.289999999</v>
      </c>
    </row>
    <row r="14" spans="1:13" ht="20.100000000000001" customHeight="1">
      <c r="A14" s="13">
        <v>10</v>
      </c>
      <c r="B14" s="14" t="s">
        <v>369</v>
      </c>
      <c r="C14" s="21">
        <f>data!C258</f>
        <v>1241475.1400000001</v>
      </c>
    </row>
    <row r="15" spans="1:13" ht="20.100000000000001" customHeight="1">
      <c r="A15" s="13">
        <v>11</v>
      </c>
      <c r="B15" s="14" t="s">
        <v>1107</v>
      </c>
      <c r="C15" s="21">
        <f>data!C259</f>
        <v>0</v>
      </c>
      <c r="M15" s="264"/>
    </row>
    <row r="16" spans="1:13" ht="20.100000000000001" customHeight="1">
      <c r="A16" s="13">
        <v>12</v>
      </c>
      <c r="B16" s="14" t="s">
        <v>1108</v>
      </c>
      <c r="C16" s="21">
        <f>data!D260</f>
        <v>139413829.16999996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0</v>
      </c>
    </row>
    <row r="20" spans="1:3" ht="20.100000000000001" customHeight="1">
      <c r="A20" s="13">
        <v>16</v>
      </c>
      <c r="B20" s="14" t="s">
        <v>363</v>
      </c>
      <c r="C20" s="21">
        <f>data!C263</f>
        <v>0</v>
      </c>
    </row>
    <row r="21" spans="1:3" ht="20.100000000000001" customHeight="1">
      <c r="A21" s="13">
        <v>17</v>
      </c>
      <c r="B21" s="14" t="s">
        <v>373</v>
      </c>
      <c r="C21" s="21">
        <f>data!C264</f>
        <v>0</v>
      </c>
    </row>
    <row r="22" spans="1:3" ht="20.100000000000001" customHeight="1">
      <c r="A22" s="13">
        <v>18</v>
      </c>
      <c r="B22" s="14" t="s">
        <v>1110</v>
      </c>
      <c r="C22" s="21">
        <f>data!D265</f>
        <v>0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10245719.140000001</v>
      </c>
    </row>
    <row r="26" spans="1:3" ht="20.100000000000001" customHeight="1">
      <c r="A26" s="13">
        <v>22</v>
      </c>
      <c r="B26" s="14" t="s">
        <v>333</v>
      </c>
      <c r="C26" s="21">
        <f>data!C268</f>
        <v>2319119</v>
      </c>
    </row>
    <row r="27" spans="1:3" ht="20.100000000000001" customHeight="1">
      <c r="A27" s="13">
        <v>23</v>
      </c>
      <c r="B27" s="14" t="s">
        <v>334</v>
      </c>
      <c r="C27" s="21">
        <f>data!C269</f>
        <v>99727204.209999993</v>
      </c>
    </row>
    <row r="28" spans="1:3" ht="20.100000000000001" customHeight="1">
      <c r="A28" s="13">
        <v>24</v>
      </c>
      <c r="B28" s="14" t="s">
        <v>1112</v>
      </c>
      <c r="C28" s="21">
        <f>data!C270</f>
        <v>15429086.32</v>
      </c>
    </row>
    <row r="29" spans="1:3" ht="20.100000000000001" customHeight="1">
      <c r="A29" s="13">
        <v>25</v>
      </c>
      <c r="B29" s="14" t="s">
        <v>336</v>
      </c>
      <c r="C29" s="21">
        <f>data!C271</f>
        <v>5283866.1899999995</v>
      </c>
    </row>
    <row r="30" spans="1:3" ht="20.100000000000001" customHeight="1">
      <c r="A30" s="13">
        <v>26</v>
      </c>
      <c r="B30" s="14" t="s">
        <v>378</v>
      </c>
      <c r="C30" s="21">
        <f>data!C272</f>
        <v>157648654.50999999</v>
      </c>
    </row>
    <row r="31" spans="1:3" ht="20.100000000000001" customHeight="1">
      <c r="A31" s="13">
        <v>27</v>
      </c>
      <c r="B31" s="14" t="s">
        <v>339</v>
      </c>
      <c r="C31" s="21">
        <f>data!C273</f>
        <v>33510769.609999999</v>
      </c>
    </row>
    <row r="32" spans="1:3" ht="20.100000000000001" customHeight="1">
      <c r="A32" s="13">
        <v>28</v>
      </c>
      <c r="B32" s="14" t="s">
        <v>340</v>
      </c>
      <c r="C32" s="21">
        <f>data!C274</f>
        <v>279920957.12</v>
      </c>
    </row>
    <row r="33" spans="1:3" ht="20.100000000000001" customHeight="1">
      <c r="A33" s="13">
        <v>29</v>
      </c>
      <c r="B33" s="14" t="s">
        <v>661</v>
      </c>
      <c r="C33" s="21">
        <f>data!D275</f>
        <v>604085376.10000002</v>
      </c>
    </row>
    <row r="34" spans="1:3" ht="20.100000000000001" customHeight="1">
      <c r="A34" s="13">
        <v>30</v>
      </c>
      <c r="B34" s="14" t="s">
        <v>1113</v>
      </c>
      <c r="C34" s="21">
        <f>data!C276</f>
        <v>194113837.59</v>
      </c>
    </row>
    <row r="35" spans="1:3" ht="20.100000000000001" customHeight="1">
      <c r="A35" s="13">
        <v>31</v>
      </c>
      <c r="B35" s="14" t="s">
        <v>1114</v>
      </c>
      <c r="C35" s="21">
        <f>data!D277</f>
        <v>409971538.50999999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325677991.24000001</v>
      </c>
    </row>
    <row r="41" spans="1:3" ht="20.100000000000001" customHeight="1">
      <c r="A41" s="13">
        <v>37</v>
      </c>
      <c r="B41" s="14" t="s">
        <v>373</v>
      </c>
      <c r="C41" s="21">
        <f>data!C282</f>
        <v>287860.96000000002</v>
      </c>
    </row>
    <row r="42" spans="1:3" ht="20.100000000000001" customHeight="1">
      <c r="A42" s="13">
        <v>38</v>
      </c>
      <c r="B42" s="14" t="s">
        <v>1118</v>
      </c>
      <c r="C42" s="21">
        <f>data!D283</f>
        <v>325965852.19999999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8342249.0300000003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22867406.870000005</v>
      </c>
    </row>
    <row r="49" spans="1:3" ht="20.100000000000001" customHeight="1">
      <c r="A49" s="13">
        <v>45</v>
      </c>
      <c r="B49" s="14" t="s">
        <v>1121</v>
      </c>
      <c r="C49" s="21">
        <f>data!D290</f>
        <v>31209655.900000006</v>
      </c>
    </row>
    <row r="50" spans="1:3" ht="20.100000000000001" customHeight="1">
      <c r="A50" s="40">
        <v>46</v>
      </c>
      <c r="B50" s="41" t="s">
        <v>1122</v>
      </c>
      <c r="C50" s="21">
        <f>data!D292</f>
        <v>906560875.77999985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Harrison Medical Center</v>
      </c>
      <c r="B55" s="30"/>
      <c r="C55" s="31" t="str">
        <f>"FYE: "&amp;data!C82</f>
        <v>FYE: 06/30/2019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6331475.9000000004</v>
      </c>
    </row>
    <row r="60" spans="1:3" ht="20.100000000000001" customHeight="1">
      <c r="A60" s="13">
        <v>4</v>
      </c>
      <c r="B60" s="14" t="s">
        <v>1127</v>
      </c>
      <c r="C60" s="21">
        <f>data!C306</f>
        <v>21004569.02</v>
      </c>
    </row>
    <row r="61" spans="1:3" ht="20.100000000000001" customHeight="1">
      <c r="A61" s="13">
        <v>5</v>
      </c>
      <c r="B61" s="14" t="s">
        <v>399</v>
      </c>
      <c r="C61" s="21">
        <f>data!C307</f>
        <v>47529483.059999995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5108174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0</v>
      </c>
    </row>
    <row r="67" spans="1:3" ht="20.100000000000001" customHeight="1">
      <c r="A67" s="13">
        <v>11</v>
      </c>
      <c r="B67" s="14" t="s">
        <v>1130</v>
      </c>
      <c r="C67" s="21">
        <f>data!C313</f>
        <v>5523322.6600000001</v>
      </c>
    </row>
    <row r="68" spans="1:3" ht="20.100000000000001" customHeight="1">
      <c r="A68" s="13">
        <v>12</v>
      </c>
      <c r="B68" s="14" t="s">
        <v>1131</v>
      </c>
      <c r="C68" s="21">
        <f>data!D314</f>
        <v>85497024.639999986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6352816</v>
      </c>
    </row>
    <row r="74" spans="1:3" ht="20.100000000000001" customHeight="1">
      <c r="A74" s="13">
        <v>18</v>
      </c>
      <c r="B74" s="14" t="s">
        <v>1134</v>
      </c>
      <c r="C74" s="21">
        <f>data!D319</f>
        <v>6352816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1529760.8</v>
      </c>
    </row>
    <row r="80" spans="1:3" ht="20.100000000000001" customHeight="1">
      <c r="A80" s="13">
        <v>24</v>
      </c>
      <c r="B80" s="14" t="s">
        <v>1136</v>
      </c>
      <c r="C80" s="21">
        <f>data!C324</f>
        <v>990072.75</v>
      </c>
    </row>
    <row r="81" spans="1:3" ht="20.100000000000001" customHeight="1">
      <c r="A81" s="13">
        <v>25</v>
      </c>
      <c r="B81" s="14" t="s">
        <v>416</v>
      </c>
      <c r="C81" s="21">
        <f>data!C325</f>
        <v>0</v>
      </c>
    </row>
    <row r="82" spans="1:3" ht="20.100000000000001" customHeight="1">
      <c r="A82" s="13">
        <v>26</v>
      </c>
      <c r="B82" s="14" t="s">
        <v>1137</v>
      </c>
      <c r="C82" s="21">
        <f>data!C326</f>
        <v>82650788.170000002</v>
      </c>
    </row>
    <row r="83" spans="1:3" ht="20.100000000000001" customHeight="1">
      <c r="A83" s="13">
        <v>27</v>
      </c>
      <c r="B83" s="14" t="s">
        <v>418</v>
      </c>
      <c r="C83" s="21">
        <f>data!C327</f>
        <v>2511059</v>
      </c>
    </row>
    <row r="84" spans="1:3" ht="20.100000000000001" customHeight="1">
      <c r="A84" s="13">
        <v>28</v>
      </c>
      <c r="B84" s="14" t="s">
        <v>661</v>
      </c>
      <c r="C84" s="21">
        <f>data!D328</f>
        <v>87681680.719999999</v>
      </c>
    </row>
    <row r="85" spans="1:3" ht="20.100000000000001" customHeight="1">
      <c r="A85" s="13">
        <v>29</v>
      </c>
      <c r="B85" s="14" t="s">
        <v>1138</v>
      </c>
      <c r="C85" s="21">
        <f>data!D329</f>
        <v>5523322.6600000001</v>
      </c>
    </row>
    <row r="86" spans="1:3" ht="20.100000000000001" customHeight="1">
      <c r="A86" s="13">
        <v>30</v>
      </c>
      <c r="B86" s="14" t="s">
        <v>1139</v>
      </c>
      <c r="C86" s="21">
        <f>data!D330</f>
        <v>82158358.060000002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732552677.62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732552677.62</v>
      </c>
    </row>
    <row r="102" spans="1:3" ht="20.100000000000001" customHeight="1">
      <c r="A102" s="13">
        <v>46</v>
      </c>
      <c r="B102" s="14" t="s">
        <v>1149</v>
      </c>
      <c r="C102" s="21">
        <f>data!D339</f>
        <v>906560876.31999993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Harrison Medical Center</v>
      </c>
      <c r="B107" s="30"/>
      <c r="C107" s="31" t="str">
        <f>" FYE: "&amp;data!C82</f>
        <v xml:space="preserve"> FYE: 06/30/2019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1052674086.54</v>
      </c>
    </row>
    <row r="111" spans="1:3" ht="20.100000000000001" customHeight="1">
      <c r="A111" s="13">
        <v>3</v>
      </c>
      <c r="B111" s="14" t="s">
        <v>429</v>
      </c>
      <c r="C111" s="21">
        <f>data!C360</f>
        <v>1625901245.78</v>
      </c>
    </row>
    <row r="112" spans="1:3" ht="20.100000000000001" customHeight="1">
      <c r="A112" s="13">
        <v>4</v>
      </c>
      <c r="B112" s="14" t="s">
        <v>1153</v>
      </c>
      <c r="C112" s="21">
        <f>data!D361</f>
        <v>2678575332.3199997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68" t="s">
        <v>450</v>
      </c>
      <c r="C115" s="48">
        <f>data!C363</f>
        <v>12497585.57</v>
      </c>
    </row>
    <row r="116" spans="1:3" ht="20.100000000000001" customHeight="1">
      <c r="A116" s="13">
        <v>8</v>
      </c>
      <c r="B116" s="14" t="s">
        <v>432</v>
      </c>
      <c r="C116" s="48">
        <f>data!C364</f>
        <v>1965697149.4400001</v>
      </c>
    </row>
    <row r="117" spans="1:3" ht="20.100000000000001" customHeight="1">
      <c r="A117" s="13">
        <v>9</v>
      </c>
      <c r="B117" s="14" t="s">
        <v>1155</v>
      </c>
      <c r="C117" s="48">
        <f>data!C365</f>
        <v>15370855.83</v>
      </c>
    </row>
    <row r="118" spans="1:3" ht="20.100000000000001" customHeight="1">
      <c r="A118" s="13">
        <v>10</v>
      </c>
      <c r="B118" s="14" t="s">
        <v>1156</v>
      </c>
      <c r="C118" s="48">
        <f>data!C366</f>
        <v>13182811.430000002</v>
      </c>
    </row>
    <row r="119" spans="1:3" ht="20.100000000000001" customHeight="1">
      <c r="A119" s="13">
        <v>11</v>
      </c>
      <c r="B119" s="14" t="s">
        <v>1099</v>
      </c>
      <c r="C119" s="48">
        <f>data!D367</f>
        <v>2006748402.27</v>
      </c>
    </row>
    <row r="120" spans="1:3" ht="20.100000000000001" customHeight="1">
      <c r="A120" s="13">
        <v>12</v>
      </c>
      <c r="B120" s="14" t="s">
        <v>1157</v>
      </c>
      <c r="C120" s="48">
        <f>data!D368</f>
        <v>671826930.04999971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5746464.5700000003</v>
      </c>
    </row>
    <row r="124" spans="1:3" ht="20.100000000000001" customHeight="1">
      <c r="A124" s="13">
        <v>16</v>
      </c>
      <c r="B124" s="14" t="s">
        <v>438</v>
      </c>
      <c r="C124" s="48">
        <f>data!C371</f>
        <v>0</v>
      </c>
    </row>
    <row r="125" spans="1:3" ht="20.100000000000001" customHeight="1">
      <c r="A125" s="13">
        <v>17</v>
      </c>
      <c r="B125" s="14" t="s">
        <v>1158</v>
      </c>
      <c r="C125" s="48">
        <f>data!D372</f>
        <v>5746464.5700000003</v>
      </c>
    </row>
    <row r="126" spans="1:3" ht="20.100000000000001" customHeight="1">
      <c r="A126" s="13">
        <v>18</v>
      </c>
      <c r="B126" s="14" t="s">
        <v>1159</v>
      </c>
      <c r="C126" s="48">
        <f>data!D373</f>
        <v>677573394.61999977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193640399.63999999</v>
      </c>
    </row>
    <row r="130" spans="1:3" ht="20.100000000000001" customHeight="1">
      <c r="A130" s="13">
        <v>22</v>
      </c>
      <c r="B130" s="14" t="s">
        <v>3</v>
      </c>
      <c r="C130" s="48">
        <f>data!C379</f>
        <v>41619655.539999999</v>
      </c>
    </row>
    <row r="131" spans="1:3" ht="20.100000000000001" customHeight="1">
      <c r="A131" s="13">
        <v>23</v>
      </c>
      <c r="B131" s="14" t="s">
        <v>236</v>
      </c>
      <c r="C131" s="48">
        <f>data!C380</f>
        <v>42048900.119999997</v>
      </c>
    </row>
    <row r="132" spans="1:3" ht="20.100000000000001" customHeight="1">
      <c r="A132" s="13">
        <v>24</v>
      </c>
      <c r="B132" s="14" t="s">
        <v>237</v>
      </c>
      <c r="C132" s="48">
        <f>data!C381</f>
        <v>107520410.94</v>
      </c>
    </row>
    <row r="133" spans="1:3" ht="20.100000000000001" customHeight="1">
      <c r="A133" s="13">
        <v>25</v>
      </c>
      <c r="B133" s="14" t="s">
        <v>1161</v>
      </c>
      <c r="C133" s="48">
        <f>data!C382</f>
        <v>4642352.87</v>
      </c>
    </row>
    <row r="134" spans="1:3" ht="20.100000000000001" customHeight="1">
      <c r="A134" s="13">
        <v>26</v>
      </c>
      <c r="B134" s="14" t="s">
        <v>1162</v>
      </c>
      <c r="C134" s="48">
        <f>data!C383</f>
        <v>146338607.73999998</v>
      </c>
    </row>
    <row r="135" spans="1:3" ht="20.100000000000001" customHeight="1">
      <c r="A135" s="13">
        <v>27</v>
      </c>
      <c r="B135" s="14" t="s">
        <v>6</v>
      </c>
      <c r="C135" s="48">
        <f>data!C384</f>
        <v>46236466.659999996</v>
      </c>
    </row>
    <row r="136" spans="1:3" ht="20.100000000000001" customHeight="1">
      <c r="A136" s="13">
        <v>28</v>
      </c>
      <c r="B136" s="14" t="s">
        <v>1163</v>
      </c>
      <c r="C136" s="48">
        <f>data!C385</f>
        <v>13217957.82</v>
      </c>
    </row>
    <row r="137" spans="1:3" ht="20.100000000000001" customHeight="1">
      <c r="A137" s="13">
        <v>29</v>
      </c>
      <c r="B137" s="14" t="s">
        <v>447</v>
      </c>
      <c r="C137" s="48">
        <f>data!C386</f>
        <v>5561677.0300000003</v>
      </c>
    </row>
    <row r="138" spans="1:3" ht="20.100000000000001" customHeight="1">
      <c r="A138" s="13">
        <v>30</v>
      </c>
      <c r="B138" s="14" t="s">
        <v>1164</v>
      </c>
      <c r="C138" s="48">
        <f>data!C387</f>
        <v>14935935.68</v>
      </c>
    </row>
    <row r="139" spans="1:3" ht="20.100000000000001" customHeight="1">
      <c r="A139" s="13">
        <v>31</v>
      </c>
      <c r="B139" s="14" t="s">
        <v>449</v>
      </c>
      <c r="C139" s="48">
        <f>data!C388</f>
        <v>-5045428.8099999996</v>
      </c>
    </row>
    <row r="140" spans="1:3" ht="20.100000000000001" customHeight="1">
      <c r="A140" s="13">
        <v>32</v>
      </c>
      <c r="B140" s="14" t="s">
        <v>241</v>
      </c>
      <c r="C140" s="48">
        <f>data!C389</f>
        <v>8262037.9100000001</v>
      </c>
    </row>
    <row r="141" spans="1:3" ht="20.100000000000001" customHeight="1">
      <c r="A141" s="13">
        <v>34</v>
      </c>
      <c r="B141" s="14" t="s">
        <v>1165</v>
      </c>
      <c r="C141" s="48">
        <f>data!D390</f>
        <v>618978973.13999987</v>
      </c>
    </row>
    <row r="142" spans="1:3" ht="20.100000000000001" customHeight="1">
      <c r="A142" s="13">
        <v>35</v>
      </c>
      <c r="B142" s="14" t="s">
        <v>1166</v>
      </c>
      <c r="C142" s="48">
        <f>data!D391</f>
        <v>58594421.4799999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15539323.24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74133744.719999894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74133744.719999894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Harrison Medical Center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4916</v>
      </c>
      <c r="D9" s="14">
        <f>data!D59</f>
        <v>0</v>
      </c>
      <c r="E9" s="14">
        <f>data!E59</f>
        <v>56659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53.062019230769231</v>
      </c>
      <c r="D10" s="26">
        <f>data!D60</f>
        <v>0</v>
      </c>
      <c r="E10" s="26">
        <f>data!E60</f>
        <v>371.74393269230768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5808922.879999999</v>
      </c>
      <c r="D11" s="14">
        <f>data!D61</f>
        <v>0</v>
      </c>
      <c r="E11" s="14">
        <f>data!E61</f>
        <v>32941979.420000002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1174186</v>
      </c>
      <c r="D12" s="14">
        <f>data!D62</f>
        <v>0</v>
      </c>
      <c r="E12" s="14">
        <f>data!E62</f>
        <v>7381637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894450.26</v>
      </c>
      <c r="D13" s="14">
        <f>data!D63</f>
        <v>0</v>
      </c>
      <c r="E13" s="14">
        <f>data!E63</f>
        <v>5293358.7300000004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708566.23999999987</v>
      </c>
      <c r="D14" s="14">
        <f>data!D64</f>
        <v>0</v>
      </c>
      <c r="E14" s="14">
        <f>data!E64</f>
        <v>2017672.2300000002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1049</v>
      </c>
      <c r="D15" s="14">
        <f>data!D65</f>
        <v>0</v>
      </c>
      <c r="E15" s="14">
        <f>data!E65</f>
        <v>7673.5700000000006</v>
      </c>
      <c r="F15" s="14">
        <f>data!F65</f>
        <v>0</v>
      </c>
      <c r="G15" s="14">
        <f>data!G65</f>
        <v>0</v>
      </c>
      <c r="H15" s="14">
        <f>data!H65</f>
        <v>341.1</v>
      </c>
      <c r="I15" s="14">
        <f>data!I65</f>
        <v>0</v>
      </c>
      <c r="M15" s="263"/>
    </row>
    <row r="16" spans="1:13" ht="20.100000000000001" customHeight="1">
      <c r="A16" s="23">
        <v>11</v>
      </c>
      <c r="B16" s="14" t="s">
        <v>445</v>
      </c>
      <c r="C16" s="14">
        <f>data!C66</f>
        <v>69645.509999999995</v>
      </c>
      <c r="D16" s="14">
        <f>data!D66</f>
        <v>0</v>
      </c>
      <c r="E16" s="14">
        <f>data!E66</f>
        <v>1492456.0125000002</v>
      </c>
      <c r="F16" s="14">
        <f>data!F66</f>
        <v>0</v>
      </c>
      <c r="G16" s="14">
        <f>data!G66</f>
        <v>119784.64750000001</v>
      </c>
      <c r="H16" s="14">
        <f>data!H66</f>
        <v>0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598989</v>
      </c>
      <c r="D17" s="14">
        <f>data!D67</f>
        <v>0</v>
      </c>
      <c r="E17" s="14">
        <f>data!E67</f>
        <v>4834321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15218.560000000001</v>
      </c>
      <c r="D18" s="14">
        <f>data!D68</f>
        <v>0</v>
      </c>
      <c r="E18" s="14">
        <f>data!E68</f>
        <v>16552.27</v>
      </c>
      <c r="F18" s="14">
        <f>data!F68</f>
        <v>0</v>
      </c>
      <c r="G18" s="14">
        <f>data!G68</f>
        <v>0</v>
      </c>
      <c r="H18" s="14">
        <f>data!H68</f>
        <v>422.53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3403.73</v>
      </c>
      <c r="D19" s="14">
        <f>data!D69</f>
        <v>0</v>
      </c>
      <c r="E19" s="14">
        <f>data!E69</f>
        <v>40480.58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-3316.66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9274431.1799999997</v>
      </c>
      <c r="D21" s="14">
        <f>data!D71</f>
        <v>0</v>
      </c>
      <c r="E21" s="14">
        <f>data!E71</f>
        <v>54022814.152500011</v>
      </c>
      <c r="F21" s="14">
        <f>data!F71</f>
        <v>0</v>
      </c>
      <c r="G21" s="14">
        <f>data!G71</f>
        <v>119784.64750000001</v>
      </c>
      <c r="H21" s="14">
        <f>data!H71</f>
        <v>763.63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>
      <c r="A23" s="23">
        <v>18</v>
      </c>
      <c r="B23" s="14" t="s">
        <v>1181</v>
      </c>
      <c r="C23" s="48">
        <f>+data!M668</f>
        <v>3183630</v>
      </c>
      <c r="D23" s="48">
        <f>+data!M669</f>
        <v>0</v>
      </c>
      <c r="E23" s="48">
        <f>+data!M670</f>
        <v>28761537</v>
      </c>
      <c r="F23" s="48">
        <f>+data!M671</f>
        <v>0</v>
      </c>
      <c r="G23" s="48">
        <f>+data!M672</f>
        <v>10335</v>
      </c>
      <c r="H23" s="48">
        <f>+data!M673</f>
        <v>66</v>
      </c>
      <c r="I23" s="48">
        <f>+data!M674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36995871.610000014</v>
      </c>
      <c r="D24" s="14">
        <f>data!D73</f>
        <v>0</v>
      </c>
      <c r="E24" s="14">
        <f>data!E73</f>
        <v>195219316.60999998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96090.799999999988</v>
      </c>
      <c r="D25" s="14">
        <f>data!D74</f>
        <v>0</v>
      </c>
      <c r="E25" s="14">
        <f>data!E74</f>
        <v>17379467.469999999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37091962.410000011</v>
      </c>
      <c r="D26" s="14">
        <f>data!D75</f>
        <v>0</v>
      </c>
      <c r="E26" s="14">
        <f>data!E75</f>
        <v>212598784.07999998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>
      <c r="A28" s="23">
        <v>22</v>
      </c>
      <c r="B28" s="14" t="s">
        <v>1186</v>
      </c>
      <c r="C28" s="14">
        <f>data!C76</f>
        <v>8800</v>
      </c>
      <c r="D28" s="14">
        <f>data!D76</f>
        <v>0</v>
      </c>
      <c r="E28" s="14">
        <f>data!E76</f>
        <v>90290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5806</v>
      </c>
      <c r="D29" s="14">
        <f>data!D77</f>
        <v>0</v>
      </c>
      <c r="E29" s="14">
        <f>data!E77</f>
        <v>199747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2514.2745955400092</v>
      </c>
      <c r="D30" s="14">
        <f>data!D78</f>
        <v>0</v>
      </c>
      <c r="E30" s="14">
        <f>data!E78</f>
        <v>25797.028776284933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65061</v>
      </c>
      <c r="D31" s="14">
        <f>data!D79</f>
        <v>0</v>
      </c>
      <c r="E31" s="14">
        <f>data!E79</f>
        <v>640945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37.431908653846151</v>
      </c>
      <c r="D32" s="84">
        <f>data!D80</f>
        <v>0</v>
      </c>
      <c r="E32" s="84">
        <f>data!E80</f>
        <v>199.36947596153846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Harrison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3964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1103372</v>
      </c>
    </row>
    <row r="42" spans="1:9" ht="20.100000000000001" customHeight="1">
      <c r="A42" s="23">
        <v>5</v>
      </c>
      <c r="B42" s="14" t="s">
        <v>234</v>
      </c>
      <c r="C42" s="26">
        <f>data!J60</f>
        <v>72.579750000000004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99.332899038461534</v>
      </c>
    </row>
    <row r="43" spans="1:9" ht="20.100000000000001" customHeight="1">
      <c r="A43" s="23">
        <v>6</v>
      </c>
      <c r="B43" s="14" t="s">
        <v>235</v>
      </c>
      <c r="C43" s="14">
        <f>data!J61</f>
        <v>7498846.8699999992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9848226.870000001</v>
      </c>
    </row>
    <row r="44" spans="1:9" ht="20.100000000000001" customHeight="1">
      <c r="A44" s="23">
        <v>7</v>
      </c>
      <c r="B44" s="14" t="s">
        <v>3</v>
      </c>
      <c r="C44" s="14">
        <f>data!J62</f>
        <v>1563232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2079344</v>
      </c>
    </row>
    <row r="45" spans="1:9" ht="20.100000000000001" customHeight="1">
      <c r="A45" s="23">
        <v>8</v>
      </c>
      <c r="B45" s="14" t="s">
        <v>236</v>
      </c>
      <c r="C45" s="14">
        <f>data!J63</f>
        <v>1519079.29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3632366.89</v>
      </c>
    </row>
    <row r="46" spans="1:9" ht="20.100000000000001" customHeight="1">
      <c r="A46" s="23">
        <v>9</v>
      </c>
      <c r="B46" s="14" t="s">
        <v>237</v>
      </c>
      <c r="C46" s="14">
        <f>data!J64</f>
        <v>794572.83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21822590.370000001</v>
      </c>
    </row>
    <row r="47" spans="1:9" ht="20.100000000000001" customHeight="1">
      <c r="A47" s="23">
        <v>10</v>
      </c>
      <c r="B47" s="14" t="s">
        <v>444</v>
      </c>
      <c r="C47" s="14">
        <f>data!J65</f>
        <v>2094.2699999999995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3857.46</v>
      </c>
    </row>
    <row r="48" spans="1:9" ht="20.100000000000001" customHeight="1">
      <c r="A48" s="23">
        <v>11</v>
      </c>
      <c r="B48" s="14" t="s">
        <v>445</v>
      </c>
      <c r="C48" s="14">
        <f>data!J66</f>
        <v>1105059.6099999999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1832524.5550000002</v>
      </c>
    </row>
    <row r="49" spans="1:9" ht="20.100000000000001" customHeight="1">
      <c r="A49" s="23">
        <v>12</v>
      </c>
      <c r="B49" s="14" t="s">
        <v>6</v>
      </c>
      <c r="C49" s="14">
        <f>data!J67</f>
        <v>1047516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7538626</v>
      </c>
    </row>
    <row r="50" spans="1:9" ht="20.100000000000001" customHeight="1">
      <c r="A50" s="23">
        <v>13</v>
      </c>
      <c r="B50" s="14" t="s">
        <v>474</v>
      </c>
      <c r="C50" s="14">
        <f>data!J68</f>
        <v>11075.9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1373297.17</v>
      </c>
    </row>
    <row r="51" spans="1:9" ht="20.100000000000001" customHeight="1">
      <c r="A51" s="23">
        <v>14</v>
      </c>
      <c r="B51" s="14" t="s">
        <v>241</v>
      </c>
      <c r="C51" s="14">
        <f>data!J69</f>
        <v>30530.57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92682.069999999978</v>
      </c>
    </row>
    <row r="52" spans="1:9" ht="20.100000000000001" customHeight="1">
      <c r="A52" s="23">
        <v>15</v>
      </c>
      <c r="B52" s="14" t="s">
        <v>242</v>
      </c>
      <c r="C52" s="14">
        <f>-data!J70</f>
        <v>-7583.57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-364</v>
      </c>
    </row>
    <row r="53" spans="1:9" ht="20.100000000000001" customHeight="1">
      <c r="A53" s="23">
        <v>16</v>
      </c>
      <c r="B53" s="48" t="s">
        <v>1180</v>
      </c>
      <c r="C53" s="14">
        <f>data!J71</f>
        <v>13564423.77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48223151.385000005</v>
      </c>
    </row>
    <row r="54" spans="1:9" ht="20.100000000000001" customHeight="1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>
      <c r="A55" s="23">
        <v>18</v>
      </c>
      <c r="B55" s="14" t="s">
        <v>1181</v>
      </c>
      <c r="C55" s="48">
        <f>+data!M675</f>
        <v>5166792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17999317</v>
      </c>
    </row>
    <row r="56" spans="1:9" ht="20.100000000000001" customHeight="1">
      <c r="A56" s="23">
        <v>19</v>
      </c>
      <c r="B56" s="48" t="s">
        <v>1182</v>
      </c>
      <c r="C56" s="14">
        <f>data!J73</f>
        <v>60571494.869999997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222754045.53000003</v>
      </c>
    </row>
    <row r="57" spans="1:9" ht="20.100000000000001" customHeight="1">
      <c r="A57" s="23">
        <v>20</v>
      </c>
      <c r="B57" s="48" t="s">
        <v>1183</v>
      </c>
      <c r="C57" s="14">
        <f>data!J74</f>
        <v>4298308.4400000004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209123792.50000003</v>
      </c>
    </row>
    <row r="58" spans="1:9" ht="20.100000000000001" customHeight="1">
      <c r="A58" s="23">
        <v>21</v>
      </c>
      <c r="B58" s="48" t="s">
        <v>1184</v>
      </c>
      <c r="C58" s="14">
        <f>data!J75</f>
        <v>64869803.309999995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431877838.03000009</v>
      </c>
    </row>
    <row r="59" spans="1:9" ht="20.100000000000001" customHeight="1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>
      <c r="A60" s="23">
        <v>22</v>
      </c>
      <c r="B60" s="14" t="s">
        <v>1186</v>
      </c>
      <c r="C60" s="14">
        <f>data!J76</f>
        <v>16041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58788</v>
      </c>
    </row>
    <row r="61" spans="1:9" ht="20.100000000000001" customHeight="1">
      <c r="A61" s="23">
        <v>23</v>
      </c>
      <c r="B61" s="14" t="s">
        <v>1187</v>
      </c>
      <c r="C61" s="14">
        <f>data!J77</f>
        <v>11330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>
      <c r="A62" s="23">
        <v>24</v>
      </c>
      <c r="B62" s="14" t="s">
        <v>1188</v>
      </c>
      <c r="C62" s="14">
        <f>data!J78</f>
        <v>4583.1225894383279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16796.497150296142</v>
      </c>
    </row>
    <row r="63" spans="1:9" ht="20.100000000000001" customHeight="1">
      <c r="A63" s="23">
        <v>25</v>
      </c>
      <c r="B63" s="14" t="s">
        <v>1189</v>
      </c>
      <c r="C63" s="14">
        <f>data!J79</f>
        <v>83794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374075</v>
      </c>
    </row>
    <row r="64" spans="1:9" ht="20.100000000000001" customHeight="1">
      <c r="A64" s="23">
        <v>26</v>
      </c>
      <c r="B64" s="14" t="s">
        <v>252</v>
      </c>
      <c r="C64" s="26">
        <f>data!J80</f>
        <v>53.456235576923078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43.042163461538465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Harrison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34537</v>
      </c>
      <c r="D73" s="48">
        <f>data!R59</f>
        <v>642960</v>
      </c>
      <c r="E73" s="210"/>
      <c r="F73" s="210"/>
      <c r="G73" s="14">
        <f>data!U59</f>
        <v>1127200</v>
      </c>
      <c r="H73" s="14">
        <f>data!V59</f>
        <v>37304</v>
      </c>
      <c r="I73" s="14">
        <f>data!W59</f>
        <v>3374</v>
      </c>
    </row>
    <row r="74" spans="1:9" ht="20.100000000000001" customHeight="1">
      <c r="A74" s="23">
        <v>5</v>
      </c>
      <c r="B74" s="14" t="s">
        <v>234</v>
      </c>
      <c r="C74" s="26">
        <f>data!Q60</f>
        <v>45.528759615384615</v>
      </c>
      <c r="D74" s="26">
        <f>data!R60</f>
        <v>4.1215288461538471</v>
      </c>
      <c r="E74" s="26">
        <f>data!S60</f>
        <v>36.922096153846155</v>
      </c>
      <c r="F74" s="26">
        <f>data!T60</f>
        <v>0</v>
      </c>
      <c r="G74" s="26">
        <f>data!U60</f>
        <v>58.532798076923079</v>
      </c>
      <c r="H74" s="26">
        <f>data!V60</f>
        <v>5.0219567307692303</v>
      </c>
      <c r="I74" s="26">
        <f>data!W60</f>
        <v>0</v>
      </c>
    </row>
    <row r="75" spans="1:9" ht="20.100000000000001" customHeight="1">
      <c r="A75" s="23">
        <v>6</v>
      </c>
      <c r="B75" s="14" t="s">
        <v>235</v>
      </c>
      <c r="C75" s="14">
        <f>data!Q61</f>
        <v>4619032.41</v>
      </c>
      <c r="D75" s="14">
        <f>data!R61</f>
        <v>294443.81</v>
      </c>
      <c r="E75" s="14">
        <f>data!S61</f>
        <v>2073165.7200000002</v>
      </c>
      <c r="F75" s="14">
        <f>data!T61</f>
        <v>0</v>
      </c>
      <c r="G75" s="14">
        <f>data!U61</f>
        <v>4537988.0299999993</v>
      </c>
      <c r="H75" s="14">
        <f>data!V61</f>
        <v>490154.9200000001</v>
      </c>
      <c r="I75" s="14">
        <f>data!W61</f>
        <v>487374.59000000008</v>
      </c>
    </row>
    <row r="76" spans="1:9" ht="20.100000000000001" customHeight="1">
      <c r="A76" s="23">
        <v>7</v>
      </c>
      <c r="B76" s="14" t="s">
        <v>3</v>
      </c>
      <c r="C76" s="14">
        <f>data!Q62</f>
        <v>1006432</v>
      </c>
      <c r="D76" s="14">
        <f>data!R62</f>
        <v>78285</v>
      </c>
      <c r="E76" s="14">
        <f>data!S62</f>
        <v>629081</v>
      </c>
      <c r="F76" s="14">
        <f>data!T62</f>
        <v>0</v>
      </c>
      <c r="G76" s="14">
        <f>data!U62</f>
        <v>1071244</v>
      </c>
      <c r="H76" s="14">
        <f>data!V62</f>
        <v>109682</v>
      </c>
      <c r="I76" s="14">
        <f>data!W62</f>
        <v>108682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409954.48</v>
      </c>
      <c r="E77" s="14">
        <f>data!S63</f>
        <v>0</v>
      </c>
      <c r="F77" s="14">
        <f>data!T63</f>
        <v>0</v>
      </c>
      <c r="G77" s="14">
        <f>data!U63</f>
        <v>60171.49</v>
      </c>
      <c r="H77" s="14">
        <f>data!V63</f>
        <v>135997.07</v>
      </c>
      <c r="I77" s="14">
        <f>data!W63</f>
        <v>0</v>
      </c>
    </row>
    <row r="78" spans="1:9" ht="20.100000000000001" customHeight="1">
      <c r="A78" s="23">
        <v>9</v>
      </c>
      <c r="B78" s="14" t="s">
        <v>237</v>
      </c>
      <c r="C78" s="14">
        <f>data!Q64</f>
        <v>481724.90999999992</v>
      </c>
      <c r="D78" s="14">
        <f>data!R64</f>
        <v>401212.72000000003</v>
      </c>
      <c r="E78" s="14">
        <f>data!S64</f>
        <v>-857551.18000000052</v>
      </c>
      <c r="F78" s="14">
        <f>data!T64</f>
        <v>0</v>
      </c>
      <c r="G78" s="14">
        <f>data!U64</f>
        <v>4248022.34</v>
      </c>
      <c r="H78" s="14">
        <f>data!V64</f>
        <v>11234.910000000002</v>
      </c>
      <c r="I78" s="14">
        <f>data!W64</f>
        <v>88013.170000000013</v>
      </c>
    </row>
    <row r="79" spans="1:9" ht="20.100000000000001" customHeight="1">
      <c r="A79" s="23">
        <v>10</v>
      </c>
      <c r="B79" s="14" t="s">
        <v>444</v>
      </c>
      <c r="C79" s="14">
        <f>data!Q65</f>
        <v>1612.3300000000004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63.88</v>
      </c>
      <c r="H79" s="14">
        <f>data!V65</f>
        <v>14.52</v>
      </c>
      <c r="I79" s="14">
        <f>data!W65</f>
        <v>432.15</v>
      </c>
    </row>
    <row r="80" spans="1:9" ht="20.100000000000001" customHeight="1">
      <c r="A80" s="23">
        <v>11</v>
      </c>
      <c r="B80" s="14" t="s">
        <v>445</v>
      </c>
      <c r="C80" s="14">
        <f>data!Q66</f>
        <v>28502.899999999994</v>
      </c>
      <c r="D80" s="14">
        <f>data!R66</f>
        <v>382330.60000000003</v>
      </c>
      <c r="E80" s="14">
        <f>data!S66</f>
        <v>700136.41945249995</v>
      </c>
      <c r="F80" s="14">
        <f>data!T66</f>
        <v>0</v>
      </c>
      <c r="G80" s="14">
        <f>data!U66</f>
        <v>3563572.7599999988</v>
      </c>
      <c r="H80" s="14">
        <f>data!V66</f>
        <v>179841.49</v>
      </c>
      <c r="I80" s="14">
        <f>data!W66</f>
        <v>52532.729999999996</v>
      </c>
    </row>
    <row r="81" spans="1:9" ht="20.100000000000001" customHeight="1">
      <c r="A81" s="23">
        <v>12</v>
      </c>
      <c r="B81" s="14" t="s">
        <v>6</v>
      </c>
      <c r="C81" s="14">
        <f>data!Q67</f>
        <v>449165</v>
      </c>
      <c r="D81" s="14">
        <f>data!R67</f>
        <v>5913</v>
      </c>
      <c r="E81" s="14">
        <f>data!S67</f>
        <v>635402</v>
      </c>
      <c r="F81" s="14">
        <f>data!T67</f>
        <v>0</v>
      </c>
      <c r="G81" s="14">
        <f>data!U67</f>
        <v>763271</v>
      </c>
      <c r="H81" s="14">
        <f>data!V67</f>
        <v>164029</v>
      </c>
      <c r="I81" s="14">
        <f>data!W67</f>
        <v>119165</v>
      </c>
    </row>
    <row r="82" spans="1:9" ht="20.100000000000001" customHeight="1">
      <c r="A82" s="23">
        <v>13</v>
      </c>
      <c r="B82" s="14" t="s">
        <v>474</v>
      </c>
      <c r="C82" s="14">
        <f>data!Q68</f>
        <v>3116.67</v>
      </c>
      <c r="D82" s="14">
        <f>data!R68</f>
        <v>4940.9400000000005</v>
      </c>
      <c r="E82" s="14">
        <f>data!S68</f>
        <v>46598.500000000007</v>
      </c>
      <c r="F82" s="14">
        <f>data!T68</f>
        <v>0</v>
      </c>
      <c r="G82" s="14">
        <f>data!U68</f>
        <v>76297.77</v>
      </c>
      <c r="H82" s="14">
        <f>data!V68</f>
        <v>0</v>
      </c>
      <c r="I82" s="14">
        <f>data!W68</f>
        <v>1521.05</v>
      </c>
    </row>
    <row r="83" spans="1:9" ht="20.100000000000001" customHeight="1">
      <c r="A83" s="23">
        <v>14</v>
      </c>
      <c r="B83" s="14" t="s">
        <v>241</v>
      </c>
      <c r="C83" s="14">
        <f>data!Q69</f>
        <v>14970.739999999991</v>
      </c>
      <c r="D83" s="14">
        <f>data!R69</f>
        <v>0</v>
      </c>
      <c r="E83" s="14">
        <f>data!S69</f>
        <v>91367.53</v>
      </c>
      <c r="F83" s="14">
        <f>data!T69</f>
        <v>0</v>
      </c>
      <c r="G83" s="14">
        <f>data!U69</f>
        <v>565196.33000000007</v>
      </c>
      <c r="H83" s="14">
        <f>data!V69</f>
        <v>826.04</v>
      </c>
      <c r="I83" s="14">
        <f>data!W69</f>
        <v>553.04000000000019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-122915.09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6604556.9600000009</v>
      </c>
      <c r="D85" s="14">
        <f>data!R71</f>
        <v>1577080.55</v>
      </c>
      <c r="E85" s="14">
        <f>data!S71</f>
        <v>3318199.9894524994</v>
      </c>
      <c r="F85" s="14">
        <f>data!T71</f>
        <v>0</v>
      </c>
      <c r="G85" s="14">
        <f>data!U71</f>
        <v>14762912.51</v>
      </c>
      <c r="H85" s="14">
        <f>data!V71</f>
        <v>1091779.9500000002</v>
      </c>
      <c r="I85" s="14">
        <f>data!W71</f>
        <v>858273.73000000021</v>
      </c>
    </row>
    <row r="86" spans="1:9" ht="20.100000000000001" customHeight="1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>
      <c r="A87" s="23">
        <v>18</v>
      </c>
      <c r="B87" s="14" t="s">
        <v>1181</v>
      </c>
      <c r="C87" s="48">
        <f>+data!M682</f>
        <v>2729431</v>
      </c>
      <c r="D87" s="48">
        <f>+data!M683</f>
        <v>532231</v>
      </c>
      <c r="E87" s="48">
        <f>+data!M684</f>
        <v>1115086</v>
      </c>
      <c r="F87" s="48">
        <f>+data!M685</f>
        <v>0</v>
      </c>
      <c r="G87" s="48">
        <f>+data!M686</f>
        <v>4268887</v>
      </c>
      <c r="H87" s="48">
        <f>+data!M687</f>
        <v>532123</v>
      </c>
      <c r="I87" s="48">
        <f>+data!M688</f>
        <v>578109</v>
      </c>
    </row>
    <row r="88" spans="1:9" ht="20.100000000000001" customHeight="1">
      <c r="A88" s="23">
        <v>19</v>
      </c>
      <c r="B88" s="48" t="s">
        <v>1182</v>
      </c>
      <c r="C88" s="14">
        <f>data!Q73</f>
        <v>15435530.939999998</v>
      </c>
      <c r="D88" s="14">
        <f>data!R73</f>
        <v>8055699.71</v>
      </c>
      <c r="E88" s="14">
        <f>data!S73</f>
        <v>0</v>
      </c>
      <c r="F88" s="14">
        <f>data!T73</f>
        <v>0</v>
      </c>
      <c r="G88" s="14">
        <f>data!U73</f>
        <v>65085801.170000002</v>
      </c>
      <c r="H88" s="14">
        <f>data!V73</f>
        <v>20929325.84</v>
      </c>
      <c r="I88" s="14">
        <f>data!W73</f>
        <v>6356582.4800000004</v>
      </c>
    </row>
    <row r="89" spans="1:9" ht="20.100000000000001" customHeight="1">
      <c r="A89" s="23">
        <v>20</v>
      </c>
      <c r="B89" s="48" t="s">
        <v>1183</v>
      </c>
      <c r="C89" s="14">
        <f>data!Q74</f>
        <v>36398005.560000002</v>
      </c>
      <c r="D89" s="14">
        <f>data!R74</f>
        <v>14339474.689999999</v>
      </c>
      <c r="E89" s="14">
        <f>data!S74</f>
        <v>0</v>
      </c>
      <c r="F89" s="14">
        <f>data!T74</f>
        <v>0</v>
      </c>
      <c r="G89" s="14">
        <f>data!U74</f>
        <v>36401080.159999996</v>
      </c>
      <c r="H89" s="14">
        <f>data!V74</f>
        <v>12597609.68</v>
      </c>
      <c r="I89" s="14">
        <f>data!W74</f>
        <v>15730749.129999999</v>
      </c>
    </row>
    <row r="90" spans="1:9" ht="20.100000000000001" customHeight="1">
      <c r="A90" s="23">
        <v>21</v>
      </c>
      <c r="B90" s="48" t="s">
        <v>1184</v>
      </c>
      <c r="C90" s="14">
        <f>data!Q75</f>
        <v>51833536.5</v>
      </c>
      <c r="D90" s="14">
        <f>data!R75</f>
        <v>22395174.399999999</v>
      </c>
      <c r="E90" s="14">
        <f>data!S75</f>
        <v>0</v>
      </c>
      <c r="F90" s="14">
        <f>data!T75</f>
        <v>0</v>
      </c>
      <c r="G90" s="14">
        <f>data!U75</f>
        <v>101486881.33</v>
      </c>
      <c r="H90" s="14">
        <f>data!V75</f>
        <v>33526935.52</v>
      </c>
      <c r="I90" s="14">
        <f>data!W75</f>
        <v>22087331.609999999</v>
      </c>
    </row>
    <row r="91" spans="1:9" ht="20.100000000000001" customHeight="1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>
      <c r="A92" s="23">
        <v>22</v>
      </c>
      <c r="B92" s="14" t="s">
        <v>1186</v>
      </c>
      <c r="C92" s="14">
        <f>data!Q76</f>
        <v>8627</v>
      </c>
      <c r="D92" s="14">
        <f>data!R76</f>
        <v>116</v>
      </c>
      <c r="E92" s="14">
        <f>data!S76</f>
        <v>8419</v>
      </c>
      <c r="F92" s="14">
        <f>data!T76</f>
        <v>0</v>
      </c>
      <c r="G92" s="14">
        <f>data!U76</f>
        <v>13374</v>
      </c>
      <c r="H92" s="14">
        <f>data!V76</f>
        <v>0</v>
      </c>
      <c r="I92" s="14">
        <f>data!W76</f>
        <v>2192</v>
      </c>
    </row>
    <row r="93" spans="1:9" ht="20.100000000000001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2464.8462426958704</v>
      </c>
      <c r="D94" s="14">
        <f>data!R78</f>
        <v>33.142710577572842</v>
      </c>
      <c r="E94" s="14">
        <f>data!S78</f>
        <v>2405.4179340740156</v>
      </c>
      <c r="F94" s="14">
        <f>data!T78</f>
        <v>0</v>
      </c>
      <c r="G94" s="14">
        <f>data!U78</f>
        <v>3821.1259591763728</v>
      </c>
      <c r="H94" s="14">
        <f>data!V78</f>
        <v>0</v>
      </c>
      <c r="I94" s="14">
        <f>data!W78</f>
        <v>626.28294470723858</v>
      </c>
    </row>
    <row r="95" spans="1:9" ht="20.100000000000001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>
      <c r="A96" s="23">
        <v>26</v>
      </c>
      <c r="B96" s="14" t="s">
        <v>252</v>
      </c>
      <c r="C96" s="84">
        <f>data!Q80</f>
        <v>31.203600961538463</v>
      </c>
      <c r="D96" s="84">
        <f>data!R80</f>
        <v>3.7007451923076924</v>
      </c>
      <c r="E96" s="84">
        <f>data!S80</f>
        <v>2.403846153846154E-3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Harrison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0</v>
      </c>
      <c r="D105" s="14">
        <f>data!Y59</f>
        <v>147723</v>
      </c>
      <c r="E105" s="14">
        <f>data!Z59</f>
        <v>16308</v>
      </c>
      <c r="F105" s="14">
        <f>data!AA59</f>
        <v>2899</v>
      </c>
      <c r="G105" s="210"/>
      <c r="H105" s="14">
        <f>data!AC59</f>
        <v>84461</v>
      </c>
      <c r="I105" s="14">
        <f>data!AD59</f>
        <v>0</v>
      </c>
    </row>
    <row r="106" spans="1:9" ht="20.100000000000001" customHeight="1">
      <c r="A106" s="23">
        <v>5</v>
      </c>
      <c r="B106" s="14" t="s">
        <v>234</v>
      </c>
      <c r="C106" s="26">
        <f>data!X60</f>
        <v>0</v>
      </c>
      <c r="D106" s="26">
        <f>data!Y60</f>
        <v>150.90238461538462</v>
      </c>
      <c r="E106" s="26">
        <f>data!Z60</f>
        <v>19.432495192307691</v>
      </c>
      <c r="F106" s="26">
        <f>data!AA60</f>
        <v>2.8648221153846154</v>
      </c>
      <c r="G106" s="26">
        <f>data!AB60</f>
        <v>46.242716346153856</v>
      </c>
      <c r="H106" s="26">
        <f>data!AC60</f>
        <v>58.552673076923078</v>
      </c>
      <c r="I106" s="26">
        <f>data!AD60</f>
        <v>0</v>
      </c>
    </row>
    <row r="107" spans="1:9" ht="20.100000000000001" customHeight="1">
      <c r="A107" s="23">
        <v>6</v>
      </c>
      <c r="B107" s="14" t="s">
        <v>235</v>
      </c>
      <c r="C107" s="14">
        <f>data!X61</f>
        <v>0</v>
      </c>
      <c r="D107" s="14">
        <f>data!Y61</f>
        <v>12522593.6</v>
      </c>
      <c r="E107" s="14">
        <f>data!Z61</f>
        <v>1855120.06</v>
      </c>
      <c r="F107" s="14">
        <f>data!AA61</f>
        <v>307099.7</v>
      </c>
      <c r="G107" s="14">
        <f>data!AB61</f>
        <v>4955303.91</v>
      </c>
      <c r="H107" s="14">
        <f>data!AC61</f>
        <v>4751900.5000000009</v>
      </c>
      <c r="I107" s="14">
        <f>data!AD61</f>
        <v>0</v>
      </c>
    </row>
    <row r="108" spans="1:9" ht="20.100000000000001" customHeight="1">
      <c r="A108" s="23">
        <v>7</v>
      </c>
      <c r="B108" s="14" t="s">
        <v>3</v>
      </c>
      <c r="C108" s="14">
        <f>data!X62</f>
        <v>0</v>
      </c>
      <c r="D108" s="14">
        <f>data!Y62</f>
        <v>2996091</v>
      </c>
      <c r="E108" s="14">
        <f>data!Z62</f>
        <v>419442</v>
      </c>
      <c r="F108" s="14">
        <f>data!AA62</f>
        <v>65484</v>
      </c>
      <c r="G108" s="14">
        <f>data!AB62</f>
        <v>1036355</v>
      </c>
      <c r="H108" s="14">
        <f>data!AC62</f>
        <v>1182471</v>
      </c>
      <c r="I108" s="14">
        <f>data!AD62</f>
        <v>0</v>
      </c>
    </row>
    <row r="109" spans="1:9" ht="20.100000000000001" customHeight="1">
      <c r="A109" s="23">
        <v>8</v>
      </c>
      <c r="B109" s="14" t="s">
        <v>236</v>
      </c>
      <c r="C109" s="14">
        <f>data!X63</f>
        <v>0</v>
      </c>
      <c r="D109" s="14">
        <f>data!Y63</f>
        <v>557589.54</v>
      </c>
      <c r="E109" s="14">
        <f>data!Z63</f>
        <v>36637.5</v>
      </c>
      <c r="F109" s="14">
        <f>data!AA63</f>
        <v>0</v>
      </c>
      <c r="G109" s="14">
        <f>data!AB63</f>
        <v>0</v>
      </c>
      <c r="H109" s="14">
        <f>data!AC63</f>
        <v>66675</v>
      </c>
      <c r="I109" s="14">
        <f>data!AD63</f>
        <v>0</v>
      </c>
    </row>
    <row r="110" spans="1:9" ht="20.100000000000001" customHeight="1">
      <c r="A110" s="23">
        <v>9</v>
      </c>
      <c r="B110" s="14" t="s">
        <v>237</v>
      </c>
      <c r="C110" s="14">
        <f>data!X64</f>
        <v>0</v>
      </c>
      <c r="D110" s="14">
        <f>data!Y64</f>
        <v>17447975.600000001</v>
      </c>
      <c r="E110" s="14">
        <f>data!Z64</f>
        <v>47163.69</v>
      </c>
      <c r="F110" s="14">
        <f>data!AA64</f>
        <v>753369.01</v>
      </c>
      <c r="G110" s="14">
        <f>data!AB64</f>
        <v>11976472.909999998</v>
      </c>
      <c r="H110" s="14">
        <f>data!AC64</f>
        <v>522658.87999999995</v>
      </c>
      <c r="I110" s="14">
        <f>data!AD64</f>
        <v>0</v>
      </c>
    </row>
    <row r="111" spans="1:9" ht="20.100000000000001" customHeight="1">
      <c r="A111" s="23">
        <v>10</v>
      </c>
      <c r="B111" s="14" t="s">
        <v>444</v>
      </c>
      <c r="C111" s="14">
        <f>data!X65</f>
        <v>0</v>
      </c>
      <c r="D111" s="14">
        <f>data!Y65</f>
        <v>232290.75999999998</v>
      </c>
      <c r="E111" s="14">
        <f>data!Z65</f>
        <v>0</v>
      </c>
      <c r="F111" s="14">
        <f>data!AA65</f>
        <v>0</v>
      </c>
      <c r="G111" s="14">
        <f>data!AB65</f>
        <v>1196.4499999999998</v>
      </c>
      <c r="H111" s="14">
        <f>data!AC65</f>
        <v>4573.6299999999992</v>
      </c>
      <c r="I111" s="14">
        <f>data!AD65</f>
        <v>0</v>
      </c>
    </row>
    <row r="112" spans="1:9" ht="20.100000000000001" customHeight="1">
      <c r="A112" s="23">
        <v>11</v>
      </c>
      <c r="B112" s="14" t="s">
        <v>445</v>
      </c>
      <c r="C112" s="14">
        <f>data!X66</f>
        <v>0</v>
      </c>
      <c r="D112" s="14">
        <f>data!Y66</f>
        <v>3723575.47</v>
      </c>
      <c r="E112" s="14">
        <f>data!Z66</f>
        <v>1402077.56</v>
      </c>
      <c r="F112" s="14">
        <f>data!AA66</f>
        <v>65337.13</v>
      </c>
      <c r="G112" s="14">
        <f>data!AB66</f>
        <v>620257.69999999995</v>
      </c>
      <c r="H112" s="14">
        <f>data!AC66</f>
        <v>121786.57000000002</v>
      </c>
      <c r="I112" s="14">
        <f>data!AD66</f>
        <v>0</v>
      </c>
    </row>
    <row r="113" spans="1:9" ht="20.100000000000001" customHeight="1">
      <c r="A113" s="23">
        <v>12</v>
      </c>
      <c r="B113" s="14" t="s">
        <v>6</v>
      </c>
      <c r="C113" s="14">
        <f>data!X67</f>
        <v>0</v>
      </c>
      <c r="D113" s="14">
        <f>data!Y67</f>
        <v>2881653</v>
      </c>
      <c r="E113" s="14">
        <f>data!Z67</f>
        <v>715712</v>
      </c>
      <c r="F113" s="14">
        <f>data!AA67</f>
        <v>135303</v>
      </c>
      <c r="G113" s="14">
        <f>data!AB67</f>
        <v>580697</v>
      </c>
      <c r="H113" s="14">
        <f>data!AC67</f>
        <v>587830</v>
      </c>
      <c r="I113" s="14">
        <f>data!AD67</f>
        <v>41289</v>
      </c>
    </row>
    <row r="114" spans="1:9" ht="20.100000000000001" customHeight="1">
      <c r="A114" s="23">
        <v>13</v>
      </c>
      <c r="B114" s="14" t="s">
        <v>474</v>
      </c>
      <c r="C114" s="14">
        <f>data!X68</f>
        <v>0</v>
      </c>
      <c r="D114" s="14">
        <f>data!Y68</f>
        <v>1070088.83</v>
      </c>
      <c r="E114" s="14">
        <f>data!Z68</f>
        <v>8646.33</v>
      </c>
      <c r="F114" s="14">
        <f>data!AA68</f>
        <v>467.27</v>
      </c>
      <c r="G114" s="14">
        <f>data!AB68</f>
        <v>39988.420000000006</v>
      </c>
      <c r="H114" s="14">
        <f>data!AC68</f>
        <v>286637.23000000004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0</v>
      </c>
      <c r="D115" s="14">
        <f>data!Y69</f>
        <v>32725.489999999998</v>
      </c>
      <c r="E115" s="14">
        <f>data!Z69</f>
        <v>10585.670000000002</v>
      </c>
      <c r="F115" s="14">
        <f>data!AA69</f>
        <v>61</v>
      </c>
      <c r="G115" s="14">
        <f>data!AB69</f>
        <v>51503.89</v>
      </c>
      <c r="H115" s="14">
        <f>data!AC69</f>
        <v>22694.440000000002</v>
      </c>
      <c r="I115" s="14">
        <f>data!AD69</f>
        <v>0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-11687.69</v>
      </c>
      <c r="E116" s="14">
        <f>-data!Z70</f>
        <v>-4210.1499999999996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0</v>
      </c>
      <c r="D117" s="14">
        <f>data!Y71</f>
        <v>41452895.600000001</v>
      </c>
      <c r="E117" s="14">
        <f>data!Z71</f>
        <v>4491174.66</v>
      </c>
      <c r="F117" s="14">
        <f>data!AA71</f>
        <v>1327121.1099999999</v>
      </c>
      <c r="G117" s="14">
        <f>data!AB71</f>
        <v>19261775.280000001</v>
      </c>
      <c r="H117" s="14">
        <f>data!AC71</f>
        <v>7547227.2500000019</v>
      </c>
      <c r="I117" s="14">
        <f>data!AD71</f>
        <v>41289</v>
      </c>
    </row>
    <row r="118" spans="1:9" ht="20.100000000000001" customHeight="1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>
      <c r="A119" s="23">
        <v>18</v>
      </c>
      <c r="B119" s="14" t="s">
        <v>1181</v>
      </c>
      <c r="C119" s="48">
        <f>+data!M689</f>
        <v>0</v>
      </c>
      <c r="D119" s="48">
        <f>+data!M690</f>
        <v>13066224</v>
      </c>
      <c r="E119" s="48">
        <f>+data!M691</f>
        <v>2167421</v>
      </c>
      <c r="F119" s="48">
        <f>+data!M692</f>
        <v>360191</v>
      </c>
      <c r="G119" s="48">
        <f>+data!M693</f>
        <v>6187263</v>
      </c>
      <c r="H119" s="48">
        <f>+data!M694</f>
        <v>2373452</v>
      </c>
      <c r="I119" s="48">
        <f>+data!M695</f>
        <v>83166</v>
      </c>
    </row>
    <row r="120" spans="1:9" ht="20.100000000000001" customHeight="1">
      <c r="A120" s="23">
        <v>19</v>
      </c>
      <c r="B120" s="48" t="s">
        <v>1182</v>
      </c>
      <c r="C120" s="14">
        <f>data!X73</f>
        <v>0</v>
      </c>
      <c r="D120" s="14">
        <f>data!Y73</f>
        <v>150561929.22</v>
      </c>
      <c r="E120" s="14">
        <f>data!Z73</f>
        <v>2707402.5900000003</v>
      </c>
      <c r="F120" s="14">
        <f>data!AA73</f>
        <v>5493616.379999999</v>
      </c>
      <c r="G120" s="14">
        <f>data!AB73</f>
        <v>149779547.75999999</v>
      </c>
      <c r="H120" s="14">
        <f>data!AC73</f>
        <v>43268174.799999997</v>
      </c>
      <c r="I120" s="14">
        <f>data!AD73</f>
        <v>0</v>
      </c>
    </row>
    <row r="121" spans="1:9" ht="20.100000000000001" customHeight="1">
      <c r="A121" s="23">
        <v>20</v>
      </c>
      <c r="B121" s="48" t="s">
        <v>1183</v>
      </c>
      <c r="C121" s="14">
        <f>data!X74</f>
        <v>0</v>
      </c>
      <c r="D121" s="14">
        <f>data!Y74</f>
        <v>273041739.06000006</v>
      </c>
      <c r="E121" s="14">
        <f>data!Z74</f>
        <v>39218980.479999989</v>
      </c>
      <c r="F121" s="14">
        <f>data!AA74</f>
        <v>9350911.7599999979</v>
      </c>
      <c r="G121" s="14">
        <f>data!AB74</f>
        <v>91983435.110000014</v>
      </c>
      <c r="H121" s="14">
        <f>data!AC74</f>
        <v>19514490.920000002</v>
      </c>
      <c r="I121" s="14">
        <f>data!AD74</f>
        <v>0</v>
      </c>
    </row>
    <row r="122" spans="1:9" ht="20.100000000000001" customHeight="1">
      <c r="A122" s="23">
        <v>21</v>
      </c>
      <c r="B122" s="48" t="s">
        <v>1184</v>
      </c>
      <c r="C122" s="14">
        <f>data!X75</f>
        <v>0</v>
      </c>
      <c r="D122" s="14">
        <f>data!Y75</f>
        <v>423603668.28000009</v>
      </c>
      <c r="E122" s="14">
        <f>data!Z75</f>
        <v>41926383.069999993</v>
      </c>
      <c r="F122" s="14">
        <f>data!AA75</f>
        <v>14844528.139999997</v>
      </c>
      <c r="G122" s="14">
        <f>data!AB75</f>
        <v>241762982.87</v>
      </c>
      <c r="H122" s="14">
        <f>data!AC75</f>
        <v>62782665.719999999</v>
      </c>
      <c r="I122" s="14">
        <f>data!AD75</f>
        <v>0</v>
      </c>
    </row>
    <row r="123" spans="1:9" ht="20.100000000000001" customHeight="1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>
      <c r="A124" s="23">
        <v>22</v>
      </c>
      <c r="B124" s="14" t="s">
        <v>1186</v>
      </c>
      <c r="C124" s="14">
        <f>data!X76</f>
        <v>0</v>
      </c>
      <c r="D124" s="14">
        <f>data!Y76</f>
        <v>23073</v>
      </c>
      <c r="E124" s="14">
        <f>data!Z76</f>
        <v>11773</v>
      </c>
      <c r="F124" s="14">
        <f>data!AA76</f>
        <v>0</v>
      </c>
      <c r="G124" s="14">
        <f>data!AB76</f>
        <v>5552</v>
      </c>
      <c r="H124" s="14">
        <f>data!AC76</f>
        <v>7609</v>
      </c>
      <c r="I124" s="14">
        <f>data!AD76</f>
        <v>810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>
      <c r="A126" s="23">
        <v>24</v>
      </c>
      <c r="B126" s="14" t="s">
        <v>1188</v>
      </c>
      <c r="C126" s="14">
        <f>data!X78</f>
        <v>0</v>
      </c>
      <c r="D126" s="14">
        <f>data!Y78</f>
        <v>6592.2565616925713</v>
      </c>
      <c r="E126" s="14">
        <f>data!Z78</f>
        <v>3363.6994106014236</v>
      </c>
      <c r="F126" s="14">
        <f>data!AA78</f>
        <v>0</v>
      </c>
      <c r="G126" s="14">
        <f>data!AB78</f>
        <v>1586.2786993679692</v>
      </c>
      <c r="H126" s="14">
        <f>data!AC78</f>
        <v>2173.9903860754462</v>
      </c>
      <c r="I126" s="14">
        <f>data!AD78</f>
        <v>231.42754799856903</v>
      </c>
    </row>
    <row r="127" spans="1:9" ht="20.100000000000001" customHeight="1">
      <c r="A127" s="23">
        <v>25</v>
      </c>
      <c r="B127" s="14" t="s">
        <v>1189</v>
      </c>
      <c r="C127" s="14">
        <f>data!X79</f>
        <v>0</v>
      </c>
      <c r="D127" s="14">
        <f>data!Y79</f>
        <v>102572</v>
      </c>
      <c r="E127" s="14">
        <f>data!Z79</f>
        <v>25657</v>
      </c>
      <c r="F127" s="14">
        <f>data!AA79</f>
        <v>0</v>
      </c>
      <c r="G127" s="14">
        <f>data!AB79</f>
        <v>0</v>
      </c>
      <c r="H127" s="14">
        <f>data!AC79</f>
        <v>18204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0</v>
      </c>
      <c r="D128" s="26">
        <f>data!Y80</f>
        <v>19.305326923076922</v>
      </c>
      <c r="E128" s="26">
        <f>data!Z80</f>
        <v>2.4004038461538459</v>
      </c>
      <c r="F128" s="26">
        <f>data!AA80</f>
        <v>3.8461538461538464E-3</v>
      </c>
      <c r="G128" s="26">
        <f>data!AB80</f>
        <v>0</v>
      </c>
      <c r="H128" s="26">
        <f>data!AC80</f>
        <v>1.9638653846153846</v>
      </c>
      <c r="I128" s="26">
        <f>data!AD80</f>
        <v>0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Harrison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94259</v>
      </c>
      <c r="D137" s="14">
        <f>data!AF59</f>
        <v>0</v>
      </c>
      <c r="E137" s="14">
        <f>data!AG59</f>
        <v>78387</v>
      </c>
      <c r="F137" s="14">
        <f>data!AH59</f>
        <v>0</v>
      </c>
      <c r="G137" s="14">
        <f>data!AI59</f>
        <v>0</v>
      </c>
      <c r="H137" s="14">
        <f>data!AJ59</f>
        <v>512461</v>
      </c>
      <c r="I137" s="14">
        <f>data!AK59</f>
        <v>25891</v>
      </c>
    </row>
    <row r="138" spans="1:9" ht="20.100000000000001" customHeight="1">
      <c r="A138" s="23">
        <v>5</v>
      </c>
      <c r="B138" s="14" t="s">
        <v>234</v>
      </c>
      <c r="C138" s="26">
        <f>data!AE60</f>
        <v>36.493836538461537</v>
      </c>
      <c r="D138" s="26">
        <f>data!AF60</f>
        <v>0</v>
      </c>
      <c r="E138" s="26">
        <f>data!AG60</f>
        <v>115.81929326923077</v>
      </c>
      <c r="F138" s="26">
        <f>data!AH60</f>
        <v>0</v>
      </c>
      <c r="G138" s="26">
        <f>data!AI60</f>
        <v>0</v>
      </c>
      <c r="H138" s="26">
        <f>data!AJ60</f>
        <v>466.14</v>
      </c>
      <c r="I138" s="26">
        <f>data!AK60</f>
        <v>9.1775048076923067</v>
      </c>
    </row>
    <row r="139" spans="1:9" ht="20.100000000000001" customHeight="1">
      <c r="A139" s="23">
        <v>6</v>
      </c>
      <c r="B139" s="14" t="s">
        <v>235</v>
      </c>
      <c r="C139" s="14">
        <f>data!AE61</f>
        <v>2988700.49</v>
      </c>
      <c r="D139" s="14">
        <f>data!AF61</f>
        <v>0</v>
      </c>
      <c r="E139" s="14">
        <f>data!AG61</f>
        <v>11775753.16</v>
      </c>
      <c r="F139" s="14">
        <f>data!AH61</f>
        <v>0</v>
      </c>
      <c r="G139" s="14">
        <f>data!AI61</f>
        <v>0</v>
      </c>
      <c r="H139" s="14">
        <f>data!AJ61</f>
        <v>57920827.82</v>
      </c>
      <c r="I139" s="14">
        <f>data!AK61</f>
        <v>926052.93000000017</v>
      </c>
    </row>
    <row r="140" spans="1:9" ht="20.100000000000001" customHeight="1">
      <c r="A140" s="23">
        <v>7</v>
      </c>
      <c r="B140" s="14" t="s">
        <v>3</v>
      </c>
      <c r="C140" s="14">
        <f>data!AE62</f>
        <v>740534</v>
      </c>
      <c r="D140" s="14">
        <f>data!AF62</f>
        <v>0</v>
      </c>
      <c r="E140" s="14">
        <f>data!AG62</f>
        <v>2361074</v>
      </c>
      <c r="F140" s="14">
        <f>data!AH62</f>
        <v>0</v>
      </c>
      <c r="G140" s="14">
        <f>data!AI62</f>
        <v>0</v>
      </c>
      <c r="H140" s="14">
        <f>data!AJ62</f>
        <v>10055664</v>
      </c>
      <c r="I140" s="14">
        <f>data!AK62</f>
        <v>202562</v>
      </c>
    </row>
    <row r="141" spans="1:9" ht="20.100000000000001" customHeight="1">
      <c r="A141" s="23">
        <v>8</v>
      </c>
      <c r="B141" s="14" t="s">
        <v>236</v>
      </c>
      <c r="C141" s="14">
        <f>data!AE63</f>
        <v>215086.96</v>
      </c>
      <c r="D141" s="14">
        <f>data!AF63</f>
        <v>0</v>
      </c>
      <c r="E141" s="14">
        <f>data!AG63</f>
        <v>4005048.29</v>
      </c>
      <c r="F141" s="14">
        <f>data!AH63</f>
        <v>0</v>
      </c>
      <c r="G141" s="14">
        <f>data!AI63</f>
        <v>0</v>
      </c>
      <c r="H141" s="14">
        <f>data!AJ63</f>
        <v>23717360.199999999</v>
      </c>
      <c r="I141" s="14">
        <f>data!AK63</f>
        <v>0</v>
      </c>
    </row>
    <row r="142" spans="1:9" ht="20.100000000000001" customHeight="1">
      <c r="A142" s="23">
        <v>9</v>
      </c>
      <c r="B142" s="14" t="s">
        <v>237</v>
      </c>
      <c r="C142" s="14">
        <f>data!AE64</f>
        <v>586754.39</v>
      </c>
      <c r="D142" s="14">
        <f>data!AF64</f>
        <v>0</v>
      </c>
      <c r="E142" s="14">
        <f>data!AG64</f>
        <v>1677276.4999999995</v>
      </c>
      <c r="F142" s="14">
        <f>data!AH64</f>
        <v>0</v>
      </c>
      <c r="G142" s="14">
        <f>data!AI64</f>
        <v>0</v>
      </c>
      <c r="H142" s="14">
        <f>data!AJ64</f>
        <v>2833738.4700000011</v>
      </c>
      <c r="I142" s="14">
        <f>data!AK64</f>
        <v>10168.02</v>
      </c>
    </row>
    <row r="143" spans="1:9" ht="20.100000000000001" customHeight="1">
      <c r="A143" s="23">
        <v>10</v>
      </c>
      <c r="B143" s="14" t="s">
        <v>444</v>
      </c>
      <c r="C143" s="14">
        <f>data!AE65</f>
        <v>14602.95</v>
      </c>
      <c r="D143" s="14">
        <f>data!AF65</f>
        <v>0</v>
      </c>
      <c r="E143" s="14">
        <f>data!AG65</f>
        <v>1561.73</v>
      </c>
      <c r="F143" s="14">
        <f>data!AH65</f>
        <v>0</v>
      </c>
      <c r="G143" s="14">
        <f>data!AI65</f>
        <v>0</v>
      </c>
      <c r="H143" s="14">
        <f>data!AJ65</f>
        <v>897858.03</v>
      </c>
      <c r="I143" s="14">
        <f>data!AK65</f>
        <v>1358.3600000000001</v>
      </c>
    </row>
    <row r="144" spans="1:9" ht="20.100000000000001" customHeight="1">
      <c r="A144" s="23">
        <v>11</v>
      </c>
      <c r="B144" s="14" t="s">
        <v>445</v>
      </c>
      <c r="C144" s="14">
        <f>data!AE66</f>
        <v>1641062.38</v>
      </c>
      <c r="D144" s="14">
        <f>data!AF66</f>
        <v>0</v>
      </c>
      <c r="E144" s="14">
        <f>data!AG66</f>
        <v>1764289.67</v>
      </c>
      <c r="F144" s="14">
        <f>data!AH66</f>
        <v>0</v>
      </c>
      <c r="G144" s="14">
        <f>data!AI66</f>
        <v>0</v>
      </c>
      <c r="H144" s="14">
        <f>data!AJ66</f>
        <v>41473953.999999993</v>
      </c>
      <c r="I144" s="14">
        <f>data!AK66</f>
        <v>133926.07999999999</v>
      </c>
    </row>
    <row r="145" spans="1:9" ht="20.100000000000001" customHeight="1">
      <c r="A145" s="23">
        <v>12</v>
      </c>
      <c r="B145" s="14" t="s">
        <v>6</v>
      </c>
      <c r="C145" s="14">
        <f>data!AE67</f>
        <v>1272217</v>
      </c>
      <c r="D145" s="14">
        <f>data!AF67</f>
        <v>0</v>
      </c>
      <c r="E145" s="14">
        <f>data!AG67</f>
        <v>1670116</v>
      </c>
      <c r="F145" s="14">
        <f>data!AH67</f>
        <v>0</v>
      </c>
      <c r="G145" s="14">
        <f>data!AI67</f>
        <v>0</v>
      </c>
      <c r="H145" s="14">
        <f>data!AJ67</f>
        <v>6289602</v>
      </c>
      <c r="I145" s="14">
        <f>data!AK67</f>
        <v>238611</v>
      </c>
    </row>
    <row r="146" spans="1:9" ht="20.100000000000001" customHeight="1">
      <c r="A146" s="23">
        <v>13</v>
      </c>
      <c r="B146" s="14" t="s">
        <v>474</v>
      </c>
      <c r="C146" s="14">
        <f>data!AE68</f>
        <v>349676.32999999996</v>
      </c>
      <c r="D146" s="14">
        <f>data!AF68</f>
        <v>0</v>
      </c>
      <c r="E146" s="14">
        <f>data!AG68</f>
        <v>31347.540000000005</v>
      </c>
      <c r="F146" s="14">
        <f>data!AH68</f>
        <v>0</v>
      </c>
      <c r="G146" s="14">
        <f>data!AI68</f>
        <v>0</v>
      </c>
      <c r="H146" s="14">
        <f>data!AJ68</f>
        <v>7477809.3500000006</v>
      </c>
      <c r="I146" s="14">
        <f>data!AK68</f>
        <v>170110.53999999998</v>
      </c>
    </row>
    <row r="147" spans="1:9" ht="20.100000000000001" customHeight="1">
      <c r="A147" s="23">
        <v>14</v>
      </c>
      <c r="B147" s="14" t="s">
        <v>241</v>
      </c>
      <c r="C147" s="14">
        <f>data!AE69</f>
        <v>18818.2</v>
      </c>
      <c r="D147" s="14">
        <f>data!AF69</f>
        <v>0</v>
      </c>
      <c r="E147" s="14">
        <f>data!AG69</f>
        <v>35512.329999999994</v>
      </c>
      <c r="F147" s="14">
        <f>data!AH69</f>
        <v>0</v>
      </c>
      <c r="G147" s="14">
        <f>data!AI69</f>
        <v>0</v>
      </c>
      <c r="H147" s="14">
        <f>data!AJ69</f>
        <v>4635807.4399999976</v>
      </c>
      <c r="I147" s="14">
        <f>data!AK69</f>
        <v>5890.62</v>
      </c>
    </row>
    <row r="148" spans="1:9" ht="20.100000000000001" customHeight="1">
      <c r="A148" s="23">
        <v>15</v>
      </c>
      <c r="B148" s="14" t="s">
        <v>242</v>
      </c>
      <c r="C148" s="14">
        <f>-data!AE70</f>
        <v>-6605.24</v>
      </c>
      <c r="D148" s="14">
        <f>-data!AF70</f>
        <v>0</v>
      </c>
      <c r="E148" s="14">
        <f>-data!AG70</f>
        <v>-5839.52</v>
      </c>
      <c r="F148" s="14">
        <f>-data!AH70</f>
        <v>0</v>
      </c>
      <c r="G148" s="14">
        <f>-data!AI70</f>
        <v>0</v>
      </c>
      <c r="H148" s="14">
        <f>-data!AJ70</f>
        <v>-2357967.15</v>
      </c>
      <c r="I148" s="14">
        <f>-data!AK70</f>
        <v>-1858.82</v>
      </c>
    </row>
    <row r="149" spans="1:9" ht="20.100000000000001" customHeight="1">
      <c r="A149" s="23">
        <v>16</v>
      </c>
      <c r="B149" s="48" t="s">
        <v>1180</v>
      </c>
      <c r="C149" s="14">
        <f>data!AE71</f>
        <v>7820847.46</v>
      </c>
      <c r="D149" s="14">
        <f>data!AF71</f>
        <v>0</v>
      </c>
      <c r="E149" s="14">
        <f>data!AG71</f>
        <v>23316139.699999999</v>
      </c>
      <c r="F149" s="14">
        <f>data!AH71</f>
        <v>0</v>
      </c>
      <c r="G149" s="14">
        <f>data!AI71</f>
        <v>0</v>
      </c>
      <c r="H149" s="14">
        <f>data!AJ71</f>
        <v>152944654.15999997</v>
      </c>
      <c r="I149" s="14">
        <f>data!AK71</f>
        <v>1686820.7300000004</v>
      </c>
    </row>
    <row r="150" spans="1:9" ht="20.100000000000001" customHeight="1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>
      <c r="A151" s="23">
        <v>18</v>
      </c>
      <c r="B151" s="14" t="s">
        <v>1181</v>
      </c>
      <c r="C151" s="48">
        <f>+data!M696</f>
        <v>3391315</v>
      </c>
      <c r="D151" s="48">
        <f>+data!M697</f>
        <v>0</v>
      </c>
      <c r="E151" s="48">
        <f>+data!M698</f>
        <v>10162288</v>
      </c>
      <c r="F151" s="48">
        <f>+data!M699</f>
        <v>0</v>
      </c>
      <c r="G151" s="48">
        <f>+data!M700</f>
        <v>0</v>
      </c>
      <c r="H151" s="48">
        <f>+data!M701</f>
        <v>17827330</v>
      </c>
      <c r="I151" s="48">
        <f>+data!M702</f>
        <v>709102</v>
      </c>
    </row>
    <row r="152" spans="1:9" ht="20.100000000000001" customHeight="1">
      <c r="A152" s="23">
        <v>19</v>
      </c>
      <c r="B152" s="48" t="s">
        <v>1182</v>
      </c>
      <c r="C152" s="14">
        <f>data!AE73</f>
        <v>5715212.0199999986</v>
      </c>
      <c r="D152" s="14">
        <f>data!AF73</f>
        <v>0</v>
      </c>
      <c r="E152" s="14">
        <f>data!AG73</f>
        <v>55235562.890000001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3380933.26</v>
      </c>
    </row>
    <row r="153" spans="1:9" ht="20.100000000000001" customHeight="1">
      <c r="A153" s="23">
        <v>20</v>
      </c>
      <c r="B153" s="48" t="s">
        <v>1183</v>
      </c>
      <c r="C153" s="14">
        <f>data!AE74</f>
        <v>21123398.710000001</v>
      </c>
      <c r="D153" s="14">
        <f>data!AF74</f>
        <v>0</v>
      </c>
      <c r="E153" s="14">
        <f>data!AG74</f>
        <v>206165921.69</v>
      </c>
      <c r="F153" s="14">
        <f>data!AH74</f>
        <v>0</v>
      </c>
      <c r="G153" s="14">
        <f>data!AI74</f>
        <v>0</v>
      </c>
      <c r="H153" s="14">
        <f>data!AJ74</f>
        <v>248490704.91000003</v>
      </c>
      <c r="I153" s="14">
        <f>data!AK74</f>
        <v>3500355.56</v>
      </c>
    </row>
    <row r="154" spans="1:9" ht="20.100000000000001" customHeight="1">
      <c r="A154" s="23">
        <v>21</v>
      </c>
      <c r="B154" s="48" t="s">
        <v>1184</v>
      </c>
      <c r="C154" s="14">
        <f>data!AE75</f>
        <v>26838610.73</v>
      </c>
      <c r="D154" s="14">
        <f>data!AF75</f>
        <v>0</v>
      </c>
      <c r="E154" s="14">
        <f>data!AG75</f>
        <v>261401484.57999998</v>
      </c>
      <c r="F154" s="14">
        <f>data!AH75</f>
        <v>0</v>
      </c>
      <c r="G154" s="14">
        <f>data!AI75</f>
        <v>0</v>
      </c>
      <c r="H154" s="14">
        <f>data!AJ75</f>
        <v>248490704.91000003</v>
      </c>
      <c r="I154" s="14">
        <f>data!AK75</f>
        <v>6881288.8200000003</v>
      </c>
    </row>
    <row r="155" spans="1:9" ht="20.100000000000001" customHeight="1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>
      <c r="A156" s="23">
        <v>22</v>
      </c>
      <c r="B156" s="14" t="s">
        <v>1186</v>
      </c>
      <c r="C156" s="14">
        <f>data!AE76</f>
        <v>21850</v>
      </c>
      <c r="D156" s="14">
        <f>data!AF76</f>
        <v>0</v>
      </c>
      <c r="E156" s="14">
        <f>data!AG76</f>
        <v>28510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4681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10104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6242.8295355169548</v>
      </c>
      <c r="D158" s="14">
        <f>data!AF78</f>
        <v>0</v>
      </c>
      <c r="E158" s="14">
        <f>data!AG78</f>
        <v>8145.6782635051877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1337.4226570139526</v>
      </c>
    </row>
    <row r="159" spans="1:9" ht="20.100000000000001" customHeight="1">
      <c r="A159" s="23">
        <v>25</v>
      </c>
      <c r="B159" s="14" t="s">
        <v>1189</v>
      </c>
      <c r="C159" s="14">
        <f>data!AE79</f>
        <v>40368</v>
      </c>
      <c r="D159" s="14">
        <f>data!AF79</f>
        <v>0</v>
      </c>
      <c r="E159" s="14">
        <f>data!AG79</f>
        <v>523567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>
      <c r="A160" s="23">
        <v>26</v>
      </c>
      <c r="B160" s="14" t="s">
        <v>252</v>
      </c>
      <c r="C160" s="26">
        <f>data!AE80</f>
        <v>6.4009278846153848</v>
      </c>
      <c r="D160" s="26">
        <f>data!AF80</f>
        <v>0</v>
      </c>
      <c r="E160" s="26">
        <f>data!AG80</f>
        <v>62.653269230769233</v>
      </c>
      <c r="F160" s="26">
        <f>data!AH80</f>
        <v>0</v>
      </c>
      <c r="G160" s="26">
        <f>data!AI80</f>
        <v>0</v>
      </c>
      <c r="H160" s="26">
        <f>data!AJ80</f>
        <v>29.26</v>
      </c>
      <c r="I160" s="26">
        <f>data!AK80</f>
        <v>0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Harrison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3959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473447</v>
      </c>
      <c r="H169" s="14">
        <f>data!AQ59</f>
        <v>0</v>
      </c>
      <c r="I169" s="14">
        <f>data!AR59</f>
        <v>0</v>
      </c>
    </row>
    <row r="170" spans="1:9" ht="20.100000000000001" customHeight="1">
      <c r="A170" s="23">
        <v>5</v>
      </c>
      <c r="B170" s="14" t="s">
        <v>234</v>
      </c>
      <c r="C170" s="26">
        <f>data!AL60</f>
        <v>4.6697163461538462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95.712490384615379</v>
      </c>
      <c r="H170" s="26">
        <f>data!AQ60</f>
        <v>0</v>
      </c>
      <c r="I170" s="26">
        <f>data!AR60</f>
        <v>0</v>
      </c>
    </row>
    <row r="171" spans="1:9" ht="20.100000000000001" customHeight="1">
      <c r="A171" s="23">
        <v>6</v>
      </c>
      <c r="B171" s="14" t="s">
        <v>235</v>
      </c>
      <c r="C171" s="14">
        <f>data!AL61</f>
        <v>455777.82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6834455.4799999995</v>
      </c>
      <c r="H171" s="14">
        <f>data!AQ61</f>
        <v>0</v>
      </c>
      <c r="I171" s="14">
        <f>data!AR61</f>
        <v>0</v>
      </c>
    </row>
    <row r="172" spans="1:9" ht="20.100000000000001" customHeight="1">
      <c r="A172" s="23">
        <v>7</v>
      </c>
      <c r="B172" s="14" t="s">
        <v>3</v>
      </c>
      <c r="C172" s="14">
        <f>data!AL62</f>
        <v>103039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1836105</v>
      </c>
      <c r="H172" s="14">
        <f>data!AQ62</f>
        <v>0</v>
      </c>
      <c r="I172" s="14">
        <f>data!AR62</f>
        <v>0</v>
      </c>
    </row>
    <row r="173" spans="1:9" ht="20.100000000000001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34260</v>
      </c>
      <c r="H173" s="14">
        <f>data!AQ63</f>
        <v>0</v>
      </c>
      <c r="I173" s="14">
        <f>data!AR63</f>
        <v>0</v>
      </c>
    </row>
    <row r="174" spans="1:9" ht="20.100000000000001" customHeight="1">
      <c r="A174" s="23">
        <v>9</v>
      </c>
      <c r="B174" s="14" t="s">
        <v>237</v>
      </c>
      <c r="C174" s="14">
        <f>data!AL64</f>
        <v>5028.4099999999989</v>
      </c>
      <c r="D174" s="14">
        <f>data!AM64</f>
        <v>-44.78</v>
      </c>
      <c r="E174" s="14">
        <f>data!AN64</f>
        <v>0</v>
      </c>
      <c r="F174" s="14">
        <f>data!AO64</f>
        <v>0</v>
      </c>
      <c r="G174" s="14">
        <f>data!AP64</f>
        <v>39078298.650000006</v>
      </c>
      <c r="H174" s="14">
        <f>data!AQ64</f>
        <v>0</v>
      </c>
      <c r="I174" s="14">
        <f>data!AR64</f>
        <v>0</v>
      </c>
    </row>
    <row r="175" spans="1:9" ht="20.100000000000001" customHeight="1">
      <c r="A175" s="23">
        <v>10</v>
      </c>
      <c r="B175" s="14" t="s">
        <v>444</v>
      </c>
      <c r="C175" s="14">
        <f>data!AL65</f>
        <v>188.04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124264.42</v>
      </c>
      <c r="H175" s="14">
        <f>data!AQ65</f>
        <v>0</v>
      </c>
      <c r="I175" s="14">
        <f>data!AR65</f>
        <v>0</v>
      </c>
    </row>
    <row r="176" spans="1:9" ht="20.100000000000001" customHeight="1">
      <c r="A176" s="23">
        <v>11</v>
      </c>
      <c r="B176" s="14" t="s">
        <v>445</v>
      </c>
      <c r="C176" s="14">
        <f>data!AL66</f>
        <v>23761.43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2470328.44</v>
      </c>
      <c r="H176" s="14">
        <f>data!AQ66</f>
        <v>0</v>
      </c>
      <c r="I176" s="14">
        <f>data!AR66</f>
        <v>0</v>
      </c>
    </row>
    <row r="177" spans="1:9" ht="20.100000000000001" customHeight="1">
      <c r="A177" s="23">
        <v>12</v>
      </c>
      <c r="B177" s="14" t="s">
        <v>6</v>
      </c>
      <c r="C177" s="14">
        <f>data!AL67</f>
        <v>78501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4064193</v>
      </c>
      <c r="H177" s="14">
        <f>data!AQ67</f>
        <v>0</v>
      </c>
      <c r="I177" s="14">
        <f>data!AR67</f>
        <v>0</v>
      </c>
    </row>
    <row r="178" spans="1:9" ht="20.100000000000001" customHeight="1">
      <c r="A178" s="23">
        <v>13</v>
      </c>
      <c r="B178" s="14" t="s">
        <v>474</v>
      </c>
      <c r="C178" s="14">
        <f>data!AL68</f>
        <v>58368.81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697830.32</v>
      </c>
      <c r="H178" s="14">
        <f>data!AQ68</f>
        <v>0</v>
      </c>
      <c r="I178" s="14">
        <f>data!AR68</f>
        <v>0</v>
      </c>
    </row>
    <row r="179" spans="1:9" ht="20.100000000000001" customHeight="1">
      <c r="A179" s="23">
        <v>14</v>
      </c>
      <c r="B179" s="14" t="s">
        <v>241</v>
      </c>
      <c r="C179" s="14">
        <f>data!AL69</f>
        <v>2246.86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49825.849999999991</v>
      </c>
      <c r="H179" s="14">
        <f>data!AQ69</f>
        <v>0</v>
      </c>
      <c r="I179" s="14">
        <f>data!AR69</f>
        <v>0</v>
      </c>
    </row>
    <row r="180" spans="1:9" ht="20.100000000000001" customHeight="1">
      <c r="A180" s="23">
        <v>15</v>
      </c>
      <c r="B180" s="14" t="s">
        <v>242</v>
      </c>
      <c r="C180" s="14">
        <f>-data!AL70</f>
        <v>-3695.38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-482046.26</v>
      </c>
      <c r="H180" s="14">
        <f>-data!AQ70</f>
        <v>0</v>
      </c>
      <c r="I180" s="14">
        <f>-data!AR70</f>
        <v>0</v>
      </c>
    </row>
    <row r="181" spans="1:9" ht="20.100000000000001" customHeight="1">
      <c r="A181" s="23">
        <v>16</v>
      </c>
      <c r="B181" s="48" t="s">
        <v>1180</v>
      </c>
      <c r="C181" s="14">
        <f>data!AL71</f>
        <v>723215.99000000022</v>
      </c>
      <c r="D181" s="14">
        <f>data!AM71</f>
        <v>-44.78</v>
      </c>
      <c r="E181" s="14">
        <f>data!AN71</f>
        <v>0</v>
      </c>
      <c r="F181" s="14">
        <f>data!AO71</f>
        <v>0</v>
      </c>
      <c r="G181" s="14">
        <f>data!AP71</f>
        <v>54707514.900000013</v>
      </c>
      <c r="H181" s="14">
        <f>data!AQ71</f>
        <v>0</v>
      </c>
      <c r="I181" s="14">
        <f>data!AR71</f>
        <v>0</v>
      </c>
    </row>
    <row r="182" spans="1:9" ht="20.100000000000001" customHeight="1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>
      <c r="A183" s="23">
        <v>18</v>
      </c>
      <c r="B183" s="14" t="s">
        <v>1181</v>
      </c>
      <c r="C183" s="48">
        <f>+data!M703</f>
        <v>264954</v>
      </c>
      <c r="D183" s="48">
        <f>+data!M704</f>
        <v>-7</v>
      </c>
      <c r="E183" s="48">
        <f>+data!M705</f>
        <v>0</v>
      </c>
      <c r="F183" s="48">
        <f>+data!M706</f>
        <v>0</v>
      </c>
      <c r="G183" s="48">
        <f>+data!M707</f>
        <v>19001739</v>
      </c>
      <c r="H183" s="48">
        <f>+data!M708</f>
        <v>0</v>
      </c>
      <c r="I183" s="48">
        <f>+data!M709</f>
        <v>0</v>
      </c>
    </row>
    <row r="184" spans="1:9" ht="20.100000000000001" customHeight="1">
      <c r="A184" s="23">
        <v>19</v>
      </c>
      <c r="B184" s="48" t="s">
        <v>1182</v>
      </c>
      <c r="C184" s="14">
        <f>data!AL73</f>
        <v>1333139.9100000001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3982387.54</v>
      </c>
      <c r="H184" s="14">
        <f>data!AQ73</f>
        <v>0</v>
      </c>
      <c r="I184" s="14">
        <f>data!AR73</f>
        <v>0</v>
      </c>
    </row>
    <row r="185" spans="1:9" ht="20.100000000000001" customHeight="1">
      <c r="A185" s="23">
        <v>20</v>
      </c>
      <c r="B185" s="48" t="s">
        <v>1183</v>
      </c>
      <c r="C185" s="14">
        <f>data!AL74</f>
        <v>2054124.5699999998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361904506.97000015</v>
      </c>
      <c r="H185" s="14">
        <f>data!AQ74</f>
        <v>0</v>
      </c>
      <c r="I185" s="14">
        <f>data!AR74</f>
        <v>0</v>
      </c>
    </row>
    <row r="186" spans="1:9" ht="20.100000000000001" customHeight="1">
      <c r="A186" s="23">
        <v>21</v>
      </c>
      <c r="B186" s="48" t="s">
        <v>1184</v>
      </c>
      <c r="C186" s="14">
        <f>data!AL75</f>
        <v>3387264.48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365886894.51000017</v>
      </c>
      <c r="H186" s="14">
        <f>data!AQ75</f>
        <v>0</v>
      </c>
      <c r="I186" s="14">
        <f>data!AR75</f>
        <v>0</v>
      </c>
    </row>
    <row r="187" spans="1:9" ht="20.100000000000001" customHeight="1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>
      <c r="A188" s="23">
        <v>22</v>
      </c>
      <c r="B188" s="14" t="s">
        <v>1186</v>
      </c>
      <c r="C188" s="14">
        <f>data!AL76</f>
        <v>1540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63472</v>
      </c>
      <c r="H188" s="14">
        <f>data!AQ76</f>
        <v>0</v>
      </c>
      <c r="I188" s="14">
        <f>data!AR76</f>
        <v>0</v>
      </c>
    </row>
    <row r="189" spans="1:9" ht="20.100000000000001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439.99805421950163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18134.776946376758</v>
      </c>
      <c r="H190" s="14">
        <f>data!AQ78</f>
        <v>0</v>
      </c>
      <c r="I190" s="14">
        <f>data!AR78</f>
        <v>0</v>
      </c>
    </row>
    <row r="191" spans="1:9" ht="20.100000000000001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32.223875</v>
      </c>
      <c r="H192" s="26">
        <f>data!AQ80</f>
        <v>0</v>
      </c>
      <c r="I192" s="26">
        <f>data!AR80</f>
        <v>0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Harrison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226987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1.2377163461538463</v>
      </c>
      <c r="G202" s="26">
        <f>data!AW60</f>
        <v>13.154884615384615</v>
      </c>
      <c r="H202" s="26">
        <f>data!AX60</f>
        <v>0</v>
      </c>
      <c r="I202" s="26">
        <f>data!AY60</f>
        <v>76.414067307692306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188233.72</v>
      </c>
      <c r="G203" s="14">
        <f>data!AW61</f>
        <v>906002.85</v>
      </c>
      <c r="H203" s="14">
        <f>data!AX61</f>
        <v>0</v>
      </c>
      <c r="I203" s="14">
        <f>data!AY61</f>
        <v>3301658.25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32110</v>
      </c>
      <c r="G204" s="14">
        <f>data!AW62</f>
        <v>247753</v>
      </c>
      <c r="H204" s="14">
        <f>data!AX62</f>
        <v>0</v>
      </c>
      <c r="I204" s="14">
        <f>data!AY62</f>
        <v>1228171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1449748.99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1951.96</v>
      </c>
      <c r="G206" s="14">
        <f>data!AW64</f>
        <v>9923.239999999998</v>
      </c>
      <c r="H206" s="14">
        <f>data!AX64</f>
        <v>0</v>
      </c>
      <c r="I206" s="14">
        <f>data!AY64</f>
        <v>1742441.79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165.48</v>
      </c>
      <c r="G207" s="14">
        <f>data!AW65</f>
        <v>0</v>
      </c>
      <c r="H207" s="14">
        <f>data!AX65</f>
        <v>0</v>
      </c>
      <c r="I207" s="14">
        <f>data!AY65</f>
        <v>3379.77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1554850.0349999997</v>
      </c>
      <c r="G208" s="14">
        <f>data!AW66</f>
        <v>172575</v>
      </c>
      <c r="H208" s="14">
        <f>data!AX66</f>
        <v>194884.55999999997</v>
      </c>
      <c r="I208" s="14">
        <f>data!AY66</f>
        <v>1158320.69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161538</v>
      </c>
      <c r="G209" s="14">
        <f>data!AW67</f>
        <v>0</v>
      </c>
      <c r="H209" s="14">
        <f>data!AX67</f>
        <v>0</v>
      </c>
      <c r="I209" s="14">
        <f>data!AY67</f>
        <v>1163986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21773.610000000004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300</v>
      </c>
      <c r="G211" s="14">
        <f>data!AW69</f>
        <v>1421.41</v>
      </c>
      <c r="H211" s="14">
        <f>data!AX69</f>
        <v>0</v>
      </c>
      <c r="I211" s="14">
        <f>data!AY69</f>
        <v>102924.7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-24174.77</v>
      </c>
      <c r="G212" s="14">
        <f>-data!AW70</f>
        <v>-305840.75</v>
      </c>
      <c r="H212" s="14">
        <f>-data!AX70</f>
        <v>0</v>
      </c>
      <c r="I212" s="14">
        <f>-data!AY70</f>
        <v>-1854075.33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3364723.4149999996</v>
      </c>
      <c r="G213" s="14">
        <f>data!AW71</f>
        <v>1031834.75</v>
      </c>
      <c r="H213" s="14">
        <f>data!AX71</f>
        <v>194884.55999999997</v>
      </c>
      <c r="I213" s="14">
        <f>data!AY71</f>
        <v>6868580.4799999986</v>
      </c>
    </row>
    <row r="214" spans="1:9" ht="20.100000000000001" customHeight="1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657005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-187489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3188097.4299999997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3000608.4299999997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3169</v>
      </c>
      <c r="G220" s="14">
        <f>data!AW76</f>
        <v>0</v>
      </c>
      <c r="H220" s="14">
        <f>data!AX76</f>
        <v>0</v>
      </c>
      <c r="I220" s="85">
        <f>data!AY76</f>
        <v>19152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905.42456741662374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12305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0.56800480769230766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Harrison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>
      <c r="A233" s="23">
        <v>4</v>
      </c>
      <c r="B233" s="14" t="s">
        <v>233</v>
      </c>
      <c r="C233" s="14">
        <f>data!AZ59</f>
        <v>583327</v>
      </c>
      <c r="D233" s="14">
        <f>data!BA59</f>
        <v>0</v>
      </c>
      <c r="E233" s="210"/>
      <c r="F233" s="210"/>
      <c r="G233" s="210"/>
      <c r="H233" s="14">
        <f>data!BE59</f>
        <v>577281</v>
      </c>
      <c r="I233" s="210"/>
    </row>
    <row r="234" spans="1:9" ht="20.100000000000001" customHeight="1">
      <c r="A234" s="23">
        <v>5</v>
      </c>
      <c r="B234" s="14" t="s">
        <v>234</v>
      </c>
      <c r="C234" s="26">
        <f>data!AZ60</f>
        <v>0</v>
      </c>
      <c r="D234" s="26">
        <f>data!BA60</f>
        <v>2.8953317307692306</v>
      </c>
      <c r="E234" s="26">
        <f>data!BB60</f>
        <v>0</v>
      </c>
      <c r="F234" s="26">
        <f>data!BC60</f>
        <v>15.772514423076924</v>
      </c>
      <c r="G234" s="26">
        <f>data!BD60</f>
        <v>0</v>
      </c>
      <c r="H234" s="26">
        <f>data!BE60</f>
        <v>16.916639423076923</v>
      </c>
      <c r="I234" s="26">
        <f>data!BF60</f>
        <v>74.515725961538465</v>
      </c>
    </row>
    <row r="235" spans="1:9" ht="20.100000000000001" customHeight="1">
      <c r="A235" s="23">
        <v>6</v>
      </c>
      <c r="B235" s="14" t="s">
        <v>235</v>
      </c>
      <c r="C235" s="14">
        <f>data!AZ61</f>
        <v>0</v>
      </c>
      <c r="D235" s="14">
        <f>data!BA61</f>
        <v>110174.56999999999</v>
      </c>
      <c r="E235" s="14">
        <f>data!BB61</f>
        <v>0</v>
      </c>
      <c r="F235" s="14">
        <f>data!BC61</f>
        <v>616027.76</v>
      </c>
      <c r="G235" s="14">
        <f>data!BD61</f>
        <v>0</v>
      </c>
      <c r="H235" s="14">
        <f>data!BE61</f>
        <v>1202463.32</v>
      </c>
      <c r="I235" s="14">
        <f>data!BF61</f>
        <v>3068210.2700000005</v>
      </c>
    </row>
    <row r="236" spans="1:9" ht="20.100000000000001" customHeight="1">
      <c r="A236" s="23">
        <v>7</v>
      </c>
      <c r="B236" s="14" t="s">
        <v>3</v>
      </c>
      <c r="C236" s="14">
        <f>data!AZ62</f>
        <v>0</v>
      </c>
      <c r="D236" s="14">
        <f>data!BA62</f>
        <v>45161</v>
      </c>
      <c r="E236" s="14">
        <f>data!BB62</f>
        <v>0</v>
      </c>
      <c r="F236" s="14">
        <f>data!BC62</f>
        <v>247919</v>
      </c>
      <c r="G236" s="14">
        <f>data!BD62</f>
        <v>0</v>
      </c>
      <c r="H236" s="14">
        <f>data!BE62</f>
        <v>335657</v>
      </c>
      <c r="I236" s="14">
        <f>data!BF62</f>
        <v>1181308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3108.41</v>
      </c>
      <c r="F238" s="14">
        <f>data!BC64</f>
        <v>15413.140000000003</v>
      </c>
      <c r="G238" s="14">
        <f>data!BD64</f>
        <v>0</v>
      </c>
      <c r="H238" s="14">
        <f>data!BE64</f>
        <v>28715.850000000002</v>
      </c>
      <c r="I238" s="14">
        <f>data!BF64</f>
        <v>191132.07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42.51</v>
      </c>
      <c r="F239" s="14">
        <f>data!BC65</f>
        <v>3092.12</v>
      </c>
      <c r="G239" s="14">
        <f>data!BD65</f>
        <v>0</v>
      </c>
      <c r="H239" s="14">
        <f>data!BE65</f>
        <v>3000713.44</v>
      </c>
      <c r="I239" s="14">
        <f>data!BF65</f>
        <v>5745.420000000001</v>
      </c>
    </row>
    <row r="240" spans="1:9" ht="20.100000000000001" customHeight="1">
      <c r="A240" s="23">
        <v>11</v>
      </c>
      <c r="B240" s="14" t="s">
        <v>445</v>
      </c>
      <c r="C240" s="14">
        <f>data!AZ66</f>
        <v>0</v>
      </c>
      <c r="D240" s="14">
        <f>data!BA66</f>
        <v>0.04</v>
      </c>
      <c r="E240" s="14">
        <f>data!BB66</f>
        <v>1123.08</v>
      </c>
      <c r="F240" s="14">
        <f>data!BC66</f>
        <v>321239.09999999998</v>
      </c>
      <c r="G240" s="14">
        <f>data!BD66</f>
        <v>0</v>
      </c>
      <c r="H240" s="14">
        <f>data!BE66</f>
        <v>11951045.77</v>
      </c>
      <c r="I240" s="14">
        <f>data!BF66</f>
        <v>64815.520000000004</v>
      </c>
    </row>
    <row r="241" spans="1:9" ht="20.100000000000001" customHeight="1">
      <c r="A241" s="23">
        <v>12</v>
      </c>
      <c r="B241" s="14" t="s">
        <v>6</v>
      </c>
      <c r="C241" s="14">
        <f>data!AZ67</f>
        <v>0</v>
      </c>
      <c r="D241" s="14">
        <f>data!BA67</f>
        <v>189523</v>
      </c>
      <c r="E241" s="14">
        <f>data!BB67</f>
        <v>58315</v>
      </c>
      <c r="F241" s="14">
        <f>data!BC67</f>
        <v>6603</v>
      </c>
      <c r="G241" s="14">
        <f>data!BD67</f>
        <v>2681965</v>
      </c>
      <c r="H241" s="14">
        <f>data!BE67</f>
        <v>4696561</v>
      </c>
      <c r="I241" s="14">
        <f>data!BF67</f>
        <v>555949</v>
      </c>
    </row>
    <row r="242" spans="1:9" ht="20.100000000000001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10011.42</v>
      </c>
      <c r="F242" s="14">
        <f>data!BC68</f>
        <v>1156.2799999999997</v>
      </c>
      <c r="G242" s="14">
        <f>data!BD68</f>
        <v>0</v>
      </c>
      <c r="H242" s="14">
        <f>data!BE68</f>
        <v>605288.71</v>
      </c>
      <c r="I242" s="14">
        <f>data!BF68</f>
        <v>7603.2900000000009</v>
      </c>
    </row>
    <row r="243" spans="1:9" ht="20.100000000000001" customHeight="1">
      <c r="A243" s="23">
        <v>14</v>
      </c>
      <c r="B243" s="14" t="s">
        <v>241</v>
      </c>
      <c r="C243" s="14">
        <f>data!AZ69</f>
        <v>0</v>
      </c>
      <c r="D243" s="14">
        <f>data!BA69</f>
        <v>157.32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187315.82</v>
      </c>
      <c r="I243" s="14">
        <f>data!BF69</f>
        <v>6155.869999999999</v>
      </c>
    </row>
    <row r="244" spans="1:9" ht="20.100000000000001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-900.85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0</v>
      </c>
      <c r="D245" s="14">
        <f>data!BA71</f>
        <v>345015.93</v>
      </c>
      <c r="E245" s="14">
        <f>data!BB71</f>
        <v>72600.42</v>
      </c>
      <c r="F245" s="14">
        <f>data!BC71</f>
        <v>1211450.4000000001</v>
      </c>
      <c r="G245" s="14">
        <f>data!BD71</f>
        <v>2681965</v>
      </c>
      <c r="H245" s="14">
        <f>data!BE71</f>
        <v>22006860.059999999</v>
      </c>
      <c r="I245" s="14">
        <f>data!BF71</f>
        <v>5080919.4400000004</v>
      </c>
    </row>
    <row r="246" spans="1:9" ht="20.100000000000001" customHeight="1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>
      <c r="A252" s="23">
        <v>22</v>
      </c>
      <c r="B252" s="14" t="s">
        <v>1186</v>
      </c>
      <c r="C252" s="85">
        <f>data!AZ76</f>
        <v>0</v>
      </c>
      <c r="D252" s="85">
        <f>data!BA76</f>
        <v>3718</v>
      </c>
      <c r="E252" s="85">
        <f>data!BB76</f>
        <v>1144</v>
      </c>
      <c r="F252" s="85">
        <f>data!BC76</f>
        <v>0</v>
      </c>
      <c r="G252" s="85">
        <f>data!BD76</f>
        <v>52614</v>
      </c>
      <c r="H252" s="85">
        <f>data!BE76</f>
        <v>81349</v>
      </c>
      <c r="I252" s="85">
        <f>data!BF76</f>
        <v>10852</v>
      </c>
    </row>
    <row r="253" spans="1:9" ht="20.100000000000001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1062.2810166156537</v>
      </c>
      <c r="E254" s="85">
        <f>data!BB78</f>
        <v>326.85569742020118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Harrison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0.25144230769230769</v>
      </c>
      <c r="F266" s="26">
        <f>data!BJ60</f>
        <v>0</v>
      </c>
      <c r="G266" s="26">
        <f>data!BK60</f>
        <v>1.0025048076923078</v>
      </c>
      <c r="H266" s="26">
        <f>data!BL60</f>
        <v>0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39.380000000000003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292.09000000000003</v>
      </c>
      <c r="H270" s="14">
        <f>data!BL64</f>
        <v>26337.99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289756.17000000004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26.23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838957.98250000004</v>
      </c>
      <c r="D272" s="14">
        <f>data!BH66</f>
        <v>3654921.05</v>
      </c>
      <c r="E272" s="14">
        <f>data!BI66</f>
        <v>0</v>
      </c>
      <c r="F272" s="14">
        <f>data!BJ66</f>
        <v>872642.5924999998</v>
      </c>
      <c r="G272" s="14">
        <f>data!BK66</f>
        <v>6941783.4936347501</v>
      </c>
      <c r="H272" s="14">
        <f>data!BL66</f>
        <v>2704609.5150000001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87461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4312</v>
      </c>
      <c r="H273" s="14">
        <f>data!BL67</f>
        <v>0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1722.6399999999999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25787.65</v>
      </c>
      <c r="H274" s="14">
        <f>data!BL68</f>
        <v>12358.85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209.42999999999998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1217897.7925</v>
      </c>
      <c r="D277" s="14">
        <f>data!BH71</f>
        <v>3654921.05</v>
      </c>
      <c r="E277" s="14">
        <f>data!BI71</f>
        <v>0</v>
      </c>
      <c r="F277" s="14">
        <f>data!BJ71</f>
        <v>872642.5924999998</v>
      </c>
      <c r="G277" s="14">
        <f>data!BK71</f>
        <v>6972175.2336347504</v>
      </c>
      <c r="H277" s="14">
        <f>data!BL71</f>
        <v>2743584.3950000005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0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Harrison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>
      <c r="A298" s="23">
        <v>5</v>
      </c>
      <c r="B298" s="14" t="s">
        <v>234</v>
      </c>
      <c r="C298" s="26">
        <f>data!BN60</f>
        <v>53.611427884615395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>
      <c r="A299" s="23">
        <v>6</v>
      </c>
      <c r="B299" s="14" t="s">
        <v>235</v>
      </c>
      <c r="C299" s="14">
        <f>data!BN61</f>
        <v>5901340.3299999991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-2181.13</v>
      </c>
      <c r="H299" s="14">
        <f>data!BS61</f>
        <v>0</v>
      </c>
      <c r="I299" s="14">
        <f>data!BT61</f>
        <v>0</v>
      </c>
    </row>
    <row r="300" spans="1:9" ht="20.100000000000001" customHeight="1">
      <c r="A300" s="23">
        <v>7</v>
      </c>
      <c r="B300" s="14" t="s">
        <v>3</v>
      </c>
      <c r="C300" s="14">
        <f>data!BN62</f>
        <v>1170646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51</v>
      </c>
      <c r="H300" s="14">
        <f>data!BS62</f>
        <v>0</v>
      </c>
      <c r="I300" s="14">
        <f>data!BT62</f>
        <v>0</v>
      </c>
    </row>
    <row r="301" spans="1:9" ht="20.100000000000001" customHeight="1">
      <c r="A301" s="23">
        <v>8</v>
      </c>
      <c r="B301" s="14" t="s">
        <v>236</v>
      </c>
      <c r="C301" s="14">
        <f>data!BN63</f>
        <v>2365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>
      <c r="A302" s="23">
        <v>9</v>
      </c>
      <c r="B302" s="14" t="s">
        <v>237</v>
      </c>
      <c r="C302" s="14">
        <f>data!BN64</f>
        <v>393862.95999999996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16481.95</v>
      </c>
      <c r="H302" s="14">
        <f>data!BS64</f>
        <v>0</v>
      </c>
      <c r="I302" s="14">
        <f>data!BT64</f>
        <v>18.98</v>
      </c>
    </row>
    <row r="303" spans="1:9" ht="20.100000000000001" customHeight="1">
      <c r="A303" s="23">
        <v>10</v>
      </c>
      <c r="B303" s="14" t="s">
        <v>444</v>
      </c>
      <c r="C303" s="14">
        <f>data!BN65</f>
        <v>30950.100000000002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97.38</v>
      </c>
    </row>
    <row r="304" spans="1:9" ht="20.100000000000001" customHeight="1">
      <c r="A304" s="23">
        <v>11</v>
      </c>
      <c r="B304" s="14" t="s">
        <v>445</v>
      </c>
      <c r="C304" s="14">
        <f>data!BN66</f>
        <v>4970796.9071362494</v>
      </c>
      <c r="D304" s="14">
        <f>data!BO66</f>
        <v>636076.26500000001</v>
      </c>
      <c r="E304" s="14">
        <f>data!BP66</f>
        <v>3352083.0449999999</v>
      </c>
      <c r="F304" s="14">
        <f>data!BQ66</f>
        <v>0</v>
      </c>
      <c r="G304" s="14">
        <f>data!BR66</f>
        <v>2140142.1274999999</v>
      </c>
      <c r="H304" s="14">
        <f>data!BS66</f>
        <v>175756.29749999996</v>
      </c>
      <c r="I304" s="14">
        <f>data!BT66</f>
        <v>300916.22249999997</v>
      </c>
    </row>
    <row r="305" spans="1:9" ht="20.100000000000001" customHeight="1">
      <c r="A305" s="23">
        <v>12</v>
      </c>
      <c r="B305" s="14" t="s">
        <v>6</v>
      </c>
      <c r="C305" s="14">
        <f>data!BN67</f>
        <v>665936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216692</v>
      </c>
      <c r="I305" s="14">
        <f>data!BT67</f>
        <v>0</v>
      </c>
    </row>
    <row r="306" spans="1:9" ht="20.100000000000001" customHeight="1">
      <c r="A306" s="23">
        <v>13</v>
      </c>
      <c r="B306" s="14" t="s">
        <v>474</v>
      </c>
      <c r="C306" s="14">
        <f>data!BN68</f>
        <v>531229.57000000007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1021288.1299999998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29298.28</v>
      </c>
      <c r="H307" s="14">
        <f>data!BS69</f>
        <v>0</v>
      </c>
      <c r="I307" s="14">
        <f>data!BT69</f>
        <v>0</v>
      </c>
    </row>
    <row r="308" spans="1:9" ht="20.100000000000001" customHeight="1">
      <c r="A308" s="23">
        <v>15</v>
      </c>
      <c r="B308" s="14" t="s">
        <v>242</v>
      </c>
      <c r="C308" s="14">
        <f>-data!BN70</f>
        <v>-530075.30000000005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>
      <c r="A309" s="23">
        <v>16</v>
      </c>
      <c r="B309" s="48" t="s">
        <v>1180</v>
      </c>
      <c r="C309" s="14">
        <f>data!BN71</f>
        <v>14158339.697136246</v>
      </c>
      <c r="D309" s="14">
        <f>data!BO71</f>
        <v>636076.26500000001</v>
      </c>
      <c r="E309" s="14">
        <f>data!BP71</f>
        <v>3352083.0449999999</v>
      </c>
      <c r="F309" s="14">
        <f>data!BQ71</f>
        <v>0</v>
      </c>
      <c r="G309" s="14">
        <f>data!BR71</f>
        <v>2183792.2274999996</v>
      </c>
      <c r="H309" s="14">
        <f>data!BS71</f>
        <v>392448.29749999999</v>
      </c>
      <c r="I309" s="14">
        <f>data!BT71</f>
        <v>301032.58249999996</v>
      </c>
    </row>
    <row r="310" spans="1:9" ht="20.100000000000001" customHeight="1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>
      <c r="A316" s="23">
        <v>22</v>
      </c>
      <c r="B316" s="14" t="s">
        <v>1186</v>
      </c>
      <c r="C316" s="85">
        <f>data!BN76</f>
        <v>10802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4251</v>
      </c>
      <c r="I316" s="85">
        <f>data!BT76</f>
        <v>0</v>
      </c>
    </row>
    <row r="317" spans="1:9" ht="20.100000000000001" customHeight="1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1214.5660574591566</v>
      </c>
      <c r="I318" s="85">
        <f>data!BT78</f>
        <v>0</v>
      </c>
    </row>
    <row r="319" spans="1:9" ht="20.100000000000001" customHeight="1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Harrison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30.74129807692308</v>
      </c>
      <c r="H330" s="26">
        <f>data!BZ60</f>
        <v>0</v>
      </c>
      <c r="I330" s="26">
        <f>data!CA60</f>
        <v>10.800697115384599</v>
      </c>
    </row>
    <row r="331" spans="1:9" ht="20.100000000000001" customHeight="1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3131040.78</v>
      </c>
      <c r="H331" s="86">
        <f>data!BZ61</f>
        <v>0</v>
      </c>
      <c r="I331" s="86">
        <f>data!CA61</f>
        <v>1029103.27</v>
      </c>
    </row>
    <row r="332" spans="1:9" ht="20.100000000000001" customHeight="1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693853</v>
      </c>
      <c r="H332" s="86">
        <f>data!BZ62</f>
        <v>0</v>
      </c>
      <c r="I332" s="86">
        <f>data!CA62</f>
        <v>236395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18750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0</v>
      </c>
      <c r="D334" s="86">
        <f>data!BV64</f>
        <v>5280.22</v>
      </c>
      <c r="E334" s="86">
        <f>data!BW64</f>
        <v>147</v>
      </c>
      <c r="F334" s="86">
        <f>data!BX64</f>
        <v>8</v>
      </c>
      <c r="G334" s="86">
        <f>data!BY64</f>
        <v>20581.13</v>
      </c>
      <c r="H334" s="86">
        <f>data!BZ64</f>
        <v>0</v>
      </c>
      <c r="I334" s="86">
        <f>data!CA64</f>
        <v>39334.020000000004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1340.47</v>
      </c>
      <c r="H335" s="86">
        <f>data!BZ65</f>
        <v>0</v>
      </c>
      <c r="I335" s="86">
        <f>data!CA65</f>
        <v>0</v>
      </c>
    </row>
    <row r="336" spans="1:9" ht="20.100000000000001" customHeight="1">
      <c r="A336" s="23">
        <v>11</v>
      </c>
      <c r="B336" s="14" t="s">
        <v>445</v>
      </c>
      <c r="C336" s="86">
        <f>data!BU66</f>
        <v>104827.52750000003</v>
      </c>
      <c r="D336" s="86">
        <f>data!BV66</f>
        <v>3919540.9096307494</v>
      </c>
      <c r="E336" s="86">
        <f>data!BW66</f>
        <v>1544526.70456375</v>
      </c>
      <c r="F336" s="86">
        <f>data!BX66</f>
        <v>7580781.2291360004</v>
      </c>
      <c r="G336" s="86">
        <f>data!BY66</f>
        <v>958129.19750000001</v>
      </c>
      <c r="H336" s="86">
        <f>data!BZ66</f>
        <v>0</v>
      </c>
      <c r="I336" s="86">
        <f>data!CA66</f>
        <v>1084840.04</v>
      </c>
    </row>
    <row r="337" spans="1:9" ht="20.100000000000001" customHeight="1">
      <c r="A337" s="23">
        <v>12</v>
      </c>
      <c r="B337" s="14" t="s">
        <v>6</v>
      </c>
      <c r="C337" s="86">
        <f>data!BU67</f>
        <v>137019</v>
      </c>
      <c r="D337" s="86">
        <f>data!BV67</f>
        <v>388097</v>
      </c>
      <c r="E337" s="86">
        <f>data!BW67</f>
        <v>0</v>
      </c>
      <c r="F337" s="86">
        <f>data!BX67</f>
        <v>0</v>
      </c>
      <c r="G337" s="86">
        <f>data!BY67</f>
        <v>411982</v>
      </c>
      <c r="H337" s="86">
        <f>data!BZ67</f>
        <v>0</v>
      </c>
      <c r="I337" s="86">
        <f>data!CA67</f>
        <v>98410</v>
      </c>
    </row>
    <row r="338" spans="1:9" ht="20.100000000000001" customHeight="1">
      <c r="A338" s="23">
        <v>13</v>
      </c>
      <c r="B338" s="14" t="s">
        <v>474</v>
      </c>
      <c r="C338" s="86">
        <f>data!BU68</f>
        <v>0</v>
      </c>
      <c r="D338" s="86">
        <f>data!BV68</f>
        <v>19085.789999999997</v>
      </c>
      <c r="E338" s="86">
        <f>data!BW68</f>
        <v>0</v>
      </c>
      <c r="F338" s="86">
        <f>data!BX68</f>
        <v>467.41</v>
      </c>
      <c r="G338" s="86">
        <f>data!BY68</f>
        <v>28605.690000000002</v>
      </c>
      <c r="H338" s="86">
        <f>data!BZ68</f>
        <v>0</v>
      </c>
      <c r="I338" s="86">
        <f>data!CA68</f>
        <v>46057.770000000004</v>
      </c>
    </row>
    <row r="339" spans="1:9" ht="20.100000000000001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120853.59999999999</v>
      </c>
      <c r="H339" s="86">
        <f>data!BZ69</f>
        <v>0</v>
      </c>
      <c r="I339" s="86">
        <f>data!CA69</f>
        <v>6317.39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-2425.81</v>
      </c>
      <c r="E340" s="14">
        <f>-data!BW70</f>
        <v>0</v>
      </c>
      <c r="F340" s="14">
        <f>-data!BX70</f>
        <v>0</v>
      </c>
      <c r="G340" s="14">
        <f>-data!BY70</f>
        <v>-4876.1400000000003</v>
      </c>
      <c r="H340" s="14">
        <f>-data!BZ70</f>
        <v>0</v>
      </c>
      <c r="I340" s="14">
        <f>-data!CA70</f>
        <v>-3703.79</v>
      </c>
    </row>
    <row r="341" spans="1:9" ht="20.100000000000001" customHeight="1">
      <c r="A341" s="23">
        <v>16</v>
      </c>
      <c r="B341" s="48" t="s">
        <v>1180</v>
      </c>
      <c r="C341" s="14">
        <f>data!BU71</f>
        <v>241846.52750000003</v>
      </c>
      <c r="D341" s="14">
        <f>data!BV71</f>
        <v>4329578.1096307505</v>
      </c>
      <c r="E341" s="14">
        <f>data!BW71</f>
        <v>1544673.70456375</v>
      </c>
      <c r="F341" s="14">
        <f>data!BX71</f>
        <v>7600006.6391360005</v>
      </c>
      <c r="G341" s="14">
        <f>data!BY71</f>
        <v>5361509.7275</v>
      </c>
      <c r="H341" s="14">
        <f>data!BZ71</f>
        <v>0</v>
      </c>
      <c r="I341" s="14">
        <f>data!CA71</f>
        <v>2536753.7000000002</v>
      </c>
    </row>
    <row r="342" spans="1:9" ht="20.100000000000001" customHeight="1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>
      <c r="A348" s="23">
        <v>22</v>
      </c>
      <c r="B348" s="14" t="s">
        <v>1186</v>
      </c>
      <c r="C348" s="85">
        <f>data!BU76</f>
        <v>2688</v>
      </c>
      <c r="D348" s="85">
        <f>data!BV76</f>
        <v>7535</v>
      </c>
      <c r="E348" s="85">
        <f>data!BW76</f>
        <v>0</v>
      </c>
      <c r="F348" s="85">
        <f>data!BX76</f>
        <v>0</v>
      </c>
      <c r="G348" s="85">
        <f>data!BY76</f>
        <v>2637</v>
      </c>
      <c r="H348" s="85">
        <f>data!BZ76</f>
        <v>0</v>
      </c>
      <c r="I348" s="85">
        <f>data!CA76</f>
        <v>1853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767.99660372858466</v>
      </c>
      <c r="D350" s="85">
        <f>data!BV78</f>
        <v>2152.8476224311325</v>
      </c>
      <c r="E350" s="85">
        <f>data!BW78</f>
        <v>0</v>
      </c>
      <c r="F350" s="85">
        <f>data!BX78</f>
        <v>0</v>
      </c>
      <c r="G350" s="85">
        <f>data!BY78</f>
        <v>753.42523959534128</v>
      </c>
      <c r="H350" s="85">
        <f>data!BZ78</f>
        <v>0</v>
      </c>
      <c r="I350" s="85">
        <f>data!CA78</f>
        <v>529.4262301745041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Harrison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5"/>
      <c r="F362" s="209"/>
      <c r="G362" s="209"/>
      <c r="H362" s="209"/>
      <c r="I362" s="87">
        <f>data!CE60</f>
        <v>2050.1679230769228</v>
      </c>
    </row>
    <row r="363" spans="1:9" ht="20.100000000000001" customHeight="1">
      <c r="A363" s="23">
        <v>6</v>
      </c>
      <c r="B363" s="14" t="s">
        <v>235</v>
      </c>
      <c r="C363" s="86">
        <f>data!CB61</f>
        <v>0</v>
      </c>
      <c r="D363" s="86">
        <f>data!CC61</f>
        <v>294566</v>
      </c>
      <c r="E363" s="216"/>
      <c r="F363" s="217"/>
      <c r="G363" s="217"/>
      <c r="H363" s="217"/>
      <c r="I363" s="86">
        <f>data!CE61</f>
        <v>193640400.35999998</v>
      </c>
    </row>
    <row r="364" spans="1:9" ht="20.100000000000001" customHeight="1">
      <c r="A364" s="23">
        <v>7</v>
      </c>
      <c r="B364" s="14" t="s">
        <v>3</v>
      </c>
      <c r="C364" s="86">
        <f>data!CB62</f>
        <v>0</v>
      </c>
      <c r="D364" s="86">
        <f>data!CC62</f>
        <v>3</v>
      </c>
      <c r="E364" s="216"/>
      <c r="F364" s="217"/>
      <c r="G364" s="217"/>
      <c r="H364" s="217"/>
      <c r="I364" s="86">
        <f>data!CE62</f>
        <v>41619656</v>
      </c>
    </row>
    <row r="365" spans="1:9" ht="20.100000000000001" customHeight="1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42048899.690000005</v>
      </c>
    </row>
    <row r="366" spans="1:9" ht="20.100000000000001" customHeight="1">
      <c r="A366" s="23">
        <v>9</v>
      </c>
      <c r="B366" s="14" t="s">
        <v>237</v>
      </c>
      <c r="C366" s="86">
        <f>data!CB64</f>
        <v>0</v>
      </c>
      <c r="D366" s="86">
        <f>data!CC64</f>
        <v>370461.63</v>
      </c>
      <c r="E366" s="216"/>
      <c r="F366" s="217"/>
      <c r="G366" s="217"/>
      <c r="H366" s="217"/>
      <c r="I366" s="86">
        <f>data!CE64</f>
        <v>107520410.71999995</v>
      </c>
    </row>
    <row r="367" spans="1:9" ht="20.100000000000001" customHeight="1">
      <c r="A367" s="23">
        <v>10</v>
      </c>
      <c r="B367" s="14" t="s">
        <v>444</v>
      </c>
      <c r="C367" s="86">
        <f>data!CB65</f>
        <v>0</v>
      </c>
      <c r="D367" s="86">
        <f>data!CC65</f>
        <v>12011</v>
      </c>
      <c r="E367" s="216"/>
      <c r="F367" s="217"/>
      <c r="G367" s="217"/>
      <c r="H367" s="217"/>
      <c r="I367" s="86">
        <f>data!CE65</f>
        <v>4642352.74</v>
      </c>
    </row>
    <row r="368" spans="1:9" ht="20.100000000000001" customHeight="1">
      <c r="A368" s="23">
        <v>11</v>
      </c>
      <c r="B368" s="14" t="s">
        <v>445</v>
      </c>
      <c r="C368" s="86">
        <f>data!CB66</f>
        <v>112544.0675</v>
      </c>
      <c r="D368" s="86">
        <f>data!CC66</f>
        <v>26059135.102049001</v>
      </c>
      <c r="E368" s="216"/>
      <c r="F368" s="217"/>
      <c r="G368" s="217"/>
      <c r="H368" s="217"/>
      <c r="I368" s="86">
        <f>data!CE66</f>
        <v>146338607.73560297</v>
      </c>
    </row>
    <row r="369" spans="1:9" ht="20.100000000000001" customHeight="1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6"/>
      <c r="F369" s="217"/>
      <c r="G369" s="217"/>
      <c r="H369" s="217"/>
      <c r="I369" s="86">
        <f>data!CE67</f>
        <v>46236470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166796.74</v>
      </c>
      <c r="E370" s="216"/>
      <c r="F370" s="217"/>
      <c r="G370" s="217"/>
      <c r="H370" s="217"/>
      <c r="I370" s="86">
        <f>data!CE68</f>
        <v>13217957.749999996</v>
      </c>
    </row>
    <row r="371" spans="1:9" ht="20.100000000000001" customHeight="1">
      <c r="A371" s="23">
        <v>14</v>
      </c>
      <c r="B371" s="14" t="s">
        <v>241</v>
      </c>
      <c r="C371" s="86">
        <f>data!CB69</f>
        <v>0</v>
      </c>
      <c r="D371" s="86">
        <f>data!CC69</f>
        <v>1080114</v>
      </c>
      <c r="E371" s="86">
        <f>data!CD69</f>
        <v>15452184</v>
      </c>
      <c r="F371" s="217"/>
      <c r="G371" s="217"/>
      <c r="H371" s="217"/>
      <c r="I371" s="86">
        <f>data!CE69</f>
        <v>23714222.369999997</v>
      </c>
    </row>
    <row r="372" spans="1:9" ht="20.100000000000001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4">
        <f>data!CD70</f>
        <v>12302</v>
      </c>
      <c r="F372" s="218"/>
      <c r="G372" s="218"/>
      <c r="H372" s="218"/>
      <c r="I372" s="14">
        <f>-data!CE70</f>
        <v>-5746464.2699999977</v>
      </c>
    </row>
    <row r="373" spans="1:9" ht="20.100000000000001" customHeight="1">
      <c r="A373" s="23">
        <v>16</v>
      </c>
      <c r="B373" s="48" t="s">
        <v>1180</v>
      </c>
      <c r="C373" s="86">
        <f>data!CB71</f>
        <v>112544.0675</v>
      </c>
      <c r="D373" s="86">
        <f>data!CC71</f>
        <v>27983087.472048998</v>
      </c>
      <c r="E373" s="86">
        <f>data!CD71</f>
        <v>15439882</v>
      </c>
      <c r="F373" s="217"/>
      <c r="G373" s="217"/>
      <c r="H373" s="217"/>
      <c r="I373" s="14">
        <f>data!CE71</f>
        <v>613232513.09560299</v>
      </c>
    </row>
    <row r="374" spans="1:9" ht="20.100000000000001" customHeight="1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1052674086.1299999</v>
      </c>
    </row>
    <row r="377" spans="1:9" ht="20.100000000000001" customHeight="1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1625901245.6000001</v>
      </c>
    </row>
    <row r="378" spans="1:9" ht="20.100000000000001" customHeight="1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2678575331.7300005</v>
      </c>
    </row>
    <row r="379" spans="1:9" ht="20.100000000000001" customHeight="1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577281</v>
      </c>
    </row>
    <row r="381" spans="1:9" ht="20.100000000000001" customHeight="1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226987</v>
      </c>
    </row>
    <row r="382" spans="1:9" ht="20.100000000000001" customHeight="1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115002.92000000003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1886548</v>
      </c>
    </row>
    <row r="384" spans="1:9" ht="20.100000000000001" customHeight="1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522.98605288461533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0" transitionEvaluation="1" transitionEntry="1" codeName="Sheet10">
    <pageSetUpPr autoPageBreaks="0" fitToPage="1"/>
  </sheetPr>
  <dimension ref="A1:CF817"/>
  <sheetViews>
    <sheetView showGridLines="0" topLeftCell="A80" zoomScale="75" workbookViewId="0">
      <selection activeCell="H202" sqref="H202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8" t="s">
        <v>1232</v>
      </c>
      <c r="B1" s="229"/>
      <c r="C1" s="229"/>
      <c r="D1" s="229"/>
      <c r="E1" s="229"/>
      <c r="F1" s="229"/>
    </row>
    <row r="2" spans="1:6" ht="12.75" customHeight="1">
      <c r="A2" s="229" t="s">
        <v>1233</v>
      </c>
      <c r="B2" s="229"/>
      <c r="C2" s="230"/>
      <c r="D2" s="229"/>
      <c r="E2" s="229"/>
      <c r="F2" s="229"/>
    </row>
    <row r="3" spans="1:6" ht="12.75" customHeight="1">
      <c r="A3" s="197"/>
      <c r="C3" s="231"/>
    </row>
    <row r="4" spans="1:6" ht="12.75" customHeight="1">
      <c r="C4" s="231"/>
    </row>
    <row r="5" spans="1:6" ht="12.75" customHeight="1">
      <c r="A5" s="197" t="s">
        <v>1258</v>
      </c>
      <c r="C5" s="231"/>
    </row>
    <row r="6" spans="1:6" ht="12.75" customHeight="1">
      <c r="A6" s="197" t="s">
        <v>0</v>
      </c>
      <c r="C6" s="231"/>
    </row>
    <row r="7" spans="1:6" ht="12.75" customHeight="1">
      <c r="A7" s="197" t="s">
        <v>1</v>
      </c>
      <c r="C7" s="231"/>
    </row>
    <row r="8" spans="1:6" ht="12.75" customHeight="1">
      <c r="C8" s="231"/>
    </row>
    <row r="9" spans="1:6" ht="12.75" customHeight="1">
      <c r="C9" s="231"/>
    </row>
    <row r="10" spans="1:6" ht="12.75" customHeight="1">
      <c r="A10" s="196" t="s">
        <v>1228</v>
      </c>
      <c r="C10" s="231"/>
    </row>
    <row r="11" spans="1:6" ht="12.75" customHeight="1">
      <c r="A11" s="196" t="s">
        <v>1231</v>
      </c>
      <c r="C11" s="231"/>
    </row>
    <row r="12" spans="1:6" ht="12.75" customHeight="1">
      <c r="C12" s="231"/>
    </row>
    <row r="13" spans="1:6" ht="12.75" customHeight="1">
      <c r="C13" s="231"/>
    </row>
    <row r="14" spans="1:6" ht="12.75" customHeight="1">
      <c r="A14" s="197" t="s">
        <v>2</v>
      </c>
      <c r="C14" s="231"/>
    </row>
    <row r="15" spans="1:6" ht="12.75" customHeight="1">
      <c r="A15" s="197"/>
      <c r="C15" s="231"/>
    </row>
    <row r="16" spans="1:6" ht="12.75" customHeight="1">
      <c r="A16" s="180" t="s">
        <v>1260</v>
      </c>
      <c r="C16" s="231"/>
      <c r="F16" s="277" t="s">
        <v>1259</v>
      </c>
    </row>
    <row r="17" spans="1:6" ht="12.75" customHeight="1">
      <c r="A17" s="180" t="s">
        <v>1230</v>
      </c>
      <c r="C17" s="277" t="s">
        <v>1259</v>
      </c>
    </row>
    <row r="18" spans="1:6" ht="12.75" customHeight="1">
      <c r="A18" s="223"/>
      <c r="C18" s="231"/>
    </row>
    <row r="19" spans="1:6" ht="12.75" customHeight="1">
      <c r="C19" s="231"/>
    </row>
    <row r="20" spans="1:6" ht="12.75" customHeight="1">
      <c r="A20" s="267" t="s">
        <v>1234</v>
      </c>
      <c r="B20" s="267"/>
      <c r="C20" s="278"/>
      <c r="D20" s="267"/>
      <c r="E20" s="267"/>
      <c r="F20" s="267"/>
    </row>
    <row r="21" spans="1:6" ht="22.5" customHeight="1">
      <c r="A21" s="197"/>
      <c r="C21" s="231"/>
    </row>
    <row r="22" spans="1:6" ht="12.6" customHeight="1">
      <c r="A22" s="232" t="s">
        <v>1254</v>
      </c>
      <c r="B22" s="233"/>
      <c r="C22" s="234"/>
      <c r="D22" s="232"/>
      <c r="E22" s="232"/>
    </row>
    <row r="23" spans="1:6" ht="12.6" customHeight="1">
      <c r="B23" s="197"/>
      <c r="C23" s="231"/>
    </row>
    <row r="24" spans="1:6" ht="12.6" customHeight="1">
      <c r="A24" s="235" t="s">
        <v>3</v>
      </c>
      <c r="C24" s="231"/>
    </row>
    <row r="25" spans="1:6" ht="12.6" customHeight="1">
      <c r="A25" s="196" t="s">
        <v>1235</v>
      </c>
      <c r="C25" s="231"/>
    </row>
    <row r="26" spans="1:6" ht="12.6" customHeight="1">
      <c r="A26" s="197" t="s">
        <v>4</v>
      </c>
      <c r="C26" s="231"/>
    </row>
    <row r="27" spans="1:6" ht="12.6" customHeight="1">
      <c r="A27" s="196" t="s">
        <v>1236</v>
      </c>
      <c r="C27" s="231"/>
    </row>
    <row r="28" spans="1:6" ht="12.6" customHeight="1">
      <c r="A28" s="197" t="s">
        <v>5</v>
      </c>
      <c r="C28" s="231"/>
    </row>
    <row r="29" spans="1:6" ht="12.6" customHeight="1">
      <c r="A29" s="196"/>
      <c r="C29" s="231"/>
    </row>
    <row r="30" spans="1:6" ht="12.6" customHeight="1">
      <c r="A30" s="180" t="s">
        <v>6</v>
      </c>
      <c r="C30" s="231"/>
    </row>
    <row r="31" spans="1:6" ht="12.6" customHeight="1">
      <c r="A31" s="197" t="s">
        <v>7</v>
      </c>
      <c r="C31" s="231"/>
    </row>
    <row r="32" spans="1:6" ht="12.6" customHeight="1">
      <c r="A32" s="197" t="s">
        <v>8</v>
      </c>
      <c r="C32" s="231"/>
    </row>
    <row r="33" spans="1:83" ht="12.6" customHeight="1">
      <c r="A33" s="196" t="s">
        <v>1237</v>
      </c>
      <c r="C33" s="231"/>
    </row>
    <row r="34" spans="1:83" ht="12.6" customHeight="1">
      <c r="A34" s="197" t="s">
        <v>9</v>
      </c>
      <c r="C34" s="231"/>
    </row>
    <row r="35" spans="1:83" ht="12.6" customHeight="1">
      <c r="A35" s="197"/>
      <c r="C35" s="231"/>
    </row>
    <row r="36" spans="1:83" ht="12.6" customHeight="1">
      <c r="A36" s="196" t="s">
        <v>1238</v>
      </c>
      <c r="C36" s="231"/>
    </row>
    <row r="37" spans="1:83" ht="12.6" customHeight="1">
      <c r="A37" s="197" t="s">
        <v>1229</v>
      </c>
      <c r="C37" s="231"/>
    </row>
    <row r="38" spans="1:83" ht="12" customHeight="1">
      <c r="A38" s="196"/>
      <c r="C38" s="231"/>
    </row>
    <row r="39" spans="1:83" ht="12.6" customHeight="1">
      <c r="A39" s="197"/>
      <c r="C39" s="231"/>
    </row>
    <row r="40" spans="1:83" ht="12" customHeight="1">
      <c r="A40" s="197"/>
      <c r="C40" s="231"/>
    </row>
    <row r="41" spans="1:83" ht="12" customHeight="1">
      <c r="A41" s="197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>
      <c r="A42" s="197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>
      <c r="A43" s="197"/>
      <c r="C43" s="231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>
        <v>31511248.800000001</v>
      </c>
      <c r="C47" s="184">
        <v>1231492.6900000002</v>
      </c>
      <c r="D47" s="184">
        <v>0</v>
      </c>
      <c r="E47" s="184">
        <v>7214688.0499999998</v>
      </c>
      <c r="F47" s="184">
        <v>0</v>
      </c>
      <c r="G47" s="184">
        <v>0</v>
      </c>
      <c r="H47" s="184">
        <v>0</v>
      </c>
      <c r="I47" s="184">
        <v>0</v>
      </c>
      <c r="J47" s="184">
        <v>1553290.7799999998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2133342.37</v>
      </c>
      <c r="Q47" s="184">
        <v>1017087.75</v>
      </c>
      <c r="R47" s="184">
        <v>44907.82</v>
      </c>
      <c r="S47" s="184">
        <v>662712.52</v>
      </c>
      <c r="T47" s="184">
        <v>0</v>
      </c>
      <c r="U47" s="184">
        <v>1050009.3999999999</v>
      </c>
      <c r="V47" s="184">
        <v>111344.75</v>
      </c>
      <c r="W47" s="184">
        <v>96149.33</v>
      </c>
      <c r="X47" s="184">
        <v>0</v>
      </c>
      <c r="Y47" s="184">
        <v>3008373.9</v>
      </c>
      <c r="Z47" s="184">
        <v>392150.41000000003</v>
      </c>
      <c r="AA47" s="184">
        <v>67640.679999999993</v>
      </c>
      <c r="AB47" s="184">
        <v>1034290.1799999999</v>
      </c>
      <c r="AC47" s="184">
        <v>1169400.8700000001</v>
      </c>
      <c r="AD47" s="184">
        <v>0</v>
      </c>
      <c r="AE47" s="184">
        <v>701757.07</v>
      </c>
      <c r="AF47" s="184">
        <v>0</v>
      </c>
      <c r="AG47" s="184">
        <v>2343322.62</v>
      </c>
      <c r="AH47" s="184">
        <v>0</v>
      </c>
      <c r="AI47" s="184">
        <v>0</v>
      </c>
      <c r="AJ47" s="184">
        <v>0</v>
      </c>
      <c r="AK47" s="184">
        <v>211926.51</v>
      </c>
      <c r="AL47" s="184">
        <v>104252.64</v>
      </c>
      <c r="AM47" s="184">
        <v>326.06</v>
      </c>
      <c r="AN47" s="184">
        <v>0</v>
      </c>
      <c r="AO47" s="184">
        <v>0</v>
      </c>
      <c r="AP47" s="184">
        <v>2094050.28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123905.72</v>
      </c>
      <c r="AW47" s="184">
        <v>229442.75999999998</v>
      </c>
      <c r="AX47" s="184">
        <v>0</v>
      </c>
      <c r="AY47" s="184">
        <v>1232023.3700000001</v>
      </c>
      <c r="AZ47" s="184">
        <v>0</v>
      </c>
      <c r="BA47" s="184">
        <v>45250.509999999995</v>
      </c>
      <c r="BB47" s="184">
        <v>13.13</v>
      </c>
      <c r="BC47" s="184">
        <v>301644.48</v>
      </c>
      <c r="BD47" s="184">
        <v>0</v>
      </c>
      <c r="BE47" s="184">
        <v>434230.46999999991</v>
      </c>
      <c r="BF47" s="184">
        <v>1152553.8899999999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823534.82</v>
      </c>
      <c r="BO47" s="184">
        <v>0</v>
      </c>
      <c r="BP47" s="184">
        <v>0</v>
      </c>
      <c r="BQ47" s="184">
        <v>0</v>
      </c>
      <c r="BR47" s="184">
        <v>856.6599999975806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32.68</v>
      </c>
      <c r="BY47" s="184">
        <v>686717.02</v>
      </c>
      <c r="BZ47" s="184">
        <v>0</v>
      </c>
      <c r="CA47" s="184">
        <v>226623.47999999998</v>
      </c>
      <c r="CB47" s="184">
        <v>0</v>
      </c>
      <c r="CC47" s="184">
        <v>11903.130000000001</v>
      </c>
      <c r="CD47" s="193"/>
      <c r="CE47" s="193">
        <f>SUM(C47:CC47)</f>
        <v>31511248.800000001</v>
      </c>
    </row>
    <row r="48" spans="1:83" ht="12.6" customHeight="1">
      <c r="A48" s="175" t="s">
        <v>205</v>
      </c>
      <c r="B48" s="183">
        <v>0</v>
      </c>
      <c r="C48" s="240">
        <f>ROUND(((B48/CE61)*C61),0)</f>
        <v>0</v>
      </c>
      <c r="D48" s="240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>
      <c r="A49" s="175" t="s">
        <v>206</v>
      </c>
      <c r="B49" s="193">
        <f>B47+B48</f>
        <v>31511248.800000001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>
      <c r="A51" s="171" t="s">
        <v>207</v>
      </c>
      <c r="B51" s="184">
        <v>10030688</v>
      </c>
      <c r="C51" s="184">
        <v>132329.79999999999</v>
      </c>
      <c r="D51" s="184">
        <v>0</v>
      </c>
      <c r="E51" s="184">
        <v>234843.62</v>
      </c>
      <c r="F51" s="184">
        <v>0</v>
      </c>
      <c r="G51" s="184">
        <v>0</v>
      </c>
      <c r="H51" s="184">
        <v>0</v>
      </c>
      <c r="I51" s="184">
        <v>0</v>
      </c>
      <c r="J51" s="184">
        <v>207492.88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3424732.12</v>
      </c>
      <c r="Q51" s="184">
        <v>8494.23</v>
      </c>
      <c r="R51" s="184">
        <v>0</v>
      </c>
      <c r="S51" s="184">
        <v>170689.06</v>
      </c>
      <c r="T51" s="184">
        <v>0</v>
      </c>
      <c r="U51" s="184">
        <v>120460.1</v>
      </c>
      <c r="V51" s="184">
        <v>161199.62</v>
      </c>
      <c r="W51" s="184">
        <v>7428.57</v>
      </c>
      <c r="X51" s="184">
        <v>0</v>
      </c>
      <c r="Y51" s="184">
        <v>1950189.7</v>
      </c>
      <c r="Z51" s="184">
        <v>71329.3</v>
      </c>
      <c r="AA51" s="184">
        <v>66501.95</v>
      </c>
      <c r="AB51" s="184">
        <v>338696.44</v>
      </c>
      <c r="AC51" s="184">
        <v>140592.54</v>
      </c>
      <c r="AD51" s="184">
        <v>0</v>
      </c>
      <c r="AE51" s="184">
        <v>178622.4</v>
      </c>
      <c r="AF51" s="184">
        <v>0</v>
      </c>
      <c r="AG51" s="184">
        <v>604492.19000000006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853878.88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192293.04</v>
      </c>
      <c r="AZ51" s="184">
        <v>0</v>
      </c>
      <c r="BA51" s="184">
        <v>0</v>
      </c>
      <c r="BB51" s="184">
        <v>0</v>
      </c>
      <c r="BC51" s="184">
        <v>2348.58</v>
      </c>
      <c r="BD51" s="184">
        <v>0</v>
      </c>
      <c r="BE51" s="184">
        <v>606714.84999999986</v>
      </c>
      <c r="BF51" s="184">
        <v>3490.13</v>
      </c>
      <c r="BG51" s="184">
        <v>146088.29</v>
      </c>
      <c r="BH51" s="184">
        <v>0</v>
      </c>
      <c r="BI51" s="184">
        <v>0</v>
      </c>
      <c r="BJ51" s="184">
        <v>0</v>
      </c>
      <c r="BK51" s="184">
        <v>8345.1200000000008</v>
      </c>
      <c r="BL51" s="184">
        <v>0</v>
      </c>
      <c r="BM51" s="184">
        <v>0</v>
      </c>
      <c r="BN51" s="184">
        <v>97867.82</v>
      </c>
      <c r="BO51" s="184">
        <v>0</v>
      </c>
      <c r="BP51" s="184">
        <v>0</v>
      </c>
      <c r="BQ51" s="184">
        <v>0</v>
      </c>
      <c r="BR51" s="184">
        <v>9538.69</v>
      </c>
      <c r="BS51" s="184">
        <v>0</v>
      </c>
      <c r="BT51" s="184">
        <v>0</v>
      </c>
      <c r="BU51" s="184">
        <v>0</v>
      </c>
      <c r="BV51" s="184">
        <v>12330.61</v>
      </c>
      <c r="BW51" s="184">
        <v>78.56</v>
      </c>
      <c r="BX51" s="184">
        <v>0</v>
      </c>
      <c r="BY51" s="184">
        <v>276159.57</v>
      </c>
      <c r="BZ51" s="184">
        <v>0</v>
      </c>
      <c r="CA51" s="184">
        <v>3455.1</v>
      </c>
      <c r="CB51" s="184">
        <v>0</v>
      </c>
      <c r="CC51" s="184">
        <v>0</v>
      </c>
      <c r="CD51" s="193"/>
      <c r="CE51" s="193">
        <f>SUM(C51:CD51)</f>
        <v>10030683.76</v>
      </c>
    </row>
    <row r="52" spans="1:84" ht="12.6" customHeight="1">
      <c r="A52" s="171" t="s">
        <v>208</v>
      </c>
      <c r="B52" s="184">
        <v>16832154.379999999</v>
      </c>
      <c r="C52" s="193">
        <f>ROUND((B52/(CE76+CF76)*C76),0)</f>
        <v>224384</v>
      </c>
      <c r="D52" s="193">
        <f>ROUND((B52/(CE76+CF76)*D76),0)</f>
        <v>0</v>
      </c>
      <c r="E52" s="193">
        <f>ROUND((B52/(CE76+CF76)*E76),0)</f>
        <v>2302226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409015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1498984</v>
      </c>
      <c r="Q52" s="193">
        <f>ROUND((B52/(CE76+CF76)*Q76),0)</f>
        <v>219972</v>
      </c>
      <c r="R52" s="193">
        <f>ROUND((B52/(CE76+CF76)*R76),0)</f>
        <v>2958</v>
      </c>
      <c r="S52" s="193">
        <f>ROUND((B52/(CE76+CF76)*S76),0)</f>
        <v>214669</v>
      </c>
      <c r="T52" s="193">
        <f>ROUND((B52/(CE76+CF76)*T76),0)</f>
        <v>0</v>
      </c>
      <c r="U52" s="193">
        <f>ROUND((B52/(CE76+CF76)*U76),0)</f>
        <v>341012</v>
      </c>
      <c r="V52" s="193">
        <f>ROUND((B52/(CE76+CF76)*V76),0)</f>
        <v>0</v>
      </c>
      <c r="W52" s="193">
        <f>ROUND((B52/(CE76+CF76)*W76),0)</f>
        <v>55892</v>
      </c>
      <c r="X52" s="193">
        <f>ROUND((B52/(CE76+CF76)*X76),0)</f>
        <v>0</v>
      </c>
      <c r="Y52" s="193">
        <f>ROUND((B52/(CE76+CF76)*Y76),0)</f>
        <v>588318</v>
      </c>
      <c r="Z52" s="193">
        <f>ROUND((B52/(CE76+CF76)*Z76),0)</f>
        <v>300189</v>
      </c>
      <c r="AA52" s="193">
        <f>ROUND((B52/(CE76+CF76)*AA76),0)</f>
        <v>0</v>
      </c>
      <c r="AB52" s="193">
        <f>ROUND((B52/(CE76+CF76)*AB76),0)</f>
        <v>141566</v>
      </c>
      <c r="AC52" s="193">
        <f>ROUND((B52/(CE76+CF76)*AC76),0)</f>
        <v>194015</v>
      </c>
      <c r="AD52" s="193">
        <f>ROUND((B52/(CE76+CF76)*AD76),0)</f>
        <v>20653</v>
      </c>
      <c r="AE52" s="193">
        <f>ROUND((B52/(CE76+CF76)*AE76),0)</f>
        <v>557134</v>
      </c>
      <c r="AF52" s="193">
        <f>ROUND((B52/(CE76+CF76)*AF76),0)</f>
        <v>0</v>
      </c>
      <c r="AG52" s="193">
        <f>ROUND((B52/(CE76+CF76)*AG76),0)</f>
        <v>726952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119357</v>
      </c>
      <c r="AL52" s="193">
        <f>ROUND((B52/(CE76+CF76)*AL76),0)</f>
        <v>39267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3629454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80804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105027</v>
      </c>
      <c r="AZ52" s="193">
        <f>ROUND((B52/(CE76+CF76)*AZ76),0)</f>
        <v>383313</v>
      </c>
      <c r="BA52" s="193">
        <f>ROUND((B52/(CE76+CF76)*BA76),0)</f>
        <v>94802</v>
      </c>
      <c r="BB52" s="193">
        <f>ROUND((B52/(CE76+CF76)*BB76),0)</f>
        <v>29170</v>
      </c>
      <c r="BC52" s="193">
        <f>ROUND((B52/(CE76+CF76)*BC76),0)</f>
        <v>0</v>
      </c>
      <c r="BD52" s="193">
        <f>ROUND((B52/(CE76+CF76)*BD76),0)</f>
        <v>1341558</v>
      </c>
      <c r="BE52" s="193">
        <f>ROUND((B52/(CE76+CF76)*BE76),0)</f>
        <v>2349678</v>
      </c>
      <c r="BF52" s="193">
        <f>ROUND((B52/(CE76+CF76)*BF76),0)</f>
        <v>276706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0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101534</v>
      </c>
      <c r="BS52" s="193">
        <f>ROUND((B52/(CE76+CF76)*BS76),0)</f>
        <v>108393</v>
      </c>
      <c r="BT52" s="193">
        <f>ROUND((B52/(CE76+CF76)*BT76),0)</f>
        <v>0</v>
      </c>
      <c r="BU52" s="193">
        <f>ROUND((B52/(CE76+CF76)*BU76),0)</f>
        <v>68539</v>
      </c>
      <c r="BV52" s="193">
        <f>ROUND((B52/(CE76+CF76)*BV76),0)</f>
        <v>192128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67239</v>
      </c>
      <c r="BZ52" s="193">
        <f>ROUND((B52/(CE76+CF76)*BZ76),0)</f>
        <v>0</v>
      </c>
      <c r="CA52" s="193">
        <f>ROUND((B52/(CE76+CF76)*CA76),0)</f>
        <v>47248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16832156</v>
      </c>
    </row>
    <row r="53" spans="1:84" ht="12.6" customHeight="1">
      <c r="A53" s="175" t="s">
        <v>206</v>
      </c>
      <c r="B53" s="193">
        <f>B51+B52</f>
        <v>26862842.379999999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>
      <c r="A59" s="171" t="s">
        <v>233</v>
      </c>
      <c r="B59" s="175"/>
      <c r="C59" s="184">
        <v>4986</v>
      </c>
      <c r="D59" s="184">
        <v>0</v>
      </c>
      <c r="E59" s="184">
        <v>54605</v>
      </c>
      <c r="F59" s="184">
        <v>0</v>
      </c>
      <c r="G59" s="184">
        <v>0</v>
      </c>
      <c r="H59" s="184">
        <v>0</v>
      </c>
      <c r="I59" s="184">
        <v>0</v>
      </c>
      <c r="J59" s="184">
        <v>3905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965224</v>
      </c>
      <c r="Q59" s="185">
        <v>31928</v>
      </c>
      <c r="R59" s="185">
        <v>572370</v>
      </c>
      <c r="S59" s="243"/>
      <c r="T59" s="243"/>
      <c r="U59" s="220">
        <v>880523</v>
      </c>
      <c r="V59" s="185">
        <v>32879</v>
      </c>
      <c r="W59" s="185">
        <v>2668</v>
      </c>
      <c r="X59" s="185">
        <v>0</v>
      </c>
      <c r="Y59" s="185">
        <v>131426</v>
      </c>
      <c r="Z59" s="185">
        <v>13394</v>
      </c>
      <c r="AA59" s="185">
        <v>2790</v>
      </c>
      <c r="AB59" s="243"/>
      <c r="AC59" s="185">
        <v>86711</v>
      </c>
      <c r="AD59" s="185">
        <v>0</v>
      </c>
      <c r="AE59" s="185">
        <v>76570</v>
      </c>
      <c r="AF59" s="185">
        <v>0</v>
      </c>
      <c r="AG59" s="185">
        <v>71871</v>
      </c>
      <c r="AH59" s="185">
        <v>0</v>
      </c>
      <c r="AI59" s="185">
        <v>0</v>
      </c>
      <c r="AJ59" s="185">
        <v>0</v>
      </c>
      <c r="AK59" s="185">
        <v>22744</v>
      </c>
      <c r="AL59" s="185">
        <v>3428</v>
      </c>
      <c r="AM59" s="185">
        <v>0</v>
      </c>
      <c r="AN59" s="185">
        <v>0</v>
      </c>
      <c r="AO59" s="185">
        <v>0</v>
      </c>
      <c r="AP59" s="185">
        <v>93275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3"/>
      <c r="AW59" s="243"/>
      <c r="AX59" s="243"/>
      <c r="AY59" s="185">
        <v>224753</v>
      </c>
      <c r="AZ59" s="185">
        <v>870044</v>
      </c>
      <c r="BA59" s="243"/>
      <c r="BB59" s="243"/>
      <c r="BC59" s="243"/>
      <c r="BD59" s="243"/>
      <c r="BE59" s="185">
        <v>660133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3"/>
    </row>
    <row r="60" spans="1:84" ht="12.6" customHeight="1">
      <c r="A60" s="245" t="s">
        <v>234</v>
      </c>
      <c r="B60" s="175"/>
      <c r="C60" s="184">
        <v>54.223091346153844</v>
      </c>
      <c r="D60" s="184">
        <v>0</v>
      </c>
      <c r="E60" s="184">
        <v>354.53051923076924</v>
      </c>
      <c r="F60" s="184">
        <v>0</v>
      </c>
      <c r="G60" s="184">
        <v>0</v>
      </c>
      <c r="H60" s="184">
        <v>0</v>
      </c>
      <c r="I60" s="184">
        <v>0</v>
      </c>
      <c r="J60" s="184">
        <v>70.508312499999988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98.453254807692304</v>
      </c>
      <c r="Q60" s="184">
        <v>44.385413461538462</v>
      </c>
      <c r="R60" s="184">
        <v>2.3601057692307696</v>
      </c>
      <c r="S60" s="184">
        <v>38.067572115384614</v>
      </c>
      <c r="T60" s="184">
        <v>0</v>
      </c>
      <c r="U60" s="184">
        <v>55.625807692307689</v>
      </c>
      <c r="V60" s="184">
        <v>5.0644663461538464</v>
      </c>
      <c r="W60" s="184">
        <v>0</v>
      </c>
      <c r="X60" s="184">
        <v>0</v>
      </c>
      <c r="Y60" s="184">
        <v>147.39072115384613</v>
      </c>
      <c r="Z60" s="184">
        <v>17.907711538461538</v>
      </c>
      <c r="AA60" s="184">
        <v>2.9322211538461538</v>
      </c>
      <c r="AB60" s="184">
        <v>44.801182692307691</v>
      </c>
      <c r="AC60" s="184">
        <v>56.472144230769239</v>
      </c>
      <c r="AD60" s="184">
        <v>0</v>
      </c>
      <c r="AE60" s="184">
        <v>33.761418269230774</v>
      </c>
      <c r="AF60" s="184">
        <v>0</v>
      </c>
      <c r="AG60" s="184">
        <v>111.13155288461539</v>
      </c>
      <c r="AH60" s="184">
        <v>0</v>
      </c>
      <c r="AI60" s="184">
        <v>0</v>
      </c>
      <c r="AJ60" s="184">
        <v>0</v>
      </c>
      <c r="AK60" s="184">
        <v>9.3066586538461529</v>
      </c>
      <c r="AL60" s="184">
        <v>4.6032692307692304</v>
      </c>
      <c r="AM60" s="184">
        <v>1.433173076923077E-2</v>
      </c>
      <c r="AN60" s="184">
        <v>0</v>
      </c>
      <c r="AO60" s="184">
        <v>0</v>
      </c>
      <c r="AP60" s="184">
        <v>108.68783653846154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5.9766105769230755</v>
      </c>
      <c r="AW60" s="184">
        <v>11.879894230769231</v>
      </c>
      <c r="AX60" s="184">
        <v>0</v>
      </c>
      <c r="AY60" s="184">
        <v>74.657288461538457</v>
      </c>
      <c r="AZ60" s="184">
        <v>0</v>
      </c>
      <c r="BA60" s="184">
        <v>2.7938701923076925</v>
      </c>
      <c r="BB60" s="184">
        <v>1.3221153846153847E-3</v>
      </c>
      <c r="BC60" s="184">
        <v>18.735649038461535</v>
      </c>
      <c r="BD60" s="184">
        <v>0</v>
      </c>
      <c r="BE60" s="184">
        <v>21.080504807692307</v>
      </c>
      <c r="BF60" s="184">
        <v>70.687846153846152</v>
      </c>
      <c r="BG60" s="184">
        <v>0</v>
      </c>
      <c r="BH60" s="184">
        <v>0</v>
      </c>
      <c r="BI60" s="184">
        <v>0.58159615384615382</v>
      </c>
      <c r="BJ60" s="184">
        <v>0</v>
      </c>
      <c r="BK60" s="184">
        <v>1.0029903846153847</v>
      </c>
      <c r="BL60" s="184">
        <v>0</v>
      </c>
      <c r="BM60" s="184">
        <v>0</v>
      </c>
      <c r="BN60" s="184">
        <v>34.732206730769221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5.7692307692307696E-3</v>
      </c>
      <c r="BY60" s="184">
        <v>30.26591346153846</v>
      </c>
      <c r="BZ60" s="184">
        <v>0</v>
      </c>
      <c r="CA60" s="184">
        <v>10.086004807692309</v>
      </c>
      <c r="CB60" s="184">
        <v>0</v>
      </c>
      <c r="CC60" s="184">
        <v>8.2932692307692308E-3</v>
      </c>
      <c r="CD60" s="244" t="s">
        <v>221</v>
      </c>
      <c r="CE60" s="246">
        <f t="shared" ref="CE60:CE70" si="0">SUM(C60:CD60)</f>
        <v>1542.7233509615385</v>
      </c>
    </row>
    <row r="61" spans="1:84" ht="12.6" customHeight="1">
      <c r="A61" s="171" t="s">
        <v>235</v>
      </c>
      <c r="B61" s="175"/>
      <c r="C61" s="184">
        <v>5894901.3700000001</v>
      </c>
      <c r="D61" s="184">
        <v>0</v>
      </c>
      <c r="E61" s="184">
        <v>31642930.600000001</v>
      </c>
      <c r="F61" s="184">
        <v>0</v>
      </c>
      <c r="G61" s="184">
        <v>0</v>
      </c>
      <c r="H61" s="184">
        <v>0</v>
      </c>
      <c r="I61" s="184">
        <v>0</v>
      </c>
      <c r="J61" s="184">
        <v>6883695.4799999995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9169525.4100000001</v>
      </c>
      <c r="Q61" s="184">
        <v>4521438.26</v>
      </c>
      <c r="R61" s="184">
        <v>154503.45000000001</v>
      </c>
      <c r="S61" s="184">
        <v>1936771.96</v>
      </c>
      <c r="T61" s="184">
        <v>0</v>
      </c>
      <c r="U61" s="184">
        <v>4496526.25</v>
      </c>
      <c r="V61" s="184">
        <v>467071.04999999993</v>
      </c>
      <c r="W61" s="184">
        <v>431122.77</v>
      </c>
      <c r="X61" s="184">
        <v>0</v>
      </c>
      <c r="Y61" s="184">
        <v>11904102.98</v>
      </c>
      <c r="Z61" s="184">
        <v>1632636.22</v>
      </c>
      <c r="AA61" s="184">
        <v>293615.46999999997</v>
      </c>
      <c r="AB61" s="184">
        <v>4669669.8</v>
      </c>
      <c r="AC61" s="184">
        <v>4491504.4399999995</v>
      </c>
      <c r="AD61" s="184">
        <v>0</v>
      </c>
      <c r="AE61" s="184">
        <v>2693453.45</v>
      </c>
      <c r="AF61" s="184">
        <v>0</v>
      </c>
      <c r="AG61" s="184">
        <v>10491873.970000001</v>
      </c>
      <c r="AH61" s="184">
        <v>0</v>
      </c>
      <c r="AI61" s="184">
        <v>0</v>
      </c>
      <c r="AJ61" s="184">
        <v>0</v>
      </c>
      <c r="AK61" s="184">
        <v>902870.84999999986</v>
      </c>
      <c r="AL61" s="184">
        <v>436390.49</v>
      </c>
      <c r="AM61" s="184">
        <v>-237.61000000000013</v>
      </c>
      <c r="AN61" s="184">
        <v>0</v>
      </c>
      <c r="AO61" s="184">
        <v>0</v>
      </c>
      <c r="AP61" s="184">
        <v>7323455.1999999993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502191.27999999997</v>
      </c>
      <c r="AW61" s="184">
        <v>791314.56</v>
      </c>
      <c r="AX61" s="184">
        <v>0</v>
      </c>
      <c r="AY61" s="184">
        <v>3208259.2100000004</v>
      </c>
      <c r="AZ61" s="184">
        <v>0</v>
      </c>
      <c r="BA61" s="184">
        <v>113754.04000000001</v>
      </c>
      <c r="BB61" s="184">
        <v>171.82</v>
      </c>
      <c r="BC61" s="184">
        <v>739926.6</v>
      </c>
      <c r="BD61" s="184">
        <v>0</v>
      </c>
      <c r="BE61" s="184">
        <v>1536075.06</v>
      </c>
      <c r="BF61" s="184">
        <v>2952807.73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0</v>
      </c>
      <c r="BM61" s="184">
        <v>0</v>
      </c>
      <c r="BN61" s="184">
        <v>4245163.04</v>
      </c>
      <c r="BO61" s="184">
        <v>0</v>
      </c>
      <c r="BP61" s="184">
        <v>0</v>
      </c>
      <c r="BQ61" s="184">
        <v>0</v>
      </c>
      <c r="BR61" s="184">
        <v>-217.68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427.28</v>
      </c>
      <c r="BY61" s="184">
        <v>2914094.3600000003</v>
      </c>
      <c r="BZ61" s="184">
        <v>0</v>
      </c>
      <c r="CA61" s="184">
        <v>951523.57000000007</v>
      </c>
      <c r="CB61" s="184">
        <v>0</v>
      </c>
      <c r="CC61" s="184">
        <v>879159.75</v>
      </c>
      <c r="CD61" s="244" t="s">
        <v>221</v>
      </c>
      <c r="CE61" s="193">
        <f t="shared" si="0"/>
        <v>129272472.47999997</v>
      </c>
      <c r="CF61" s="247"/>
    </row>
    <row r="62" spans="1:84" ht="12.6" customHeight="1">
      <c r="A62" s="171" t="s">
        <v>3</v>
      </c>
      <c r="B62" s="175"/>
      <c r="C62" s="193">
        <f t="shared" ref="C62:BN62" si="1">ROUND(C47+C48,0)</f>
        <v>1231493</v>
      </c>
      <c r="D62" s="193">
        <f t="shared" si="1"/>
        <v>0</v>
      </c>
      <c r="E62" s="193">
        <f t="shared" si="1"/>
        <v>7214688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1553291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2133342</v>
      </c>
      <c r="Q62" s="193">
        <f t="shared" si="1"/>
        <v>1017088</v>
      </c>
      <c r="R62" s="193">
        <f t="shared" si="1"/>
        <v>44908</v>
      </c>
      <c r="S62" s="193">
        <f t="shared" si="1"/>
        <v>662713</v>
      </c>
      <c r="T62" s="193">
        <f t="shared" si="1"/>
        <v>0</v>
      </c>
      <c r="U62" s="193">
        <f t="shared" si="1"/>
        <v>1050009</v>
      </c>
      <c r="V62" s="193">
        <f t="shared" si="1"/>
        <v>111345</v>
      </c>
      <c r="W62" s="193">
        <f t="shared" si="1"/>
        <v>96149</v>
      </c>
      <c r="X62" s="193">
        <f t="shared" si="1"/>
        <v>0</v>
      </c>
      <c r="Y62" s="193">
        <f t="shared" si="1"/>
        <v>3008374</v>
      </c>
      <c r="Z62" s="193">
        <f t="shared" si="1"/>
        <v>392150</v>
      </c>
      <c r="AA62" s="193">
        <f t="shared" si="1"/>
        <v>67641</v>
      </c>
      <c r="AB62" s="193">
        <f t="shared" si="1"/>
        <v>1034290</v>
      </c>
      <c r="AC62" s="193">
        <f t="shared" si="1"/>
        <v>1169401</v>
      </c>
      <c r="AD62" s="193">
        <f t="shared" si="1"/>
        <v>0</v>
      </c>
      <c r="AE62" s="193">
        <f t="shared" si="1"/>
        <v>701757</v>
      </c>
      <c r="AF62" s="193">
        <f t="shared" si="1"/>
        <v>0</v>
      </c>
      <c r="AG62" s="193">
        <f t="shared" si="1"/>
        <v>2343323</v>
      </c>
      <c r="AH62" s="193">
        <f t="shared" si="1"/>
        <v>0</v>
      </c>
      <c r="AI62" s="193">
        <f t="shared" si="1"/>
        <v>0</v>
      </c>
      <c r="AJ62" s="193">
        <f t="shared" si="1"/>
        <v>0</v>
      </c>
      <c r="AK62" s="193">
        <f t="shared" si="1"/>
        <v>211927</v>
      </c>
      <c r="AL62" s="193">
        <f t="shared" si="1"/>
        <v>104253</v>
      </c>
      <c r="AM62" s="193">
        <f t="shared" si="1"/>
        <v>326</v>
      </c>
      <c r="AN62" s="193">
        <f t="shared" si="1"/>
        <v>0</v>
      </c>
      <c r="AO62" s="193">
        <f t="shared" si="1"/>
        <v>0</v>
      </c>
      <c r="AP62" s="193">
        <f t="shared" si="1"/>
        <v>2094050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123906</v>
      </c>
      <c r="AW62" s="193">
        <f t="shared" si="1"/>
        <v>229443</v>
      </c>
      <c r="AX62" s="193">
        <f t="shared" si="1"/>
        <v>0</v>
      </c>
      <c r="AY62" s="193">
        <f>ROUND(AY47+AY48,0)</f>
        <v>1232023</v>
      </c>
      <c r="AZ62" s="193">
        <f>ROUND(AZ47+AZ48,0)</f>
        <v>0</v>
      </c>
      <c r="BA62" s="193">
        <f>ROUND(BA47+BA48,0)</f>
        <v>45251</v>
      </c>
      <c r="BB62" s="193">
        <f t="shared" si="1"/>
        <v>13</v>
      </c>
      <c r="BC62" s="193">
        <f t="shared" si="1"/>
        <v>301644</v>
      </c>
      <c r="BD62" s="193">
        <f t="shared" si="1"/>
        <v>0</v>
      </c>
      <c r="BE62" s="193">
        <f t="shared" si="1"/>
        <v>434230</v>
      </c>
      <c r="BF62" s="193">
        <f t="shared" si="1"/>
        <v>1152554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823535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857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33</v>
      </c>
      <c r="BY62" s="193">
        <f t="shared" si="2"/>
        <v>686717</v>
      </c>
      <c r="BZ62" s="193">
        <f t="shared" si="2"/>
        <v>0</v>
      </c>
      <c r="CA62" s="193">
        <f t="shared" si="2"/>
        <v>226623</v>
      </c>
      <c r="CB62" s="193">
        <f t="shared" si="2"/>
        <v>0</v>
      </c>
      <c r="CC62" s="193">
        <f t="shared" si="2"/>
        <v>11903</v>
      </c>
      <c r="CD62" s="244" t="s">
        <v>221</v>
      </c>
      <c r="CE62" s="193">
        <f t="shared" si="0"/>
        <v>31511250</v>
      </c>
      <c r="CF62" s="247"/>
    </row>
    <row r="63" spans="1:84" ht="12.6" customHeight="1">
      <c r="A63" s="171" t="s">
        <v>236</v>
      </c>
      <c r="B63" s="175"/>
      <c r="C63" s="184">
        <v>989279.32</v>
      </c>
      <c r="D63" s="184">
        <v>0</v>
      </c>
      <c r="E63" s="184">
        <v>4285629.75</v>
      </c>
      <c r="F63" s="184">
        <v>0</v>
      </c>
      <c r="G63" s="184">
        <v>0</v>
      </c>
      <c r="H63" s="184">
        <v>0</v>
      </c>
      <c r="I63" s="184">
        <v>0</v>
      </c>
      <c r="J63" s="184">
        <v>1412945.79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2551903.98</v>
      </c>
      <c r="Q63" s="184">
        <v>0</v>
      </c>
      <c r="R63" s="184">
        <v>376619.52000000002</v>
      </c>
      <c r="S63" s="184">
        <v>0</v>
      </c>
      <c r="T63" s="184">
        <v>0</v>
      </c>
      <c r="U63" s="184">
        <v>64867.74</v>
      </c>
      <c r="V63" s="184">
        <v>-83562.16</v>
      </c>
      <c r="W63" s="184">
        <v>0</v>
      </c>
      <c r="X63" s="184">
        <v>0</v>
      </c>
      <c r="Y63" s="184">
        <v>0</v>
      </c>
      <c r="Z63" s="184">
        <v>36000</v>
      </c>
      <c r="AA63" s="184">
        <v>0</v>
      </c>
      <c r="AB63" s="184">
        <v>0</v>
      </c>
      <c r="AC63" s="184">
        <v>92812.5</v>
      </c>
      <c r="AD63" s="184">
        <v>0</v>
      </c>
      <c r="AE63" s="184">
        <v>309494.03000000003</v>
      </c>
      <c r="AF63" s="184">
        <v>0</v>
      </c>
      <c r="AG63" s="184">
        <v>4747235.24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39975.009999999995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1185748.96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155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37755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4" t="s">
        <v>221</v>
      </c>
      <c r="CE63" s="193">
        <f t="shared" si="0"/>
        <v>16046859.68</v>
      </c>
      <c r="CF63" s="247"/>
    </row>
    <row r="64" spans="1:84" ht="12.6" customHeight="1">
      <c r="A64" s="171" t="s">
        <v>237</v>
      </c>
      <c r="B64" s="175"/>
      <c r="C64" s="184">
        <v>731880.64000000013</v>
      </c>
      <c r="D64" s="184">
        <v>0</v>
      </c>
      <c r="E64" s="184">
        <v>1868270.4699999995</v>
      </c>
      <c r="F64" s="184">
        <v>0</v>
      </c>
      <c r="G64" s="184">
        <v>0</v>
      </c>
      <c r="H64" s="184">
        <v>0</v>
      </c>
      <c r="I64" s="184">
        <v>0</v>
      </c>
      <c r="J64" s="184">
        <v>702658.13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18792286.520000003</v>
      </c>
      <c r="Q64" s="184">
        <v>585007.87</v>
      </c>
      <c r="R64" s="184">
        <v>383764.01</v>
      </c>
      <c r="S64" s="184">
        <v>-721197.77000000025</v>
      </c>
      <c r="T64" s="184">
        <v>0</v>
      </c>
      <c r="U64" s="184">
        <v>3865168.2600000002</v>
      </c>
      <c r="V64" s="184">
        <v>18988.95</v>
      </c>
      <c r="W64" s="184">
        <v>77718.149999999994</v>
      </c>
      <c r="X64" s="184">
        <v>0</v>
      </c>
      <c r="Y64" s="184">
        <v>12727191.319999998</v>
      </c>
      <c r="Z64" s="184">
        <v>39823.610000000008</v>
      </c>
      <c r="AA64" s="184">
        <v>1080457.08</v>
      </c>
      <c r="AB64" s="184">
        <v>12616728.829999998</v>
      </c>
      <c r="AC64" s="184">
        <v>709105.89</v>
      </c>
      <c r="AD64" s="184">
        <v>0</v>
      </c>
      <c r="AE64" s="184">
        <v>613601.74</v>
      </c>
      <c r="AF64" s="184">
        <v>0</v>
      </c>
      <c r="AG64" s="184">
        <v>1611434.5199999998</v>
      </c>
      <c r="AH64" s="184">
        <v>0</v>
      </c>
      <c r="AI64" s="184">
        <v>0</v>
      </c>
      <c r="AJ64" s="184">
        <v>0</v>
      </c>
      <c r="AK64" s="184">
        <v>12918.189999999999</v>
      </c>
      <c r="AL64" s="184">
        <v>5557.0599999999995</v>
      </c>
      <c r="AM64" s="184">
        <v>308.01</v>
      </c>
      <c r="AN64" s="184">
        <v>0</v>
      </c>
      <c r="AO64" s="184">
        <v>0</v>
      </c>
      <c r="AP64" s="184">
        <v>34115115.400000006</v>
      </c>
      <c r="AQ64" s="184">
        <v>0</v>
      </c>
      <c r="AR64" s="184">
        <v>412.21000000000004</v>
      </c>
      <c r="AS64" s="184">
        <v>0</v>
      </c>
      <c r="AT64" s="184">
        <v>0</v>
      </c>
      <c r="AU64" s="184">
        <v>0</v>
      </c>
      <c r="AV64" s="184">
        <v>28890.1</v>
      </c>
      <c r="AW64" s="184">
        <v>2250.54</v>
      </c>
      <c r="AX64" s="184">
        <v>0</v>
      </c>
      <c r="AY64" s="184">
        <v>1581706.8499999999</v>
      </c>
      <c r="AZ64" s="184">
        <v>0</v>
      </c>
      <c r="BA64" s="184">
        <v>196.5</v>
      </c>
      <c r="BB64" s="184">
        <v>1151.4000000000001</v>
      </c>
      <c r="BC64" s="184">
        <v>18300.359999999997</v>
      </c>
      <c r="BD64" s="184">
        <v>0</v>
      </c>
      <c r="BE64" s="184">
        <v>138141.72</v>
      </c>
      <c r="BF64" s="184">
        <v>177945.74</v>
      </c>
      <c r="BG64" s="184">
        <v>0</v>
      </c>
      <c r="BH64" s="184">
        <v>0</v>
      </c>
      <c r="BI64" s="184">
        <v>0</v>
      </c>
      <c r="BJ64" s="184">
        <v>0</v>
      </c>
      <c r="BK64" s="184">
        <v>1628.8400000000001</v>
      </c>
      <c r="BL64" s="184">
        <v>17474.52</v>
      </c>
      <c r="BM64" s="184">
        <v>0</v>
      </c>
      <c r="BN64" s="184">
        <v>478819.52999999991</v>
      </c>
      <c r="BO64" s="184">
        <v>0</v>
      </c>
      <c r="BP64" s="184">
        <v>0</v>
      </c>
      <c r="BQ64" s="184">
        <v>0</v>
      </c>
      <c r="BR64" s="184">
        <v>30286.07</v>
      </c>
      <c r="BS64" s="184">
        <v>0</v>
      </c>
      <c r="BT64" s="184">
        <v>1.62</v>
      </c>
      <c r="BU64" s="184">
        <v>0</v>
      </c>
      <c r="BV64" s="184">
        <v>5015.8999999999996</v>
      </c>
      <c r="BW64" s="184">
        <v>0</v>
      </c>
      <c r="BX64" s="184">
        <v>0</v>
      </c>
      <c r="BY64" s="184">
        <v>26280.52</v>
      </c>
      <c r="BZ64" s="184">
        <v>0</v>
      </c>
      <c r="CA64" s="184">
        <v>24858.779999999995</v>
      </c>
      <c r="CB64" s="184">
        <v>0</v>
      </c>
      <c r="CC64" s="184">
        <v>-149301.57999999999</v>
      </c>
      <c r="CD64" s="244" t="s">
        <v>221</v>
      </c>
      <c r="CE64" s="193">
        <f t="shared" si="0"/>
        <v>92220846.5</v>
      </c>
      <c r="CF64" s="247"/>
    </row>
    <row r="65" spans="1:84" ht="12.6" customHeight="1">
      <c r="A65" s="171" t="s">
        <v>238</v>
      </c>
      <c r="B65" s="175"/>
      <c r="C65" s="184">
        <v>426.36</v>
      </c>
      <c r="D65" s="184">
        <v>0</v>
      </c>
      <c r="E65" s="184">
        <v>4444.74</v>
      </c>
      <c r="F65" s="184">
        <v>0</v>
      </c>
      <c r="G65" s="184">
        <v>0</v>
      </c>
      <c r="H65" s="184">
        <v>349.79</v>
      </c>
      <c r="I65" s="184">
        <v>0</v>
      </c>
      <c r="J65" s="184">
        <v>2344.04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3460.36</v>
      </c>
      <c r="Q65" s="184">
        <v>815.31000000000006</v>
      </c>
      <c r="R65" s="184">
        <v>0</v>
      </c>
      <c r="S65" s="184">
        <v>54.35</v>
      </c>
      <c r="T65" s="184">
        <v>0</v>
      </c>
      <c r="U65" s="184">
        <v>0</v>
      </c>
      <c r="V65" s="184">
        <v>15.45</v>
      </c>
      <c r="W65" s="184">
        <v>1217.0899999999999</v>
      </c>
      <c r="X65" s="184">
        <v>0</v>
      </c>
      <c r="Y65" s="184">
        <v>265091.14999999991</v>
      </c>
      <c r="Z65" s="184">
        <v>0</v>
      </c>
      <c r="AA65" s="184">
        <v>0</v>
      </c>
      <c r="AB65" s="184">
        <v>829.21</v>
      </c>
      <c r="AC65" s="184">
        <v>4629.42</v>
      </c>
      <c r="AD65" s="184">
        <v>0</v>
      </c>
      <c r="AE65" s="184">
        <v>14850.48</v>
      </c>
      <c r="AF65" s="184">
        <v>0</v>
      </c>
      <c r="AG65" s="184">
        <v>1197.54</v>
      </c>
      <c r="AH65" s="184">
        <v>0</v>
      </c>
      <c r="AI65" s="184">
        <v>0</v>
      </c>
      <c r="AJ65" s="184">
        <v>0</v>
      </c>
      <c r="AK65" s="184">
        <v>1577.22</v>
      </c>
      <c r="AL65" s="184">
        <v>187.68</v>
      </c>
      <c r="AM65" s="184">
        <v>0</v>
      </c>
      <c r="AN65" s="184">
        <v>0</v>
      </c>
      <c r="AO65" s="184">
        <v>0</v>
      </c>
      <c r="AP65" s="184">
        <v>124794.70000000001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1994.9099999999999</v>
      </c>
      <c r="AW65" s="184">
        <v>0</v>
      </c>
      <c r="AX65" s="184">
        <v>0</v>
      </c>
      <c r="AY65" s="184">
        <v>1338.5</v>
      </c>
      <c r="AZ65" s="184">
        <v>0</v>
      </c>
      <c r="BA65" s="184">
        <v>0</v>
      </c>
      <c r="BB65" s="184">
        <v>0</v>
      </c>
      <c r="BC65" s="184">
        <v>3059.38</v>
      </c>
      <c r="BD65" s="184">
        <v>0</v>
      </c>
      <c r="BE65" s="184">
        <v>2680041.1100000003</v>
      </c>
      <c r="BF65" s="184">
        <v>134745.93</v>
      </c>
      <c r="BG65" s="184">
        <v>288312.25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31470.59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97.2</v>
      </c>
      <c r="BU65" s="184">
        <v>0</v>
      </c>
      <c r="BV65" s="184">
        <v>0</v>
      </c>
      <c r="BW65" s="184">
        <v>0</v>
      </c>
      <c r="BX65" s="184">
        <v>0</v>
      </c>
      <c r="BY65" s="184">
        <v>1386.46</v>
      </c>
      <c r="BZ65" s="184">
        <v>0</v>
      </c>
      <c r="CA65" s="184">
        <v>0</v>
      </c>
      <c r="CB65" s="184">
        <v>0</v>
      </c>
      <c r="CC65" s="184">
        <v>13826.27</v>
      </c>
      <c r="CD65" s="244" t="s">
        <v>221</v>
      </c>
      <c r="CE65" s="193">
        <f t="shared" si="0"/>
        <v>3582557.49</v>
      </c>
      <c r="CF65" s="247"/>
    </row>
    <row r="66" spans="1:84" ht="12.6" customHeight="1">
      <c r="A66" s="171" t="s">
        <v>239</v>
      </c>
      <c r="B66" s="175"/>
      <c r="C66" s="184">
        <v>79330.17</v>
      </c>
      <c r="D66" s="184">
        <v>0</v>
      </c>
      <c r="E66" s="184">
        <v>435432.01999999996</v>
      </c>
      <c r="F66" s="184">
        <v>0</v>
      </c>
      <c r="G66" s="184">
        <v>0</v>
      </c>
      <c r="H66" s="184">
        <v>0</v>
      </c>
      <c r="I66" s="184">
        <v>0</v>
      </c>
      <c r="J66" s="184">
        <v>1127687.7400000002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2161282.19</v>
      </c>
      <c r="Q66" s="184">
        <v>28147.749999999996</v>
      </c>
      <c r="R66" s="184">
        <v>271663.78999999998</v>
      </c>
      <c r="S66" s="184">
        <v>250114.4125842186</v>
      </c>
      <c r="T66" s="184">
        <v>0</v>
      </c>
      <c r="U66" s="184">
        <v>2630380.1800000002</v>
      </c>
      <c r="V66" s="184">
        <v>72845.83</v>
      </c>
      <c r="W66" s="184">
        <v>63777.55</v>
      </c>
      <c r="X66" s="184">
        <v>0</v>
      </c>
      <c r="Y66" s="184">
        <v>3473549.5100000007</v>
      </c>
      <c r="Z66" s="184">
        <v>914145.21999999986</v>
      </c>
      <c r="AA66" s="184">
        <v>60539.95</v>
      </c>
      <c r="AB66" s="184">
        <v>566601.84</v>
      </c>
      <c r="AC66" s="184">
        <v>153131.94</v>
      </c>
      <c r="AD66" s="184">
        <v>0</v>
      </c>
      <c r="AE66" s="184">
        <v>1632610.1900000004</v>
      </c>
      <c r="AF66" s="184">
        <v>0</v>
      </c>
      <c r="AG66" s="184">
        <v>1702998.76</v>
      </c>
      <c r="AH66" s="184">
        <v>0</v>
      </c>
      <c r="AI66" s="184">
        <v>0</v>
      </c>
      <c r="AJ66" s="184">
        <v>0</v>
      </c>
      <c r="AK66" s="184">
        <v>1136.8900000000001</v>
      </c>
      <c r="AL66" s="184">
        <v>0</v>
      </c>
      <c r="AM66" s="184">
        <v>0</v>
      </c>
      <c r="AN66" s="184">
        <v>0</v>
      </c>
      <c r="AO66" s="184">
        <v>0</v>
      </c>
      <c r="AP66" s="184">
        <v>1956192.46</v>
      </c>
      <c r="AQ66" s="184">
        <v>0</v>
      </c>
      <c r="AR66" s="184">
        <v>2737.52</v>
      </c>
      <c r="AS66" s="184">
        <v>0</v>
      </c>
      <c r="AT66" s="184">
        <v>0</v>
      </c>
      <c r="AU66" s="184">
        <v>0</v>
      </c>
      <c r="AV66" s="184">
        <v>2603893.6028000009</v>
      </c>
      <c r="AW66" s="184">
        <v>153805</v>
      </c>
      <c r="AX66" s="184">
        <v>1482.5688</v>
      </c>
      <c r="AY66" s="184">
        <v>1143815.52</v>
      </c>
      <c r="AZ66" s="184">
        <v>0</v>
      </c>
      <c r="BA66" s="184">
        <v>-17000.060000000001</v>
      </c>
      <c r="BB66" s="184">
        <v>0</v>
      </c>
      <c r="BC66" s="184">
        <v>318661.28999999998</v>
      </c>
      <c r="BD66" s="184">
        <v>0</v>
      </c>
      <c r="BE66" s="184">
        <v>10726840.224400001</v>
      </c>
      <c r="BF66" s="184">
        <v>639020</v>
      </c>
      <c r="BG66" s="184">
        <v>71691.200799999991</v>
      </c>
      <c r="BH66" s="184">
        <v>485815.51072945457</v>
      </c>
      <c r="BI66" s="184">
        <v>0</v>
      </c>
      <c r="BJ66" s="184">
        <v>1257081.4216116858</v>
      </c>
      <c r="BK66" s="184">
        <v>7562452.3920112997</v>
      </c>
      <c r="BL66" s="184">
        <v>2802026.8919999995</v>
      </c>
      <c r="BM66" s="184">
        <v>0</v>
      </c>
      <c r="BN66" s="184">
        <v>8783324.0164995305</v>
      </c>
      <c r="BO66" s="184">
        <v>692286.80639999988</v>
      </c>
      <c r="BP66" s="184">
        <v>907529.93759999983</v>
      </c>
      <c r="BQ66" s="184">
        <v>0</v>
      </c>
      <c r="BR66" s="184">
        <v>2727701.8019999992</v>
      </c>
      <c r="BS66" s="184">
        <v>33.830399999999997</v>
      </c>
      <c r="BT66" s="184">
        <v>50389.823199999999</v>
      </c>
      <c r="BU66" s="184">
        <v>81324.770400000009</v>
      </c>
      <c r="BV66" s="184">
        <v>3867477.5582781271</v>
      </c>
      <c r="BW66" s="184">
        <v>843808.68584759696</v>
      </c>
      <c r="BX66" s="184">
        <v>3478245.42516904</v>
      </c>
      <c r="BY66" s="184">
        <v>1294487.5148</v>
      </c>
      <c r="BZ66" s="184">
        <v>0</v>
      </c>
      <c r="CA66" s="184">
        <v>1116973.3939999999</v>
      </c>
      <c r="CB66" s="184">
        <v>100497.62880000001</v>
      </c>
      <c r="CC66" s="184">
        <v>34739944.318766065</v>
      </c>
      <c r="CD66" s="244" t="s">
        <v>221</v>
      </c>
      <c r="CE66" s="193">
        <f t="shared" si="0"/>
        <v>104017916.98789704</v>
      </c>
      <c r="CF66" s="247"/>
    </row>
    <row r="67" spans="1:84" ht="12.6" customHeight="1">
      <c r="A67" s="171" t="s">
        <v>6</v>
      </c>
      <c r="B67" s="175"/>
      <c r="C67" s="193">
        <f>ROUND(C51+C52,0)</f>
        <v>356714</v>
      </c>
      <c r="D67" s="193">
        <f>ROUND(D51+D52,0)</f>
        <v>0</v>
      </c>
      <c r="E67" s="193">
        <f t="shared" ref="E67:BP67" si="3">ROUND(E51+E52,0)</f>
        <v>2537070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616508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4923716</v>
      </c>
      <c r="Q67" s="193">
        <f t="shared" si="3"/>
        <v>228466</v>
      </c>
      <c r="R67" s="193">
        <f t="shared" si="3"/>
        <v>2958</v>
      </c>
      <c r="S67" s="193">
        <f t="shared" si="3"/>
        <v>385358</v>
      </c>
      <c r="T67" s="193">
        <f t="shared" si="3"/>
        <v>0</v>
      </c>
      <c r="U67" s="193">
        <f t="shared" si="3"/>
        <v>461472</v>
      </c>
      <c r="V67" s="193">
        <f t="shared" si="3"/>
        <v>161200</v>
      </c>
      <c r="W67" s="193">
        <f t="shared" si="3"/>
        <v>63321</v>
      </c>
      <c r="X67" s="193">
        <f t="shared" si="3"/>
        <v>0</v>
      </c>
      <c r="Y67" s="193">
        <f t="shared" si="3"/>
        <v>2538508</v>
      </c>
      <c r="Z67" s="193">
        <f t="shared" si="3"/>
        <v>371518</v>
      </c>
      <c r="AA67" s="193">
        <f t="shared" si="3"/>
        <v>66502</v>
      </c>
      <c r="AB67" s="193">
        <f t="shared" si="3"/>
        <v>480262</v>
      </c>
      <c r="AC67" s="193">
        <f t="shared" si="3"/>
        <v>334608</v>
      </c>
      <c r="AD67" s="193">
        <f t="shared" si="3"/>
        <v>20653</v>
      </c>
      <c r="AE67" s="193">
        <f t="shared" si="3"/>
        <v>735756</v>
      </c>
      <c r="AF67" s="193">
        <f t="shared" si="3"/>
        <v>0</v>
      </c>
      <c r="AG67" s="193">
        <f t="shared" si="3"/>
        <v>1331444</v>
      </c>
      <c r="AH67" s="193">
        <f t="shared" si="3"/>
        <v>0</v>
      </c>
      <c r="AI67" s="193">
        <f t="shared" si="3"/>
        <v>0</v>
      </c>
      <c r="AJ67" s="193">
        <f t="shared" si="3"/>
        <v>0</v>
      </c>
      <c r="AK67" s="193">
        <f t="shared" si="3"/>
        <v>119357</v>
      </c>
      <c r="AL67" s="193">
        <f t="shared" si="3"/>
        <v>39267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4483333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80804</v>
      </c>
      <c r="AW67" s="193">
        <f t="shared" si="3"/>
        <v>0</v>
      </c>
      <c r="AX67" s="193">
        <f t="shared" si="3"/>
        <v>0</v>
      </c>
      <c r="AY67" s="193">
        <f t="shared" si="3"/>
        <v>297320</v>
      </c>
      <c r="AZ67" s="193">
        <f>ROUND(AZ51+AZ52,0)</f>
        <v>383313</v>
      </c>
      <c r="BA67" s="193">
        <f>ROUND(BA51+BA52,0)</f>
        <v>94802</v>
      </c>
      <c r="BB67" s="193">
        <f t="shared" si="3"/>
        <v>29170</v>
      </c>
      <c r="BC67" s="193">
        <f t="shared" si="3"/>
        <v>2349</v>
      </c>
      <c r="BD67" s="193">
        <f t="shared" si="3"/>
        <v>1341558</v>
      </c>
      <c r="BE67" s="193">
        <f t="shared" si="3"/>
        <v>2956393</v>
      </c>
      <c r="BF67" s="193">
        <f t="shared" si="3"/>
        <v>280196</v>
      </c>
      <c r="BG67" s="193">
        <f t="shared" si="3"/>
        <v>146088</v>
      </c>
      <c r="BH67" s="193">
        <f t="shared" si="3"/>
        <v>0</v>
      </c>
      <c r="BI67" s="193">
        <f t="shared" si="3"/>
        <v>0</v>
      </c>
      <c r="BJ67" s="193">
        <f t="shared" si="3"/>
        <v>0</v>
      </c>
      <c r="BK67" s="193">
        <f t="shared" si="3"/>
        <v>8345</v>
      </c>
      <c r="BL67" s="193">
        <f t="shared" si="3"/>
        <v>0</v>
      </c>
      <c r="BM67" s="193">
        <f t="shared" si="3"/>
        <v>0</v>
      </c>
      <c r="BN67" s="193">
        <f t="shared" si="3"/>
        <v>97868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111073</v>
      </c>
      <c r="BS67" s="193">
        <f t="shared" si="4"/>
        <v>108393</v>
      </c>
      <c r="BT67" s="193">
        <f t="shared" si="4"/>
        <v>0</v>
      </c>
      <c r="BU67" s="193">
        <f t="shared" si="4"/>
        <v>68539</v>
      </c>
      <c r="BV67" s="193">
        <f t="shared" si="4"/>
        <v>204459</v>
      </c>
      <c r="BW67" s="193">
        <f t="shared" si="4"/>
        <v>79</v>
      </c>
      <c r="BX67" s="193">
        <f t="shared" si="4"/>
        <v>0</v>
      </c>
      <c r="BY67" s="193">
        <f t="shared" si="4"/>
        <v>343399</v>
      </c>
      <c r="BZ67" s="193">
        <f t="shared" si="4"/>
        <v>0</v>
      </c>
      <c r="CA67" s="193">
        <f t="shared" si="4"/>
        <v>50703</v>
      </c>
      <c r="CB67" s="193">
        <f t="shared" si="4"/>
        <v>0</v>
      </c>
      <c r="CC67" s="193">
        <f t="shared" si="4"/>
        <v>0</v>
      </c>
      <c r="CD67" s="244" t="s">
        <v>221</v>
      </c>
      <c r="CE67" s="193">
        <f t="shared" si="0"/>
        <v>26862842</v>
      </c>
      <c r="CF67" s="247"/>
    </row>
    <row r="68" spans="1:84" ht="12.6" customHeight="1">
      <c r="A68" s="171" t="s">
        <v>240</v>
      </c>
      <c r="B68" s="175"/>
      <c r="C68" s="184">
        <v>14621.52</v>
      </c>
      <c r="D68" s="184">
        <v>0</v>
      </c>
      <c r="E68" s="184">
        <v>52872.21</v>
      </c>
      <c r="F68" s="184">
        <v>0</v>
      </c>
      <c r="G68" s="184">
        <v>0</v>
      </c>
      <c r="H68" s="184">
        <v>409.13</v>
      </c>
      <c r="I68" s="184">
        <v>0</v>
      </c>
      <c r="J68" s="184">
        <v>11981.55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711175.11</v>
      </c>
      <c r="Q68" s="184">
        <v>3229.66</v>
      </c>
      <c r="R68" s="184">
        <v>7055.43</v>
      </c>
      <c r="S68" s="184">
        <v>143567</v>
      </c>
      <c r="T68" s="184">
        <v>0</v>
      </c>
      <c r="U68" s="184">
        <v>137846.35999999999</v>
      </c>
      <c r="V68" s="184">
        <v>0</v>
      </c>
      <c r="W68" s="184">
        <v>1526.22</v>
      </c>
      <c r="X68" s="184">
        <v>0</v>
      </c>
      <c r="Y68" s="184">
        <v>1039551.82</v>
      </c>
      <c r="Z68" s="184">
        <v>9025.57</v>
      </c>
      <c r="AA68" s="184">
        <v>523.66</v>
      </c>
      <c r="AB68" s="184">
        <v>39114.639999999999</v>
      </c>
      <c r="AC68" s="184">
        <v>304721.94</v>
      </c>
      <c r="AD68" s="184">
        <v>0</v>
      </c>
      <c r="AE68" s="184">
        <v>405981.00999999995</v>
      </c>
      <c r="AF68" s="184">
        <v>0</v>
      </c>
      <c r="AG68" s="184">
        <v>33944.51</v>
      </c>
      <c r="AH68" s="184">
        <v>0</v>
      </c>
      <c r="AI68" s="184">
        <v>0</v>
      </c>
      <c r="AJ68" s="184">
        <v>0</v>
      </c>
      <c r="AK68" s="184">
        <v>165515.13</v>
      </c>
      <c r="AL68" s="184">
        <v>57234.31</v>
      </c>
      <c r="AM68" s="184">
        <v>1150.73</v>
      </c>
      <c r="AN68" s="184">
        <v>0</v>
      </c>
      <c r="AO68" s="184">
        <v>0</v>
      </c>
      <c r="AP68" s="184">
        <v>670730.11</v>
      </c>
      <c r="AQ68" s="184">
        <v>0</v>
      </c>
      <c r="AR68" s="184">
        <v>-749.24</v>
      </c>
      <c r="AS68" s="184">
        <v>0</v>
      </c>
      <c r="AT68" s="184">
        <v>0</v>
      </c>
      <c r="AU68" s="184">
        <v>0</v>
      </c>
      <c r="AV68" s="184">
        <v>47463.020000000004</v>
      </c>
      <c r="AW68" s="184">
        <v>0</v>
      </c>
      <c r="AX68" s="184">
        <v>0</v>
      </c>
      <c r="AY68" s="184">
        <v>23131.94</v>
      </c>
      <c r="AZ68" s="184">
        <v>0</v>
      </c>
      <c r="BA68" s="184">
        <v>0</v>
      </c>
      <c r="BB68" s="184">
        <v>11287.64</v>
      </c>
      <c r="BC68" s="184">
        <v>1276.69</v>
      </c>
      <c r="BD68" s="184">
        <v>0</v>
      </c>
      <c r="BE68" s="184">
        <v>683375.40999999992</v>
      </c>
      <c r="BF68" s="184">
        <v>6482.69</v>
      </c>
      <c r="BG68" s="184">
        <v>1814.98</v>
      </c>
      <c r="BH68" s="184">
        <v>0</v>
      </c>
      <c r="BI68" s="184">
        <v>0</v>
      </c>
      <c r="BJ68" s="184">
        <v>0</v>
      </c>
      <c r="BK68" s="184">
        <v>30003.08</v>
      </c>
      <c r="BL68" s="184">
        <v>9554.9599999999991</v>
      </c>
      <c r="BM68" s="184">
        <v>0</v>
      </c>
      <c r="BN68" s="184">
        <v>557906.73</v>
      </c>
      <c r="BO68" s="184">
        <v>0</v>
      </c>
      <c r="BP68" s="184">
        <v>0</v>
      </c>
      <c r="BQ68" s="184">
        <v>0</v>
      </c>
      <c r="BR68" s="184">
        <v>11241.58</v>
      </c>
      <c r="BS68" s="184">
        <v>0</v>
      </c>
      <c r="BT68" s="184">
        <v>0</v>
      </c>
      <c r="BU68" s="184">
        <v>-44.53</v>
      </c>
      <c r="BV68" s="184">
        <v>12185.65</v>
      </c>
      <c r="BW68" s="184">
        <v>0</v>
      </c>
      <c r="BX68" s="184">
        <v>1091.44</v>
      </c>
      <c r="BY68" s="184">
        <v>36372.840000000004</v>
      </c>
      <c r="BZ68" s="184">
        <v>0</v>
      </c>
      <c r="CA68" s="184">
        <v>44187.39</v>
      </c>
      <c r="CB68" s="184">
        <v>0</v>
      </c>
      <c r="CC68" s="184">
        <v>415416.75</v>
      </c>
      <c r="CD68" s="244" t="s">
        <v>221</v>
      </c>
      <c r="CE68" s="193">
        <f t="shared" si="0"/>
        <v>5703776.6399999997</v>
      </c>
      <c r="CF68" s="247"/>
    </row>
    <row r="69" spans="1:84" ht="12.6" customHeight="1">
      <c r="A69" s="171" t="s">
        <v>241</v>
      </c>
      <c r="B69" s="175"/>
      <c r="C69" s="184">
        <v>1872.47</v>
      </c>
      <c r="D69" s="184">
        <v>0</v>
      </c>
      <c r="E69" s="184">
        <v>25564.420000000002</v>
      </c>
      <c r="F69" s="184">
        <v>0</v>
      </c>
      <c r="G69" s="184">
        <v>0</v>
      </c>
      <c r="H69" s="184">
        <v>0</v>
      </c>
      <c r="I69" s="184">
        <v>0</v>
      </c>
      <c r="J69" s="184">
        <v>22834.22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86069.439999999988</v>
      </c>
      <c r="Q69" s="184">
        <v>13518.650000000001</v>
      </c>
      <c r="R69" s="184">
        <v>0</v>
      </c>
      <c r="S69" s="184">
        <v>1968.25</v>
      </c>
      <c r="T69" s="184">
        <v>0</v>
      </c>
      <c r="U69" s="184">
        <v>68743.990000000005</v>
      </c>
      <c r="V69" s="184">
        <v>428.69000000000005</v>
      </c>
      <c r="W69" s="184">
        <v>3471.11</v>
      </c>
      <c r="X69" s="184">
        <v>0</v>
      </c>
      <c r="Y69" s="184">
        <v>31661.87</v>
      </c>
      <c r="Z69" s="184">
        <v>5432.83</v>
      </c>
      <c r="AA69" s="184">
        <v>10626</v>
      </c>
      <c r="AB69" s="184">
        <v>52890.759999999995</v>
      </c>
      <c r="AC69" s="184">
        <v>15774.85</v>
      </c>
      <c r="AD69" s="184">
        <v>0</v>
      </c>
      <c r="AE69" s="184">
        <v>20648.75</v>
      </c>
      <c r="AF69" s="184">
        <v>0</v>
      </c>
      <c r="AG69" s="184">
        <v>34908.840000000004</v>
      </c>
      <c r="AH69" s="184">
        <v>0</v>
      </c>
      <c r="AI69" s="184">
        <v>0</v>
      </c>
      <c r="AJ69" s="184">
        <v>0</v>
      </c>
      <c r="AK69" s="184">
        <v>4332.75</v>
      </c>
      <c r="AL69" s="184">
        <v>1676.94</v>
      </c>
      <c r="AM69" s="184">
        <v>394.37</v>
      </c>
      <c r="AN69" s="184">
        <v>0</v>
      </c>
      <c r="AO69" s="184">
        <v>0</v>
      </c>
      <c r="AP69" s="184">
        <v>37597.43</v>
      </c>
      <c r="AQ69" s="184">
        <v>0</v>
      </c>
      <c r="AR69" s="184">
        <v>403.34000000000003</v>
      </c>
      <c r="AS69" s="184">
        <v>0</v>
      </c>
      <c r="AT69" s="184">
        <v>0</v>
      </c>
      <c r="AU69" s="184">
        <v>0</v>
      </c>
      <c r="AV69" s="184">
        <v>12407.55</v>
      </c>
      <c r="AW69" s="184">
        <v>8640.369999999999</v>
      </c>
      <c r="AX69" s="184">
        <v>0</v>
      </c>
      <c r="AY69" s="184">
        <v>65732.2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162591.17000000001</v>
      </c>
      <c r="BF69" s="184">
        <v>9184.6200000000008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4836.97</v>
      </c>
      <c r="BM69" s="184">
        <v>0</v>
      </c>
      <c r="BN69" s="184">
        <v>546686.1</v>
      </c>
      <c r="BO69" s="184">
        <v>0</v>
      </c>
      <c r="BP69" s="184">
        <v>0</v>
      </c>
      <c r="BQ69" s="184">
        <v>0</v>
      </c>
      <c r="BR69" s="184">
        <v>-69037.440000000002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49537.340000000004</v>
      </c>
      <c r="BZ69" s="184">
        <v>0</v>
      </c>
      <c r="CA69" s="184">
        <v>16111.45</v>
      </c>
      <c r="CB69" s="184">
        <v>0</v>
      </c>
      <c r="CC69" s="184">
        <v>30.5</v>
      </c>
      <c r="CD69" s="184">
        <v>16843623.719999999</v>
      </c>
      <c r="CE69" s="193">
        <f t="shared" si="0"/>
        <v>18091164.52</v>
      </c>
      <c r="CF69" s="247"/>
    </row>
    <row r="70" spans="1:84" ht="12.6" customHeight="1">
      <c r="A70" s="171" t="s">
        <v>242</v>
      </c>
      <c r="B70" s="175"/>
      <c r="C70" s="184">
        <v>235</v>
      </c>
      <c r="D70" s="184">
        <v>0</v>
      </c>
      <c r="E70" s="184">
        <v>4483.42</v>
      </c>
      <c r="F70" s="184">
        <v>0</v>
      </c>
      <c r="G70" s="184">
        <v>0</v>
      </c>
      <c r="H70" s="184">
        <v>0</v>
      </c>
      <c r="I70" s="184">
        <v>0</v>
      </c>
      <c r="J70" s="184">
        <v>4694.95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5395</v>
      </c>
      <c r="Q70" s="184">
        <v>0</v>
      </c>
      <c r="R70" s="184">
        <v>0</v>
      </c>
      <c r="S70" s="184">
        <v>0</v>
      </c>
      <c r="T70" s="184">
        <v>0</v>
      </c>
      <c r="U70" s="184">
        <v>139543.22</v>
      </c>
      <c r="V70" s="184">
        <v>0</v>
      </c>
      <c r="W70" s="184">
        <v>0</v>
      </c>
      <c r="X70" s="184">
        <v>0</v>
      </c>
      <c r="Y70" s="184">
        <v>8798.2000000000007</v>
      </c>
      <c r="Z70" s="184">
        <v>1151.32</v>
      </c>
      <c r="AA70" s="184">
        <v>0</v>
      </c>
      <c r="AB70" s="184">
        <v>700.51</v>
      </c>
      <c r="AC70" s="184">
        <v>0</v>
      </c>
      <c r="AD70" s="184">
        <v>0</v>
      </c>
      <c r="AE70" s="184">
        <v>12179.060000000001</v>
      </c>
      <c r="AF70" s="184">
        <v>0</v>
      </c>
      <c r="AG70" s="184">
        <v>6264.33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528547.27</v>
      </c>
      <c r="AQ70" s="184">
        <v>0</v>
      </c>
      <c r="AR70" s="184">
        <v>-2840.77</v>
      </c>
      <c r="AS70" s="184">
        <v>0</v>
      </c>
      <c r="AT70" s="184">
        <v>0</v>
      </c>
      <c r="AU70" s="184">
        <v>0</v>
      </c>
      <c r="AV70" s="184">
        <v>101266.48999999999</v>
      </c>
      <c r="AW70" s="184">
        <v>276631.59999999998</v>
      </c>
      <c r="AX70" s="184">
        <v>0</v>
      </c>
      <c r="AY70" s="184">
        <v>1784013.7800000003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8.59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1419939.51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9309.23</v>
      </c>
      <c r="BW70" s="184">
        <v>0</v>
      </c>
      <c r="BX70" s="184">
        <v>0</v>
      </c>
      <c r="BY70" s="184">
        <v>5493.61</v>
      </c>
      <c r="BZ70" s="184">
        <v>0</v>
      </c>
      <c r="CA70" s="184">
        <v>5387.29</v>
      </c>
      <c r="CB70" s="184">
        <v>0</v>
      </c>
      <c r="CC70" s="184">
        <v>0</v>
      </c>
      <c r="CD70" s="184">
        <v>6759092.8399999999</v>
      </c>
      <c r="CE70" s="193">
        <f t="shared" si="0"/>
        <v>11070294.450000001</v>
      </c>
      <c r="CF70" s="247"/>
    </row>
    <row r="71" spans="1:84" ht="12.6" customHeight="1">
      <c r="A71" s="171" t="s">
        <v>243</v>
      </c>
      <c r="B71" s="175"/>
      <c r="C71" s="193">
        <f>SUM(C61:C68)+C69-C70</f>
        <v>9300283.8499999996</v>
      </c>
      <c r="D71" s="193">
        <f t="shared" ref="D71:AI71" si="5">SUM(D61:D69)-D70</f>
        <v>0</v>
      </c>
      <c r="E71" s="193">
        <f t="shared" si="5"/>
        <v>48062418.790000007</v>
      </c>
      <c r="F71" s="193">
        <f t="shared" si="5"/>
        <v>0</v>
      </c>
      <c r="G71" s="193">
        <f t="shared" si="5"/>
        <v>0</v>
      </c>
      <c r="H71" s="193">
        <f t="shared" si="5"/>
        <v>758.92000000000007</v>
      </c>
      <c r="I71" s="193">
        <f t="shared" si="5"/>
        <v>0</v>
      </c>
      <c r="J71" s="193">
        <f t="shared" si="5"/>
        <v>12329251.000000002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40527366.009999998</v>
      </c>
      <c r="Q71" s="193">
        <f t="shared" si="5"/>
        <v>6397711.5</v>
      </c>
      <c r="R71" s="193">
        <f t="shared" si="5"/>
        <v>1241472.2</v>
      </c>
      <c r="S71" s="193">
        <f t="shared" si="5"/>
        <v>2659349.2025842182</v>
      </c>
      <c r="T71" s="193">
        <f t="shared" si="5"/>
        <v>0</v>
      </c>
      <c r="U71" s="193">
        <f t="shared" si="5"/>
        <v>12635470.559999999</v>
      </c>
      <c r="V71" s="193">
        <f t="shared" si="5"/>
        <v>748332.80999999982</v>
      </c>
      <c r="W71" s="193">
        <f t="shared" si="5"/>
        <v>738302.89</v>
      </c>
      <c r="X71" s="193">
        <f t="shared" si="5"/>
        <v>0</v>
      </c>
      <c r="Y71" s="193">
        <f t="shared" si="5"/>
        <v>34979232.449999988</v>
      </c>
      <c r="Z71" s="193">
        <f t="shared" si="5"/>
        <v>3399580.13</v>
      </c>
      <c r="AA71" s="193">
        <f t="shared" si="5"/>
        <v>1579905.16</v>
      </c>
      <c r="AB71" s="193">
        <f t="shared" si="5"/>
        <v>19459686.57</v>
      </c>
      <c r="AC71" s="193">
        <f t="shared" si="5"/>
        <v>7275689.9799999995</v>
      </c>
      <c r="AD71" s="193">
        <f t="shared" si="5"/>
        <v>20653</v>
      </c>
      <c r="AE71" s="193">
        <f t="shared" si="5"/>
        <v>7115973.5900000017</v>
      </c>
      <c r="AF71" s="193">
        <f t="shared" si="5"/>
        <v>0</v>
      </c>
      <c r="AG71" s="193">
        <f t="shared" si="5"/>
        <v>22292096.050000004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0</v>
      </c>
      <c r="AK71" s="193">
        <f t="shared" si="6"/>
        <v>1419635.0299999998</v>
      </c>
      <c r="AL71" s="193">
        <f t="shared" si="6"/>
        <v>644566.48</v>
      </c>
      <c r="AM71" s="193">
        <f t="shared" si="6"/>
        <v>1941.5</v>
      </c>
      <c r="AN71" s="193">
        <f t="shared" si="6"/>
        <v>0</v>
      </c>
      <c r="AO71" s="193">
        <f t="shared" si="6"/>
        <v>0</v>
      </c>
      <c r="AP71" s="193">
        <f t="shared" si="6"/>
        <v>50316696.040000007</v>
      </c>
      <c r="AQ71" s="193">
        <f t="shared" si="6"/>
        <v>0</v>
      </c>
      <c r="AR71" s="193">
        <f t="shared" si="6"/>
        <v>5644.6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4486032.9327999996</v>
      </c>
      <c r="AW71" s="193">
        <f t="shared" si="6"/>
        <v>908821.87000000023</v>
      </c>
      <c r="AX71" s="193">
        <f t="shared" si="6"/>
        <v>1482.5688</v>
      </c>
      <c r="AY71" s="193">
        <f t="shared" si="6"/>
        <v>5769313.4400000004</v>
      </c>
      <c r="AZ71" s="193">
        <f t="shared" si="6"/>
        <v>383313</v>
      </c>
      <c r="BA71" s="193">
        <f t="shared" si="6"/>
        <v>237003.48</v>
      </c>
      <c r="BB71" s="193">
        <f t="shared" si="6"/>
        <v>41793.86</v>
      </c>
      <c r="BC71" s="193">
        <f t="shared" si="6"/>
        <v>1385217.3199999998</v>
      </c>
      <c r="BD71" s="193">
        <f t="shared" si="6"/>
        <v>1341558</v>
      </c>
      <c r="BE71" s="193">
        <f t="shared" si="6"/>
        <v>19317679.104400001</v>
      </c>
      <c r="BF71" s="193">
        <f t="shared" si="6"/>
        <v>5352936.71</v>
      </c>
      <c r="BG71" s="193">
        <f t="shared" si="6"/>
        <v>507906.43079999997</v>
      </c>
      <c r="BH71" s="193">
        <f t="shared" si="6"/>
        <v>485815.51072945457</v>
      </c>
      <c r="BI71" s="193">
        <f t="shared" si="6"/>
        <v>0</v>
      </c>
      <c r="BJ71" s="193">
        <f t="shared" si="6"/>
        <v>1257081.4216116858</v>
      </c>
      <c r="BK71" s="193">
        <f t="shared" si="6"/>
        <v>7602429.3120112997</v>
      </c>
      <c r="BL71" s="193">
        <f t="shared" si="6"/>
        <v>2833893.3419999997</v>
      </c>
      <c r="BM71" s="193">
        <f t="shared" si="6"/>
        <v>0</v>
      </c>
      <c r="BN71" s="193">
        <f t="shared" si="6"/>
        <v>14144988.496499531</v>
      </c>
      <c r="BO71" s="193">
        <f t="shared" si="6"/>
        <v>692286.80639999988</v>
      </c>
      <c r="BP71" s="193">
        <f t="shared" ref="BP71:CC71" si="7">SUM(BP61:BP69)-BP70</f>
        <v>907529.93759999983</v>
      </c>
      <c r="BQ71" s="193">
        <f t="shared" si="7"/>
        <v>0</v>
      </c>
      <c r="BR71" s="193">
        <f t="shared" si="7"/>
        <v>2811904.3319999995</v>
      </c>
      <c r="BS71" s="193">
        <f t="shared" si="7"/>
        <v>108426.83040000001</v>
      </c>
      <c r="BT71" s="193">
        <f t="shared" si="7"/>
        <v>50488.643199999999</v>
      </c>
      <c r="BU71" s="193">
        <f t="shared" si="7"/>
        <v>149819.24040000001</v>
      </c>
      <c r="BV71" s="193">
        <f t="shared" si="7"/>
        <v>4079828.8782781269</v>
      </c>
      <c r="BW71" s="193">
        <f t="shared" si="7"/>
        <v>843887.68584759696</v>
      </c>
      <c r="BX71" s="193">
        <f t="shared" si="7"/>
        <v>3517552.1451690397</v>
      </c>
      <c r="BY71" s="193">
        <f t="shared" si="7"/>
        <v>5346781.4248000002</v>
      </c>
      <c r="BZ71" s="193">
        <f t="shared" si="7"/>
        <v>0</v>
      </c>
      <c r="CA71" s="193">
        <f t="shared" si="7"/>
        <v>2425593.2940000002</v>
      </c>
      <c r="CB71" s="193">
        <f t="shared" si="7"/>
        <v>100497.62880000001</v>
      </c>
      <c r="CC71" s="193">
        <f t="shared" si="7"/>
        <v>35910979.008766063</v>
      </c>
      <c r="CD71" s="240">
        <f>CD69-CD70</f>
        <v>10084530.879999999</v>
      </c>
      <c r="CE71" s="193">
        <f>SUM(CE61:CE69)-CE70</f>
        <v>416239391.84789699</v>
      </c>
      <c r="CF71" s="247"/>
    </row>
    <row r="72" spans="1:84" ht="12.6" customHeight="1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6"/>
      <c r="CF72" s="247"/>
    </row>
    <row r="73" spans="1:84" ht="12.6" customHeight="1">
      <c r="A73" s="171" t="s">
        <v>245</v>
      </c>
      <c r="B73" s="175"/>
      <c r="C73" s="184">
        <v>35915140.589999996</v>
      </c>
      <c r="D73" s="184">
        <v>0</v>
      </c>
      <c r="E73" s="184">
        <v>170614691.40000001</v>
      </c>
      <c r="F73" s="184">
        <v>0</v>
      </c>
      <c r="G73" s="184">
        <v>0</v>
      </c>
      <c r="H73" s="184">
        <v>0</v>
      </c>
      <c r="I73" s="184">
        <v>0</v>
      </c>
      <c r="J73" s="184">
        <v>54213433.839999996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200381096.13999999</v>
      </c>
      <c r="Q73" s="184">
        <v>14855804.67</v>
      </c>
      <c r="R73" s="184">
        <v>7688409.0599999996</v>
      </c>
      <c r="S73" s="184">
        <v>0</v>
      </c>
      <c r="T73" s="184">
        <v>0</v>
      </c>
      <c r="U73" s="184">
        <v>59106063.780000001</v>
      </c>
      <c r="V73" s="184">
        <v>17559487.050000001</v>
      </c>
      <c r="W73" s="184">
        <v>5906412.4300000006</v>
      </c>
      <c r="X73" s="184">
        <v>0</v>
      </c>
      <c r="Y73" s="184">
        <v>127030929.23000002</v>
      </c>
      <c r="Z73" s="184">
        <v>1577825.58</v>
      </c>
      <c r="AA73" s="184">
        <v>5877079.9299999988</v>
      </c>
      <c r="AB73" s="184">
        <v>131781517.73</v>
      </c>
      <c r="AC73" s="184">
        <v>42853671.170000002</v>
      </c>
      <c r="AD73" s="184">
        <v>0</v>
      </c>
      <c r="AE73" s="184">
        <v>5368286.5399999991</v>
      </c>
      <c r="AF73" s="184">
        <v>0</v>
      </c>
      <c r="AG73" s="184">
        <v>49382775.799999997</v>
      </c>
      <c r="AH73" s="184">
        <v>0</v>
      </c>
      <c r="AI73" s="184">
        <v>0</v>
      </c>
      <c r="AJ73" s="184">
        <v>0</v>
      </c>
      <c r="AK73" s="184">
        <v>3076980.6400000006</v>
      </c>
      <c r="AL73" s="184">
        <v>1115434.82</v>
      </c>
      <c r="AM73" s="184">
        <v>0</v>
      </c>
      <c r="AN73" s="184">
        <v>0</v>
      </c>
      <c r="AO73" s="184">
        <v>0</v>
      </c>
      <c r="AP73" s="184">
        <v>4125220.8499999996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880444.84000000008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3">
        <f t="shared" ref="CE73:CE80" si="8">SUM(C73:CD73)</f>
        <v>939310706.08999991</v>
      </c>
      <c r="CF73" s="247"/>
    </row>
    <row r="74" spans="1:84" ht="12.6" customHeight="1">
      <c r="A74" s="171" t="s">
        <v>246</v>
      </c>
      <c r="B74" s="175"/>
      <c r="C74" s="184">
        <v>23794.14</v>
      </c>
      <c r="D74" s="184">
        <v>0</v>
      </c>
      <c r="E74" s="184">
        <v>17986574.299999997</v>
      </c>
      <c r="F74" s="184">
        <v>0</v>
      </c>
      <c r="G74" s="184">
        <v>0</v>
      </c>
      <c r="H74" s="184">
        <v>0</v>
      </c>
      <c r="I74" s="184">
        <v>0</v>
      </c>
      <c r="J74" s="184">
        <v>4821821.8800000008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179625000.22</v>
      </c>
      <c r="Q74" s="184">
        <v>34526114.310000002</v>
      </c>
      <c r="R74" s="184">
        <v>12974756.469999999</v>
      </c>
      <c r="S74" s="184">
        <v>0</v>
      </c>
      <c r="T74" s="184">
        <v>0</v>
      </c>
      <c r="U74" s="184">
        <v>31687412.160000004</v>
      </c>
      <c r="V74" s="184">
        <v>10763638.25</v>
      </c>
      <c r="W74" s="184">
        <v>13123360.560000002</v>
      </c>
      <c r="X74" s="184">
        <v>0</v>
      </c>
      <c r="Y74" s="184">
        <v>230429891.12</v>
      </c>
      <c r="Z74" s="184">
        <v>37030461.600000001</v>
      </c>
      <c r="AA74" s="184">
        <v>10832039.209999999</v>
      </c>
      <c r="AB74" s="184">
        <v>80840992.319999993</v>
      </c>
      <c r="AC74" s="184">
        <v>17291753.16</v>
      </c>
      <c r="AD74" s="184">
        <v>0</v>
      </c>
      <c r="AE74" s="184">
        <v>18349243.460000001</v>
      </c>
      <c r="AF74" s="184">
        <v>0</v>
      </c>
      <c r="AG74" s="184">
        <v>188542384.49000001</v>
      </c>
      <c r="AH74" s="184">
        <v>0</v>
      </c>
      <c r="AI74" s="184">
        <v>0</v>
      </c>
      <c r="AJ74" s="184">
        <v>0</v>
      </c>
      <c r="AK74" s="184">
        <v>3185250.48</v>
      </c>
      <c r="AL74" s="184">
        <v>1926206.3699999999</v>
      </c>
      <c r="AM74" s="184">
        <v>0</v>
      </c>
      <c r="AN74" s="184">
        <v>0</v>
      </c>
      <c r="AO74" s="184">
        <v>0</v>
      </c>
      <c r="AP74" s="184">
        <v>281319874.14999998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3919424.18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3">
        <f t="shared" si="8"/>
        <v>1179199992.8300002</v>
      </c>
      <c r="CF74" s="247"/>
    </row>
    <row r="75" spans="1:84" ht="12.6" customHeight="1">
      <c r="A75" s="171" t="s">
        <v>247</v>
      </c>
      <c r="B75" s="175"/>
      <c r="C75" s="193">
        <f t="shared" ref="C75:AV75" si="9">SUM(C73:C74)</f>
        <v>35938934.729999997</v>
      </c>
      <c r="D75" s="193">
        <f t="shared" si="9"/>
        <v>0</v>
      </c>
      <c r="E75" s="193">
        <f t="shared" si="9"/>
        <v>188601265.69999999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59035255.719999999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380006096.36000001</v>
      </c>
      <c r="Q75" s="193">
        <f t="shared" si="9"/>
        <v>49381918.980000004</v>
      </c>
      <c r="R75" s="193">
        <f t="shared" si="9"/>
        <v>20663165.529999997</v>
      </c>
      <c r="S75" s="193">
        <f t="shared" si="9"/>
        <v>0</v>
      </c>
      <c r="T75" s="193">
        <f t="shared" si="9"/>
        <v>0</v>
      </c>
      <c r="U75" s="193">
        <f t="shared" si="9"/>
        <v>90793475.939999998</v>
      </c>
      <c r="V75" s="193">
        <f t="shared" si="9"/>
        <v>28323125.300000001</v>
      </c>
      <c r="W75" s="193">
        <f t="shared" si="9"/>
        <v>19029772.990000002</v>
      </c>
      <c r="X75" s="193">
        <f t="shared" si="9"/>
        <v>0</v>
      </c>
      <c r="Y75" s="193">
        <f t="shared" si="9"/>
        <v>357460820.35000002</v>
      </c>
      <c r="Z75" s="193">
        <f t="shared" si="9"/>
        <v>38608287.18</v>
      </c>
      <c r="AA75" s="193">
        <f t="shared" si="9"/>
        <v>16709119.139999997</v>
      </c>
      <c r="AB75" s="193">
        <f t="shared" si="9"/>
        <v>212622510.05000001</v>
      </c>
      <c r="AC75" s="193">
        <f t="shared" si="9"/>
        <v>60145424.329999998</v>
      </c>
      <c r="AD75" s="193">
        <f t="shared" si="9"/>
        <v>0</v>
      </c>
      <c r="AE75" s="193">
        <f t="shared" si="9"/>
        <v>23717530</v>
      </c>
      <c r="AF75" s="193">
        <f t="shared" si="9"/>
        <v>0</v>
      </c>
      <c r="AG75" s="193">
        <f t="shared" si="9"/>
        <v>237925160.29000002</v>
      </c>
      <c r="AH75" s="193">
        <f t="shared" si="9"/>
        <v>0</v>
      </c>
      <c r="AI75" s="193">
        <f t="shared" si="9"/>
        <v>0</v>
      </c>
      <c r="AJ75" s="193">
        <f t="shared" si="9"/>
        <v>0</v>
      </c>
      <c r="AK75" s="193">
        <f t="shared" si="9"/>
        <v>6262231.120000001</v>
      </c>
      <c r="AL75" s="193">
        <f t="shared" si="9"/>
        <v>3041641.19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285445095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4799869.0200000005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3">
        <f t="shared" si="8"/>
        <v>2118510698.9199998</v>
      </c>
      <c r="CF75" s="247"/>
    </row>
    <row r="76" spans="1:84" ht="12.6" customHeight="1">
      <c r="A76" s="171" t="s">
        <v>248</v>
      </c>
      <c r="B76" s="175"/>
      <c r="C76" s="184">
        <v>8800</v>
      </c>
      <c r="D76" s="184">
        <v>0</v>
      </c>
      <c r="E76" s="184">
        <v>90290</v>
      </c>
      <c r="F76" s="184">
        <v>0</v>
      </c>
      <c r="G76" s="184">
        <v>0</v>
      </c>
      <c r="H76" s="184">
        <v>0</v>
      </c>
      <c r="I76" s="184">
        <v>0</v>
      </c>
      <c r="J76" s="184">
        <v>16041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58788</v>
      </c>
      <c r="Q76" s="184">
        <v>8627</v>
      </c>
      <c r="R76" s="184">
        <v>116</v>
      </c>
      <c r="S76" s="184">
        <v>8419</v>
      </c>
      <c r="T76" s="184">
        <v>0</v>
      </c>
      <c r="U76" s="184">
        <v>13374</v>
      </c>
      <c r="V76" s="184">
        <v>0</v>
      </c>
      <c r="W76" s="184">
        <v>2192</v>
      </c>
      <c r="X76" s="184">
        <v>0</v>
      </c>
      <c r="Y76" s="184">
        <v>23073</v>
      </c>
      <c r="Z76" s="184">
        <v>11773</v>
      </c>
      <c r="AA76" s="184">
        <v>0</v>
      </c>
      <c r="AB76" s="184">
        <v>5552</v>
      </c>
      <c r="AC76" s="184">
        <v>7609</v>
      </c>
      <c r="AD76" s="184">
        <v>810</v>
      </c>
      <c r="AE76" s="184">
        <v>21850</v>
      </c>
      <c r="AF76" s="184">
        <v>0</v>
      </c>
      <c r="AG76" s="184">
        <v>28510</v>
      </c>
      <c r="AH76" s="184">
        <v>0</v>
      </c>
      <c r="AI76" s="184">
        <v>0</v>
      </c>
      <c r="AJ76" s="184">
        <v>0</v>
      </c>
      <c r="AK76" s="184">
        <v>4681</v>
      </c>
      <c r="AL76" s="184">
        <v>1540</v>
      </c>
      <c r="AM76" s="184">
        <v>0</v>
      </c>
      <c r="AN76" s="184">
        <v>0</v>
      </c>
      <c r="AO76" s="184">
        <v>0</v>
      </c>
      <c r="AP76" s="184">
        <v>142342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3169</v>
      </c>
      <c r="AW76" s="184">
        <v>0</v>
      </c>
      <c r="AX76" s="184">
        <v>0</v>
      </c>
      <c r="AY76" s="184">
        <v>4119</v>
      </c>
      <c r="AZ76" s="184">
        <v>15033</v>
      </c>
      <c r="BA76" s="184">
        <v>3718</v>
      </c>
      <c r="BB76" s="184">
        <v>1144</v>
      </c>
      <c r="BC76" s="184">
        <v>0</v>
      </c>
      <c r="BD76" s="184">
        <v>52614</v>
      </c>
      <c r="BE76" s="184">
        <v>92151</v>
      </c>
      <c r="BF76" s="184">
        <v>10852</v>
      </c>
      <c r="BG76" s="184">
        <v>0</v>
      </c>
      <c r="BH76" s="184">
        <v>0</v>
      </c>
      <c r="BI76" s="184">
        <v>0</v>
      </c>
      <c r="BJ76" s="184">
        <v>0</v>
      </c>
      <c r="BK76" s="184">
        <v>0</v>
      </c>
      <c r="BL76" s="184">
        <v>0</v>
      </c>
      <c r="BM76" s="184">
        <v>0</v>
      </c>
      <c r="BN76" s="184">
        <v>0</v>
      </c>
      <c r="BO76" s="184">
        <v>0</v>
      </c>
      <c r="BP76" s="184">
        <v>0</v>
      </c>
      <c r="BQ76" s="184">
        <v>0</v>
      </c>
      <c r="BR76" s="184">
        <v>3982</v>
      </c>
      <c r="BS76" s="184">
        <v>4251</v>
      </c>
      <c r="BT76" s="184">
        <v>0</v>
      </c>
      <c r="BU76" s="184">
        <v>2688</v>
      </c>
      <c r="BV76" s="184">
        <v>7535</v>
      </c>
      <c r="BW76" s="184">
        <v>0</v>
      </c>
      <c r="BX76" s="184">
        <v>0</v>
      </c>
      <c r="BY76" s="184">
        <v>2637</v>
      </c>
      <c r="BZ76" s="184">
        <v>0</v>
      </c>
      <c r="CA76" s="184">
        <v>1853</v>
      </c>
      <c r="CB76" s="184">
        <v>0</v>
      </c>
      <c r="CC76" s="184">
        <v>0</v>
      </c>
      <c r="CD76" s="244" t="s">
        <v>221</v>
      </c>
      <c r="CE76" s="193">
        <f t="shared" si="8"/>
        <v>660133</v>
      </c>
      <c r="CF76" s="193">
        <f>BE59-CE76</f>
        <v>0</v>
      </c>
    </row>
    <row r="77" spans="1:84" ht="12.6" customHeight="1">
      <c r="A77" s="171" t="s">
        <v>249</v>
      </c>
      <c r="B77" s="175"/>
      <c r="C77" s="184">
        <v>5475</v>
      </c>
      <c r="D77" s="184">
        <v>0</v>
      </c>
      <c r="E77" s="184">
        <v>211639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32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7607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4" t="s">
        <v>221</v>
      </c>
      <c r="AY77" s="244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4" t="s">
        <v>221</v>
      </c>
      <c r="BE77" s="244" t="s">
        <v>221</v>
      </c>
      <c r="BF77" s="184">
        <v>0</v>
      </c>
      <c r="BG77" s="244" t="s">
        <v>221</v>
      </c>
      <c r="BH77" s="184">
        <v>0</v>
      </c>
      <c r="BI77" s="184">
        <v>0</v>
      </c>
      <c r="BJ77" s="244" t="s">
        <v>221</v>
      </c>
      <c r="BK77" s="184">
        <v>0</v>
      </c>
      <c r="BL77" s="184">
        <v>0</v>
      </c>
      <c r="BM77" s="184">
        <v>0</v>
      </c>
      <c r="BN77" s="244" t="s">
        <v>221</v>
      </c>
      <c r="BO77" s="244" t="s">
        <v>221</v>
      </c>
      <c r="BP77" s="244" t="s">
        <v>221</v>
      </c>
      <c r="BQ77" s="244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4" t="s">
        <v>221</v>
      </c>
      <c r="CD77" s="244" t="s">
        <v>221</v>
      </c>
      <c r="CE77" s="193">
        <f>SUM(C77:CD77)</f>
        <v>224753</v>
      </c>
      <c r="CF77" s="193">
        <f>AY59-CE77</f>
        <v>0</v>
      </c>
    </row>
    <row r="78" spans="1:84" ht="12.6" customHeight="1">
      <c r="A78" s="171" t="s">
        <v>250</v>
      </c>
      <c r="B78" s="175"/>
      <c r="C78" s="184">
        <v>2050.7113934463691</v>
      </c>
      <c r="D78" s="184">
        <v>0</v>
      </c>
      <c r="E78" s="184">
        <v>21040.764967530984</v>
      </c>
      <c r="F78" s="184">
        <v>0</v>
      </c>
      <c r="G78" s="184">
        <v>0</v>
      </c>
      <c r="H78" s="184">
        <v>0</v>
      </c>
      <c r="I78" s="184">
        <v>0</v>
      </c>
      <c r="J78" s="184">
        <v>3738.1206207128644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13699.684249764221</v>
      </c>
      <c r="Q78" s="184">
        <v>2010.3962717342986</v>
      </c>
      <c r="R78" s="184">
        <v>27.032104731793048</v>
      </c>
      <c r="S78" s="184">
        <v>1961.9249115255661</v>
      </c>
      <c r="T78" s="184">
        <v>0</v>
      </c>
      <c r="U78" s="184">
        <v>3116.6152472672434</v>
      </c>
      <c r="V78" s="184">
        <v>0</v>
      </c>
      <c r="W78" s="184">
        <v>510.81356527664104</v>
      </c>
      <c r="X78" s="184">
        <v>0</v>
      </c>
      <c r="Y78" s="184">
        <v>5376.8254523850082</v>
      </c>
      <c r="Z78" s="184">
        <v>2743.5255948913755</v>
      </c>
      <c r="AA78" s="184">
        <v>0</v>
      </c>
      <c r="AB78" s="184">
        <v>1293.8124609561637</v>
      </c>
      <c r="AC78" s="184">
        <v>1773.1662491742527</v>
      </c>
      <c r="AD78" s="184">
        <v>188.75866235131352</v>
      </c>
      <c r="AE78" s="184">
        <v>5091.8231757730873</v>
      </c>
      <c r="AF78" s="184">
        <v>0</v>
      </c>
      <c r="AG78" s="184">
        <v>6643.8388439949986</v>
      </c>
      <c r="AH78" s="184">
        <v>0</v>
      </c>
      <c r="AI78" s="184">
        <v>0</v>
      </c>
      <c r="AJ78" s="184">
        <v>0</v>
      </c>
      <c r="AK78" s="184">
        <v>1090.8386400820971</v>
      </c>
      <c r="AL78" s="184">
        <v>358.87449385311459</v>
      </c>
      <c r="AM78" s="184">
        <v>0</v>
      </c>
      <c r="AN78" s="184">
        <v>0</v>
      </c>
      <c r="AO78" s="184">
        <v>0</v>
      </c>
      <c r="AP78" s="184">
        <v>33170.722859766254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738.48913702631182</v>
      </c>
      <c r="AW78" s="184">
        <v>0</v>
      </c>
      <c r="AX78" s="244" t="s">
        <v>221</v>
      </c>
      <c r="AY78" s="244" t="s">
        <v>221</v>
      </c>
      <c r="AZ78" s="244" t="s">
        <v>221</v>
      </c>
      <c r="BA78" s="184">
        <v>866.42556373109096</v>
      </c>
      <c r="BB78" s="184">
        <v>266.59248114802796</v>
      </c>
      <c r="BC78" s="184"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v>0</v>
      </c>
      <c r="BI78" s="184">
        <v>0</v>
      </c>
      <c r="BJ78" s="244" t="s">
        <v>221</v>
      </c>
      <c r="BK78" s="184">
        <v>0</v>
      </c>
      <c r="BL78" s="184">
        <v>0</v>
      </c>
      <c r="BM78" s="184"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v>990.63342426596762</v>
      </c>
      <c r="BT78" s="184">
        <v>0</v>
      </c>
      <c r="BU78" s="184">
        <v>626.39911654361822</v>
      </c>
      <c r="BV78" s="184">
        <v>1755.9216306384535</v>
      </c>
      <c r="BW78" s="184">
        <v>0</v>
      </c>
      <c r="BX78" s="184">
        <v>0</v>
      </c>
      <c r="BY78" s="184">
        <v>614.51431187705396</v>
      </c>
      <c r="BZ78" s="184">
        <v>0</v>
      </c>
      <c r="CA78" s="184">
        <v>431.81456955183205</v>
      </c>
      <c r="CB78" s="184">
        <v>0</v>
      </c>
      <c r="CC78" s="244" t="s">
        <v>221</v>
      </c>
      <c r="CD78" s="244" t="s">
        <v>221</v>
      </c>
      <c r="CE78" s="193">
        <f t="shared" si="8"/>
        <v>112179.03999999998</v>
      </c>
      <c r="CF78" s="193"/>
    </row>
    <row r="79" spans="1:84" ht="12.6" customHeight="1">
      <c r="A79" s="171" t="s">
        <v>251</v>
      </c>
      <c r="B79" s="175"/>
      <c r="C79" s="221">
        <v>62458</v>
      </c>
      <c r="D79" s="221">
        <v>0</v>
      </c>
      <c r="E79" s="184">
        <v>568818</v>
      </c>
      <c r="F79" s="184">
        <v>87663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f>54159+277255</f>
        <v>331414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83226</v>
      </c>
      <c r="Z79" s="184">
        <v>26971</v>
      </c>
      <c r="AA79" s="184">
        <v>0</v>
      </c>
      <c r="AB79" s="184">
        <v>0</v>
      </c>
      <c r="AC79" s="184">
        <v>14667</v>
      </c>
      <c r="AD79" s="184">
        <v>0</v>
      </c>
      <c r="AE79" s="184">
        <f>2777+36643</f>
        <v>39420</v>
      </c>
      <c r="AF79" s="184">
        <v>0</v>
      </c>
      <c r="AG79" s="184">
        <f>361994+132522</f>
        <v>494516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12153</v>
      </c>
      <c r="AW79" s="184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184">
        <v>17</v>
      </c>
      <c r="BC79" s="184">
        <v>0</v>
      </c>
      <c r="BD79" s="244" t="s">
        <v>221</v>
      </c>
      <c r="BE79" s="244" t="s">
        <v>221</v>
      </c>
      <c r="BF79" s="244" t="s">
        <v>221</v>
      </c>
      <c r="BG79" s="244" t="s">
        <v>221</v>
      </c>
      <c r="BH79" s="184">
        <v>0</v>
      </c>
      <c r="BI79" s="184">
        <v>0</v>
      </c>
      <c r="BJ79" s="244" t="s">
        <v>221</v>
      </c>
      <c r="BK79" s="184">
        <v>0</v>
      </c>
      <c r="BL79" s="184">
        <v>0</v>
      </c>
      <c r="BM79" s="184">
        <v>0</v>
      </c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4" t="s">
        <v>221</v>
      </c>
      <c r="CD79" s="244" t="s">
        <v>221</v>
      </c>
      <c r="CE79" s="193">
        <f t="shared" si="8"/>
        <v>1721323</v>
      </c>
      <c r="CF79" s="193">
        <f>BA59</f>
        <v>0</v>
      </c>
    </row>
    <row r="80" spans="1:84" ht="21" customHeight="1">
      <c r="A80" s="171" t="s">
        <v>252</v>
      </c>
      <c r="B80" s="175"/>
      <c r="C80" s="184">
        <v>38.202889423076918</v>
      </c>
      <c r="D80" s="184">
        <v>0</v>
      </c>
      <c r="E80" s="184">
        <v>188.60412980769235</v>
      </c>
      <c r="F80" s="184">
        <v>0</v>
      </c>
      <c r="G80" s="184">
        <v>0</v>
      </c>
      <c r="H80" s="184">
        <v>0</v>
      </c>
      <c r="I80" s="184">
        <v>0</v>
      </c>
      <c r="J80" s="184">
        <v>50.489173076923073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44.0063125</v>
      </c>
      <c r="Q80" s="184">
        <v>30.477942307692309</v>
      </c>
      <c r="R80" s="184">
        <v>1.9920865384615383</v>
      </c>
      <c r="S80" s="184">
        <v>0</v>
      </c>
      <c r="T80" s="184">
        <v>0</v>
      </c>
      <c r="U80" s="184">
        <v>0</v>
      </c>
      <c r="V80" s="184">
        <v>0</v>
      </c>
      <c r="W80" s="184">
        <v>0</v>
      </c>
      <c r="X80" s="184">
        <v>0</v>
      </c>
      <c r="Y80" s="184">
        <v>18.236288461538461</v>
      </c>
      <c r="Z80" s="184">
        <v>2.7257451923076923</v>
      </c>
      <c r="AA80" s="184">
        <v>4.5673076923076926E-3</v>
      </c>
      <c r="AB80" s="184">
        <v>3.8461538461538464E-3</v>
      </c>
      <c r="AC80" s="184">
        <v>1.6673125000000002</v>
      </c>
      <c r="AD80" s="184">
        <v>0</v>
      </c>
      <c r="AE80" s="184">
        <v>5.4577067307692309</v>
      </c>
      <c r="AF80" s="184">
        <v>0</v>
      </c>
      <c r="AG80" s="184">
        <v>63.567543269230775</v>
      </c>
      <c r="AH80" s="184">
        <v>0</v>
      </c>
      <c r="AI80" s="184">
        <v>0</v>
      </c>
      <c r="AJ80" s="184">
        <v>0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38.679240384615376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0.58679807692307695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484.70158173076919</v>
      </c>
      <c r="CF80" s="250"/>
    </row>
    <row r="81" spans="1:5" ht="12.6" customHeight="1">
      <c r="A81" s="206" t="s">
        <v>253</v>
      </c>
      <c r="B81" s="206"/>
      <c r="C81" s="206"/>
      <c r="D81" s="206"/>
      <c r="E81" s="206"/>
    </row>
    <row r="82" spans="1:5" ht="12.6" customHeight="1">
      <c r="A82" s="171" t="s">
        <v>254</v>
      </c>
      <c r="B82" s="172"/>
      <c r="C82" s="276" t="s">
        <v>1265</v>
      </c>
      <c r="D82" s="251"/>
      <c r="E82" s="175"/>
    </row>
    <row r="83" spans="1:5" ht="12.6" customHeight="1">
      <c r="A83" s="173" t="s">
        <v>255</v>
      </c>
      <c r="B83" s="172" t="s">
        <v>256</v>
      </c>
      <c r="C83" s="222" t="s">
        <v>1273</v>
      </c>
      <c r="D83" s="251"/>
      <c r="E83" s="175"/>
    </row>
    <row r="84" spans="1:5" ht="12.6" customHeight="1">
      <c r="A84" s="173" t="s">
        <v>257</v>
      </c>
      <c r="B84" s="172" t="s">
        <v>256</v>
      </c>
      <c r="C84" s="225" t="s">
        <v>1274</v>
      </c>
      <c r="D84" s="203"/>
      <c r="E84" s="202"/>
    </row>
    <row r="85" spans="1:5" ht="12.6" customHeight="1">
      <c r="A85" s="173" t="s">
        <v>1251</v>
      </c>
      <c r="B85" s="172"/>
      <c r="C85" s="265" t="s">
        <v>1275</v>
      </c>
      <c r="D85" s="203"/>
      <c r="E85" s="202"/>
    </row>
    <row r="86" spans="1:5" ht="12.6" customHeight="1">
      <c r="A86" s="173" t="s">
        <v>1252</v>
      </c>
      <c r="B86" s="172" t="s">
        <v>256</v>
      </c>
      <c r="C86" s="226" t="s">
        <v>1275</v>
      </c>
      <c r="D86" s="203"/>
      <c r="E86" s="202"/>
    </row>
    <row r="87" spans="1:5" ht="12.6" customHeight="1">
      <c r="A87" s="173" t="s">
        <v>258</v>
      </c>
      <c r="B87" s="172" t="s">
        <v>256</v>
      </c>
      <c r="C87" s="225" t="s">
        <v>1276</v>
      </c>
      <c r="D87" s="203"/>
      <c r="E87" s="202"/>
    </row>
    <row r="88" spans="1:5" ht="12.6" customHeight="1">
      <c r="A88" s="173" t="s">
        <v>259</v>
      </c>
      <c r="B88" s="172" t="s">
        <v>256</v>
      </c>
      <c r="C88" s="225" t="s">
        <v>1277</v>
      </c>
      <c r="D88" s="203"/>
      <c r="E88" s="202"/>
    </row>
    <row r="89" spans="1:5" ht="12.6" customHeight="1">
      <c r="A89" s="173" t="s">
        <v>260</v>
      </c>
      <c r="B89" s="172" t="s">
        <v>256</v>
      </c>
      <c r="C89" s="222" t="s">
        <v>1268</v>
      </c>
      <c r="D89" s="203"/>
      <c r="E89" s="202"/>
    </row>
    <row r="90" spans="1:5" ht="12.6" customHeight="1">
      <c r="A90" s="173" t="s">
        <v>261</v>
      </c>
      <c r="B90" s="172" t="s">
        <v>256</v>
      </c>
      <c r="C90" s="222" t="s">
        <v>1269</v>
      </c>
      <c r="D90" s="203"/>
      <c r="E90" s="202"/>
    </row>
    <row r="91" spans="1:5" ht="12.6" customHeight="1">
      <c r="A91" s="173" t="s">
        <v>262</v>
      </c>
      <c r="B91" s="172" t="s">
        <v>256</v>
      </c>
      <c r="C91" s="222" t="s">
        <v>1270</v>
      </c>
      <c r="D91" s="203"/>
      <c r="E91" s="202"/>
    </row>
    <row r="92" spans="1:5" ht="12.6" customHeight="1">
      <c r="A92" s="173" t="s">
        <v>263</v>
      </c>
      <c r="B92" s="172" t="s">
        <v>256</v>
      </c>
      <c r="C92" s="222" t="s">
        <v>1271</v>
      </c>
      <c r="D92" s="251"/>
      <c r="E92" s="175"/>
    </row>
    <row r="93" spans="1:5" ht="12.6" customHeight="1">
      <c r="A93" s="173" t="s">
        <v>264</v>
      </c>
      <c r="B93" s="172" t="s">
        <v>256</v>
      </c>
      <c r="C93" s="222" t="s">
        <v>1272</v>
      </c>
      <c r="D93" s="251"/>
      <c r="E93" s="175"/>
    </row>
    <row r="94" spans="1:5" ht="12.6" customHeight="1">
      <c r="A94" s="173"/>
      <c r="B94" s="173"/>
      <c r="C94" s="189"/>
      <c r="D94" s="175"/>
      <c r="E94" s="175"/>
    </row>
    <row r="95" spans="1:5" ht="12.6" customHeight="1">
      <c r="A95" s="206" t="s">
        <v>265</v>
      </c>
      <c r="B95" s="206"/>
      <c r="C95" s="206"/>
      <c r="D95" s="206"/>
      <c r="E95" s="206"/>
    </row>
    <row r="96" spans="1:5" ht="12.6" customHeight="1">
      <c r="A96" s="252" t="s">
        <v>266</v>
      </c>
      <c r="B96" s="252"/>
      <c r="C96" s="252"/>
      <c r="D96" s="252"/>
      <c r="E96" s="252"/>
    </row>
    <row r="97" spans="1:5" ht="12.6" customHeight="1">
      <c r="A97" s="173" t="s">
        <v>267</v>
      </c>
      <c r="B97" s="172" t="s">
        <v>256</v>
      </c>
      <c r="C97" s="187"/>
      <c r="D97" s="175"/>
      <c r="E97" s="175"/>
    </row>
    <row r="98" spans="1:5" ht="12.6" customHeight="1">
      <c r="A98" s="173" t="s">
        <v>259</v>
      </c>
      <c r="B98" s="172" t="s">
        <v>256</v>
      </c>
      <c r="C98" s="187"/>
      <c r="D98" s="175"/>
      <c r="E98" s="175"/>
    </row>
    <row r="99" spans="1:5" ht="12.6" customHeight="1">
      <c r="A99" s="173" t="s">
        <v>268</v>
      </c>
      <c r="B99" s="172" t="s">
        <v>256</v>
      </c>
      <c r="C99" s="187"/>
      <c r="D99" s="175"/>
      <c r="E99" s="175"/>
    </row>
    <row r="100" spans="1:5" ht="12.6" customHeight="1">
      <c r="A100" s="252" t="s">
        <v>269</v>
      </c>
      <c r="B100" s="252"/>
      <c r="C100" s="252"/>
      <c r="D100" s="252"/>
      <c r="E100" s="252"/>
    </row>
    <row r="101" spans="1:5" ht="12.6" customHeight="1">
      <c r="A101" s="173" t="s">
        <v>270</v>
      </c>
      <c r="B101" s="172" t="s">
        <v>256</v>
      </c>
      <c r="C101" s="187"/>
      <c r="D101" s="175"/>
      <c r="E101" s="175"/>
    </row>
    <row r="102" spans="1:5" ht="12.6" customHeight="1">
      <c r="A102" s="173" t="s">
        <v>132</v>
      </c>
      <c r="B102" s="172" t="s">
        <v>256</v>
      </c>
      <c r="C102" s="219">
        <v>1</v>
      </c>
      <c r="D102" s="175"/>
      <c r="E102" s="175"/>
    </row>
    <row r="103" spans="1:5" ht="12.6" customHeight="1">
      <c r="A103" s="252" t="s">
        <v>271</v>
      </c>
      <c r="B103" s="252"/>
      <c r="C103" s="252"/>
      <c r="D103" s="252"/>
      <c r="E103" s="252"/>
    </row>
    <row r="104" spans="1:5" ht="12.6" customHeight="1">
      <c r="A104" s="173" t="s">
        <v>272</v>
      </c>
      <c r="B104" s="172" t="s">
        <v>256</v>
      </c>
      <c r="C104" s="187"/>
      <c r="D104" s="175"/>
      <c r="E104" s="175"/>
    </row>
    <row r="105" spans="1:5" ht="12.6" customHeight="1">
      <c r="A105" s="173" t="s">
        <v>273</v>
      </c>
      <c r="B105" s="172" t="s">
        <v>256</v>
      </c>
      <c r="C105" s="187"/>
      <c r="D105" s="175"/>
      <c r="E105" s="175"/>
    </row>
    <row r="106" spans="1:5" ht="12.6" customHeight="1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>
      <c r="A107" s="173"/>
      <c r="B107" s="172"/>
      <c r="C107" s="188"/>
      <c r="D107" s="175"/>
      <c r="E107" s="175"/>
    </row>
    <row r="108" spans="1:5" ht="13.5" customHeight="1">
      <c r="A108" s="205" t="s">
        <v>275</v>
      </c>
      <c r="B108" s="206"/>
      <c r="C108" s="206"/>
      <c r="D108" s="206"/>
      <c r="E108" s="206"/>
    </row>
    <row r="109" spans="1:5" ht="13.5" customHeight="1">
      <c r="A109" s="173"/>
      <c r="B109" s="172"/>
      <c r="C109" s="188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7">
        <v>13266</v>
      </c>
      <c r="D111" s="174">
        <v>59591</v>
      </c>
      <c r="E111" s="175"/>
    </row>
    <row r="112" spans="1:5" ht="12.6" customHeight="1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>
      <c r="A114" s="173" t="s">
        <v>281</v>
      </c>
      <c r="B114" s="172" t="s">
        <v>256</v>
      </c>
      <c r="C114" s="187">
        <v>1977</v>
      </c>
      <c r="D114" s="174">
        <v>3905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7">
        <v>20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7">
        <v>30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7">
        <v>177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7">
        <v>20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>
      <c r="A124" s="173" t="s">
        <v>289</v>
      </c>
      <c r="B124" s="172"/>
      <c r="C124" s="187">
        <v>0</v>
      </c>
      <c r="D124" s="175"/>
      <c r="E124" s="175"/>
    </row>
    <row r="125" spans="1:5" ht="12.6" customHeight="1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>
      <c r="A126" s="173" t="s">
        <v>290</v>
      </c>
      <c r="B126" s="172" t="s">
        <v>256</v>
      </c>
      <c r="C126" s="187">
        <v>24</v>
      </c>
      <c r="D126" s="175"/>
      <c r="E126" s="175"/>
    </row>
    <row r="127" spans="1:5" ht="12.6" customHeight="1">
      <c r="A127" s="173" t="s">
        <v>291</v>
      </c>
      <c r="B127" s="175"/>
      <c r="C127" s="189"/>
      <c r="D127" s="175"/>
      <c r="E127" s="175">
        <f>SUM(C116:C126)</f>
        <v>271</v>
      </c>
    </row>
    <row r="128" spans="1:5" ht="12.6" customHeight="1">
      <c r="A128" s="173" t="s">
        <v>292</v>
      </c>
      <c r="B128" s="172" t="s">
        <v>256</v>
      </c>
      <c r="C128" s="187">
        <v>336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7">
        <v>10</v>
      </c>
      <c r="D129" s="175"/>
      <c r="E129" s="175"/>
    </row>
    <row r="130" spans="1:6" ht="12.6" customHeight="1">
      <c r="A130" s="173"/>
      <c r="B130" s="175"/>
      <c r="C130" s="189"/>
      <c r="D130" s="175"/>
      <c r="E130" s="175"/>
    </row>
    <row r="131" spans="1:6" ht="12.6" customHeight="1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>
      <c r="A132" s="173"/>
      <c r="B132" s="173"/>
      <c r="C132" s="189"/>
      <c r="D132" s="175"/>
      <c r="E132" s="175"/>
    </row>
    <row r="133" spans="1:6" ht="12.6" customHeight="1">
      <c r="A133" s="173"/>
      <c r="B133" s="173"/>
      <c r="C133" s="189"/>
      <c r="D133" s="175"/>
      <c r="E133" s="175"/>
    </row>
    <row r="134" spans="1:6" ht="12.6" customHeight="1">
      <c r="A134" s="173"/>
      <c r="B134" s="173"/>
      <c r="C134" s="189"/>
      <c r="D134" s="175"/>
      <c r="E134" s="175"/>
    </row>
    <row r="135" spans="1:6" ht="18" customHeight="1">
      <c r="A135" s="173"/>
      <c r="B135" s="173"/>
      <c r="C135" s="189"/>
      <c r="D135" s="175"/>
      <c r="E135" s="175"/>
    </row>
    <row r="136" spans="1:6" ht="12.6" customHeight="1">
      <c r="A136" s="206" t="s">
        <v>1240</v>
      </c>
      <c r="B136" s="205"/>
      <c r="C136" s="205"/>
      <c r="D136" s="205"/>
      <c r="E136" s="205"/>
    </row>
    <row r="137" spans="1:6" ht="12.6" customHeight="1">
      <c r="A137" s="253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f>6019+1174+5</f>
        <v>7198</v>
      </c>
      <c r="C138" s="187">
        <f>315+2046+1</f>
        <v>2362</v>
      </c>
      <c r="D138" s="174">
        <f>2859+15+689+95+48</f>
        <v>3706</v>
      </c>
      <c r="E138" s="175">
        <f>SUM(B138:D138)</f>
        <v>13266</v>
      </c>
    </row>
    <row r="139" spans="1:6" ht="12.6" customHeight="1">
      <c r="A139" s="173" t="s">
        <v>215</v>
      </c>
      <c r="B139" s="174">
        <f>30681+6214</f>
        <v>36895</v>
      </c>
      <c r="C139" s="187">
        <f>1523+9021+3</f>
        <v>10547</v>
      </c>
      <c r="D139" s="174">
        <f>9166+44+2453+341+145</f>
        <v>12149</v>
      </c>
      <c r="E139" s="175">
        <f>SUM(B139:D139)</f>
        <v>59591</v>
      </c>
    </row>
    <row r="140" spans="1:6" ht="12.6" customHeight="1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>
      <c r="A141" s="173" t="s">
        <v>245</v>
      </c>
      <c r="B141" s="174">
        <v>581589541.22000003</v>
      </c>
      <c r="C141" s="187">
        <v>145031875.62</v>
      </c>
      <c r="D141" s="174">
        <f>11295147.69+52514414.63+95332656.06+6418795.74+47128275.13</f>
        <v>212689289.25</v>
      </c>
      <c r="E141" s="175">
        <f>SUM(B141:D141)</f>
        <v>939310706.09000003</v>
      </c>
      <c r="F141" s="197"/>
    </row>
    <row r="142" spans="1:6" ht="12.6" customHeight="1">
      <c r="A142" s="173" t="s">
        <v>246</v>
      </c>
      <c r="B142" s="174">
        <f>515861313.41+1400+523247</f>
        <v>516385960.41000003</v>
      </c>
      <c r="C142" s="187">
        <f>218334587.02+18067+879546.09</f>
        <v>219232200.11000001</v>
      </c>
      <c r="D142" s="174">
        <f>24950592.16+108453802.89+191145122.4+17139223.66+100458920.67+4267+3571+10755+515+13149+93559.61+185475.51+681752.92+23132.6+417992.89</f>
        <v>443581832.31000006</v>
      </c>
      <c r="E142" s="175">
        <f>SUM(B142:D142)</f>
        <v>1179199992.8299999</v>
      </c>
      <c r="F142" s="197"/>
    </row>
    <row r="143" spans="1:6" ht="12.6" customHeight="1">
      <c r="A143" s="253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>
      <c r="A149" s="253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>
        <v>0</v>
      </c>
      <c r="C150" s="187">
        <v>0</v>
      </c>
      <c r="D150" s="174">
        <v>0</v>
      </c>
      <c r="E150" s="175">
        <f>SUM(B150:D150)</f>
        <v>0</v>
      </c>
    </row>
    <row r="151" spans="1:5" ht="12.6" customHeight="1">
      <c r="A151" s="173" t="s">
        <v>215</v>
      </c>
      <c r="B151" s="174">
        <v>0</v>
      </c>
      <c r="C151" s="187">
        <v>0</v>
      </c>
      <c r="D151" s="174">
        <v>0</v>
      </c>
      <c r="E151" s="175">
        <f>SUM(B151:D151)</f>
        <v>0</v>
      </c>
    </row>
    <row r="152" spans="1:5" ht="12.6" customHeight="1">
      <c r="A152" s="173" t="s">
        <v>298</v>
      </c>
      <c r="B152" s="174">
        <v>0</v>
      </c>
      <c r="C152" s="187">
        <v>0</v>
      </c>
      <c r="D152" s="174">
        <v>0</v>
      </c>
      <c r="E152" s="175">
        <f>SUM(B152:D152)</f>
        <v>0</v>
      </c>
    </row>
    <row r="153" spans="1:5" ht="12.6" customHeight="1">
      <c r="A153" s="173" t="s">
        <v>245</v>
      </c>
      <c r="B153" s="174">
        <v>0</v>
      </c>
      <c r="C153" s="187">
        <v>0</v>
      </c>
      <c r="D153" s="174">
        <v>0</v>
      </c>
      <c r="E153" s="175">
        <f>SUM(B153:D153)</f>
        <v>0</v>
      </c>
    </row>
    <row r="154" spans="1:5" ht="12.6" customHeight="1">
      <c r="A154" s="173" t="s">
        <v>246</v>
      </c>
      <c r="B154" s="174">
        <v>0</v>
      </c>
      <c r="C154" s="187">
        <v>0</v>
      </c>
      <c r="D154" s="174">
        <v>0</v>
      </c>
      <c r="E154" s="175">
        <f>SUM(B154:D154)</f>
        <v>0</v>
      </c>
    </row>
    <row r="155" spans="1:5" ht="12.6" customHeight="1">
      <c r="A155" s="177"/>
      <c r="B155" s="177"/>
      <c r="C155" s="191"/>
      <c r="D155" s="178"/>
      <c r="E155" s="175"/>
    </row>
    <row r="156" spans="1:5" ht="12.6" customHeight="1">
      <c r="A156" s="253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>
      <c r="A157" s="177" t="s">
        <v>304</v>
      </c>
      <c r="B157" s="174">
        <v>2856430.62</v>
      </c>
      <c r="C157" s="174">
        <v>1630469</v>
      </c>
      <c r="D157" s="175"/>
      <c r="E157" s="175"/>
    </row>
    <row r="158" spans="1:5" ht="12.6" customHeight="1">
      <c r="A158" s="177"/>
      <c r="B158" s="178"/>
      <c r="C158" s="191"/>
      <c r="D158" s="175"/>
      <c r="E158" s="175"/>
    </row>
    <row r="159" spans="1:5" ht="12.6" customHeight="1">
      <c r="A159" s="177"/>
      <c r="B159" s="177"/>
      <c r="C159" s="191"/>
      <c r="D159" s="178"/>
      <c r="E159" s="175"/>
    </row>
    <row r="160" spans="1:5" ht="12.6" customHeight="1">
      <c r="A160" s="177"/>
      <c r="B160" s="177"/>
      <c r="C160" s="191"/>
      <c r="D160" s="178"/>
      <c r="E160" s="175"/>
    </row>
    <row r="161" spans="1:5" ht="12.6" customHeight="1">
      <c r="A161" s="177"/>
      <c r="B161" s="177"/>
      <c r="C161" s="191"/>
      <c r="D161" s="178"/>
      <c r="E161" s="175"/>
    </row>
    <row r="162" spans="1:5" ht="21.75" customHeight="1">
      <c r="A162" s="177"/>
      <c r="B162" s="177"/>
      <c r="C162" s="191"/>
      <c r="D162" s="178"/>
      <c r="E162" s="175"/>
    </row>
    <row r="163" spans="1:5" ht="11.4" customHeight="1">
      <c r="A163" s="205" t="s">
        <v>305</v>
      </c>
      <c r="B163" s="206"/>
      <c r="C163" s="206"/>
      <c r="D163" s="206"/>
      <c r="E163" s="206"/>
    </row>
    <row r="164" spans="1:5" ht="11.4" customHeight="1">
      <c r="A164" s="252" t="s">
        <v>306</v>
      </c>
      <c r="B164" s="252"/>
      <c r="C164" s="252"/>
      <c r="D164" s="252"/>
      <c r="E164" s="252"/>
    </row>
    <row r="165" spans="1:5" ht="11.4" customHeight="1">
      <c r="A165" s="173" t="s">
        <v>307</v>
      </c>
      <c r="B165" s="172" t="s">
        <v>256</v>
      </c>
      <c r="C165" s="187">
        <v>8902467.0399999991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7">
        <v>188006.25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187">
        <f>2039364-137131.55</f>
        <v>1902232.45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187">
        <f>-632.79+16732401.11-1812731.06+694202.65-261779.83+106917.65-106921.12+271159.85</f>
        <v>15622616.460000001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7">
        <f>201454.77-155129.12</f>
        <v>46325.649999999994</v>
      </c>
      <c r="D169" s="175"/>
      <c r="E169" s="175"/>
    </row>
    <row r="170" spans="1:5" ht="11.4" customHeight="1">
      <c r="A170" s="173" t="s">
        <v>312</v>
      </c>
      <c r="B170" s="172" t="s">
        <v>256</v>
      </c>
      <c r="C170" s="187">
        <f>-1559996+3561496.67+2595187.53</f>
        <v>4596688.1999999993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187">
        <f>156819.17+1606.35-19112.32+150+10500.12+23000.99+20000+52758.54+7189.9</f>
        <v>252912.75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>
      <c r="A173" s="173" t="s">
        <v>203</v>
      </c>
      <c r="B173" s="175"/>
      <c r="C173" s="189"/>
      <c r="D173" s="175">
        <f>SUM(C165:C172)</f>
        <v>31511248.799999997</v>
      </c>
      <c r="E173" s="175"/>
    </row>
    <row r="174" spans="1:5" ht="11.4" customHeight="1">
      <c r="A174" s="252" t="s">
        <v>314</v>
      </c>
      <c r="B174" s="252"/>
      <c r="C174" s="252"/>
      <c r="D174" s="252"/>
      <c r="E174" s="252"/>
    </row>
    <row r="175" spans="1:5" ht="11.4" customHeight="1">
      <c r="A175" s="173" t="s">
        <v>315</v>
      </c>
      <c r="B175" s="172" t="s">
        <v>256</v>
      </c>
      <c r="C175" s="187">
        <v>3707937.52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7">
        <f>1530754.97+474989.91-9905.76</f>
        <v>1995839.1199999999</v>
      </c>
      <c r="D176" s="175"/>
      <c r="E176" s="175"/>
    </row>
    <row r="177" spans="1:5" ht="11.4" customHeight="1">
      <c r="A177" s="173" t="s">
        <v>203</v>
      </c>
      <c r="B177" s="175"/>
      <c r="C177" s="189"/>
      <c r="D177" s="175">
        <f>SUM(C175:C176)</f>
        <v>5703776.6399999997</v>
      </c>
      <c r="E177" s="175"/>
    </row>
    <row r="178" spans="1:5" ht="11.4" customHeight="1">
      <c r="A178" s="252" t="s">
        <v>317</v>
      </c>
      <c r="B178" s="252"/>
      <c r="C178" s="252"/>
      <c r="D178" s="252"/>
      <c r="E178" s="252"/>
    </row>
    <row r="179" spans="1:5" ht="11.4" customHeight="1">
      <c r="A179" s="173" t="s">
        <v>318</v>
      </c>
      <c r="B179" s="172" t="s">
        <v>256</v>
      </c>
      <c r="C179" s="187">
        <f>3050058.04+54942.09</f>
        <v>3105000.13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7">
        <f>463481.9-194438+2640</f>
        <v>271683.90000000002</v>
      </c>
      <c r="D180" s="175"/>
      <c r="E180" s="175"/>
    </row>
    <row r="181" spans="1:5" ht="11.4" customHeight="1">
      <c r="A181" s="173" t="s">
        <v>203</v>
      </c>
      <c r="B181" s="175"/>
      <c r="C181" s="189"/>
      <c r="D181" s="175">
        <f>SUM(C179:C180)</f>
        <v>3376684.03</v>
      </c>
      <c r="E181" s="175"/>
    </row>
    <row r="182" spans="1:5" ht="11.4" customHeight="1">
      <c r="A182" s="252" t="s">
        <v>320</v>
      </c>
      <c r="B182" s="252"/>
      <c r="C182" s="252"/>
      <c r="D182" s="252"/>
      <c r="E182" s="252"/>
    </row>
    <row r="183" spans="1:5" ht="11.4" customHeight="1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7">
        <v>12119863.49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>
      <c r="A186" s="173" t="s">
        <v>203</v>
      </c>
      <c r="B186" s="175"/>
      <c r="C186" s="189"/>
      <c r="D186" s="175">
        <f>SUM(C183:C185)</f>
        <v>12119863.49</v>
      </c>
      <c r="E186" s="175"/>
    </row>
    <row r="187" spans="1:5" ht="11.4" customHeight="1">
      <c r="A187" s="252" t="s">
        <v>323</v>
      </c>
      <c r="B187" s="252"/>
      <c r="C187" s="252"/>
      <c r="D187" s="252"/>
      <c r="E187" s="252"/>
    </row>
    <row r="188" spans="1:5" ht="11.4" customHeight="1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>
      <c r="A189" s="173" t="s">
        <v>325</v>
      </c>
      <c r="B189" s="172" t="s">
        <v>256</v>
      </c>
      <c r="C189" s="187">
        <v>810177.12</v>
      </c>
      <c r="D189" s="175"/>
      <c r="E189" s="175"/>
    </row>
    <row r="190" spans="1:5" ht="11.4" customHeight="1">
      <c r="A190" s="173" t="s">
        <v>203</v>
      </c>
      <c r="B190" s="175"/>
      <c r="C190" s="189"/>
      <c r="D190" s="175">
        <f>SUM(C188:C189)</f>
        <v>810177.12</v>
      </c>
      <c r="E190" s="175"/>
    </row>
    <row r="191" spans="1:5" ht="18" customHeight="1">
      <c r="A191" s="173"/>
      <c r="B191" s="175"/>
      <c r="C191" s="189"/>
      <c r="D191" s="175"/>
      <c r="E191" s="175"/>
    </row>
    <row r="192" spans="1:5" ht="12.6" customHeight="1">
      <c r="A192" s="206" t="s">
        <v>326</v>
      </c>
      <c r="B192" s="206"/>
      <c r="C192" s="206"/>
      <c r="D192" s="206"/>
      <c r="E192" s="206"/>
    </row>
    <row r="193" spans="1:8" ht="12.6" customHeight="1">
      <c r="A193" s="205" t="s">
        <v>327</v>
      </c>
      <c r="B193" s="206"/>
      <c r="C193" s="206"/>
      <c r="D193" s="206"/>
      <c r="E193" s="206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10245719</v>
      </c>
      <c r="C195" s="187">
        <v>0</v>
      </c>
      <c r="D195" s="174">
        <v>0</v>
      </c>
      <c r="E195" s="175">
        <f t="shared" ref="E195:E203" si="10">SUM(B195:C195)-D195</f>
        <v>10245719</v>
      </c>
    </row>
    <row r="196" spans="1:8" ht="12.6" customHeight="1">
      <c r="A196" s="173" t="s">
        <v>333</v>
      </c>
      <c r="B196" s="174">
        <v>2319120</v>
      </c>
      <c r="C196" s="187">
        <v>-1</v>
      </c>
      <c r="D196" s="174">
        <v>0</v>
      </c>
      <c r="E196" s="175">
        <f t="shared" si="10"/>
        <v>2319119</v>
      </c>
    </row>
    <row r="197" spans="1:8" ht="12.6" customHeight="1">
      <c r="A197" s="173" t="s">
        <v>334</v>
      </c>
      <c r="B197" s="174">
        <v>105348137</v>
      </c>
      <c r="C197" s="187">
        <f>-9-5620924</f>
        <v>-5620933</v>
      </c>
      <c r="D197" s="174">
        <v>0</v>
      </c>
      <c r="E197" s="175">
        <f t="shared" si="10"/>
        <v>99727204</v>
      </c>
    </row>
    <row r="198" spans="1:8" ht="12.6" customHeight="1">
      <c r="A198" s="173" t="s">
        <v>335</v>
      </c>
      <c r="B198" s="174">
        <v>8822088</v>
      </c>
      <c r="C198" s="187">
        <v>5620922</v>
      </c>
      <c r="D198" s="174">
        <v>107173</v>
      </c>
      <c r="E198" s="175">
        <f t="shared" si="10"/>
        <v>14335837</v>
      </c>
    </row>
    <row r="199" spans="1:8" ht="12.6" customHeight="1">
      <c r="A199" s="173" t="s">
        <v>336</v>
      </c>
      <c r="B199" s="174">
        <v>4304098</v>
      </c>
      <c r="C199" s="187">
        <v>226265</v>
      </c>
      <c r="D199" s="174">
        <v>26918</v>
      </c>
      <c r="E199" s="175">
        <f t="shared" si="10"/>
        <v>4503445</v>
      </c>
    </row>
    <row r="200" spans="1:8" ht="12.6" customHeight="1">
      <c r="A200" s="173" t="s">
        <v>337</v>
      </c>
      <c r="B200" s="174">
        <v>117058770</v>
      </c>
      <c r="C200" s="187">
        <v>6782330</v>
      </c>
      <c r="D200" s="174">
        <f>9347757</f>
        <v>9347757</v>
      </c>
      <c r="E200" s="175">
        <f t="shared" si="10"/>
        <v>114493343</v>
      </c>
    </row>
    <row r="201" spans="1:8" ht="12.6" customHeight="1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>
      <c r="A202" s="173" t="s">
        <v>339</v>
      </c>
      <c r="B202" s="174">
        <v>18351716</v>
      </c>
      <c r="C202" s="187">
        <v>151718</v>
      </c>
      <c r="D202" s="174">
        <v>5309275</v>
      </c>
      <c r="E202" s="175">
        <f t="shared" si="10"/>
        <v>13194159</v>
      </c>
    </row>
    <row r="203" spans="1:8" ht="12.6" customHeight="1">
      <c r="A203" s="173" t="s">
        <v>340</v>
      </c>
      <c r="B203" s="174">
        <v>52220927</v>
      </c>
      <c r="C203" s="187">
        <v>84487567</v>
      </c>
      <c r="D203" s="174">
        <v>550178</v>
      </c>
      <c r="E203" s="175">
        <f t="shared" si="10"/>
        <v>136158316</v>
      </c>
    </row>
    <row r="204" spans="1:8" ht="12.6" customHeight="1">
      <c r="A204" s="173" t="s">
        <v>203</v>
      </c>
      <c r="B204" s="175">
        <f>SUM(B195:B203)</f>
        <v>318670575</v>
      </c>
      <c r="C204" s="189">
        <f>SUM(C195:C203)</f>
        <v>91647868</v>
      </c>
      <c r="D204" s="175">
        <f>SUM(D195:D203)</f>
        <v>15341301</v>
      </c>
      <c r="E204" s="175">
        <f>SUM(E195:E203)</f>
        <v>394977142</v>
      </c>
    </row>
    <row r="205" spans="1:8" ht="12.6" customHeight="1">
      <c r="A205" s="173"/>
      <c r="B205" s="173"/>
      <c r="C205" s="189"/>
      <c r="D205" s="175"/>
      <c r="E205" s="175"/>
    </row>
    <row r="206" spans="1:8" ht="12.6" customHeight="1">
      <c r="A206" s="205" t="s">
        <v>341</v>
      </c>
      <c r="B206" s="205"/>
      <c r="C206" s="205"/>
      <c r="D206" s="205"/>
      <c r="E206" s="205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>
      <c r="A208" s="173" t="s">
        <v>332</v>
      </c>
      <c r="B208" s="178"/>
      <c r="C208" s="191"/>
      <c r="D208" s="178"/>
      <c r="E208" s="175"/>
      <c r="H208" s="254"/>
    </row>
    <row r="209" spans="1:8" ht="12.6" customHeight="1">
      <c r="A209" s="173" t="s">
        <v>333</v>
      </c>
      <c r="B209" s="174">
        <v>773664</v>
      </c>
      <c r="C209" s="187">
        <v>-349137</v>
      </c>
      <c r="D209" s="174"/>
      <c r="E209" s="175">
        <f t="shared" ref="E209:E216" si="11">SUM(B209:C209)-D209</f>
        <v>424527</v>
      </c>
      <c r="H209" s="254"/>
    </row>
    <row r="210" spans="1:8" ht="12.6" customHeight="1">
      <c r="A210" s="173" t="s">
        <v>334</v>
      </c>
      <c r="B210" s="174">
        <v>19918814</v>
      </c>
      <c r="C210" s="187">
        <f>11432468-157441</f>
        <v>11275027</v>
      </c>
      <c r="D210" s="174">
        <v>0</v>
      </c>
      <c r="E210" s="175">
        <f t="shared" si="11"/>
        <v>31193841</v>
      </c>
      <c r="H210" s="254"/>
    </row>
    <row r="211" spans="1:8" ht="12.6" customHeight="1">
      <c r="A211" s="173" t="s">
        <v>335</v>
      </c>
      <c r="B211" s="174">
        <v>2269188</v>
      </c>
      <c r="C211" s="187">
        <f>1293454+157441</f>
        <v>1450895</v>
      </c>
      <c r="D211" s="174">
        <v>21887</v>
      </c>
      <c r="E211" s="175">
        <f t="shared" si="11"/>
        <v>3698196</v>
      </c>
      <c r="H211" s="254"/>
    </row>
    <row r="212" spans="1:8" ht="12.6" customHeight="1">
      <c r="A212" s="173" t="s">
        <v>336</v>
      </c>
      <c r="B212" s="174">
        <v>1619318</v>
      </c>
      <c r="C212" s="187">
        <v>590053</v>
      </c>
      <c r="D212" s="174">
        <v>4888</v>
      </c>
      <c r="E212" s="175">
        <f t="shared" si="11"/>
        <v>2204483</v>
      </c>
      <c r="H212" s="254"/>
    </row>
    <row r="213" spans="1:8" ht="12.6" customHeight="1">
      <c r="A213" s="173" t="s">
        <v>337</v>
      </c>
      <c r="B213" s="174">
        <v>66367351</v>
      </c>
      <c r="C213" s="187">
        <f>12026618+636936-1</f>
        <v>12663553</v>
      </c>
      <c r="D213" s="174">
        <f>4427489+636936+1</f>
        <v>5064426</v>
      </c>
      <c r="E213" s="175">
        <f t="shared" si="11"/>
        <v>73966478</v>
      </c>
      <c r="H213" s="254"/>
    </row>
    <row r="214" spans="1:8" ht="12.6" customHeight="1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4"/>
    </row>
    <row r="215" spans="1:8" ht="12.6" customHeight="1">
      <c r="A215" s="173" t="s">
        <v>339</v>
      </c>
      <c r="B215" s="174">
        <v>9938595</v>
      </c>
      <c r="C215" s="187">
        <v>1232451</v>
      </c>
      <c r="D215" s="174">
        <v>3195329</v>
      </c>
      <c r="E215" s="175">
        <f t="shared" si="11"/>
        <v>7975717</v>
      </c>
      <c r="H215" s="254"/>
    </row>
    <row r="216" spans="1:8" ht="12.6" customHeight="1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4"/>
    </row>
    <row r="217" spans="1:8" ht="12.6" customHeight="1">
      <c r="A217" s="173" t="s">
        <v>203</v>
      </c>
      <c r="B217" s="175">
        <f>SUM(B208:B216)</f>
        <v>100886930</v>
      </c>
      <c r="C217" s="189">
        <f>SUM(C208:C216)</f>
        <v>26862842</v>
      </c>
      <c r="D217" s="175">
        <f>SUM(D208:D216)</f>
        <v>8286530</v>
      </c>
      <c r="E217" s="175">
        <f>SUM(E208:E216)</f>
        <v>119463242</v>
      </c>
    </row>
    <row r="218" spans="1:8" ht="21.75" customHeight="1">
      <c r="A218" s="173"/>
      <c r="B218" s="175"/>
      <c r="C218" s="189"/>
      <c r="D218" s="175"/>
      <c r="E218" s="175"/>
    </row>
    <row r="219" spans="1:8" ht="12.6" customHeight="1">
      <c r="A219" s="206" t="s">
        <v>342</v>
      </c>
      <c r="B219" s="206"/>
      <c r="C219" s="206"/>
      <c r="D219" s="206"/>
      <c r="E219" s="206"/>
    </row>
    <row r="220" spans="1:8" ht="12.6" customHeight="1">
      <c r="A220" s="206"/>
      <c r="B220" s="339" t="s">
        <v>1255</v>
      </c>
      <c r="C220" s="339"/>
      <c r="D220" s="206"/>
      <c r="E220" s="206"/>
    </row>
    <row r="221" spans="1:8" ht="12.6" customHeight="1">
      <c r="A221" s="266" t="s">
        <v>1255</v>
      </c>
      <c r="B221" s="206"/>
      <c r="C221" s="187">
        <v>8806180.5199999996</v>
      </c>
      <c r="D221" s="172">
        <f>C221</f>
        <v>8806180.5199999996</v>
      </c>
      <c r="E221" s="206"/>
    </row>
    <row r="222" spans="1:8" ht="12.6" customHeight="1">
      <c r="A222" s="252" t="s">
        <v>343</v>
      </c>
      <c r="B222" s="252"/>
      <c r="C222" s="252"/>
      <c r="D222" s="252"/>
      <c r="E222" s="252"/>
    </row>
    <row r="223" spans="1:8" ht="12.6" customHeight="1">
      <c r="A223" s="173" t="s">
        <v>344</v>
      </c>
      <c r="B223" s="172" t="s">
        <v>256</v>
      </c>
      <c r="C223" s="187">
        <f>480841575.12-6325760.34-786501.63+437007722.26+882.06+347839.04</f>
        <v>911085756.50999999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7">
        <f>122910973.98+199695768.12+12020.13+649104.55</f>
        <v>323267866.78000003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>
      <c r="A228" s="173" t="s">
        <v>349</v>
      </c>
      <c r="B228" s="172" t="s">
        <v>256</v>
      </c>
      <c r="C228" s="187">
        <f>2722312.46+23600403.45+42655333.32+36975497.03+90017-519771+50195-859592.78-5222207.83+6869128.42+49997862.72+101514165.51+79672537.81+2235.04+1440.25+5280.7+6792.32+88799.71+306756.49+0+236316.77+117184.78</f>
        <v>338310687.16999996</v>
      </c>
      <c r="D228" s="175"/>
      <c r="E228" s="175"/>
    </row>
    <row r="229" spans="1:5" ht="12.6" customHeight="1">
      <c r="A229" s="173" t="s">
        <v>350</v>
      </c>
      <c r="B229" s="175"/>
      <c r="C229" s="189"/>
      <c r="D229" s="175">
        <f>SUM(C223:C228)</f>
        <v>1572664310.46</v>
      </c>
      <c r="E229" s="175"/>
    </row>
    <row r="230" spans="1:5" ht="12.6" customHeight="1">
      <c r="A230" s="252" t="s">
        <v>351</v>
      </c>
      <c r="B230" s="252"/>
      <c r="C230" s="252"/>
      <c r="D230" s="252"/>
      <c r="E230" s="252"/>
    </row>
    <row r="231" spans="1:5" ht="12.6" customHeight="1">
      <c r="A231" s="171" t="s">
        <v>352</v>
      </c>
      <c r="B231" s="172" t="s">
        <v>256</v>
      </c>
      <c r="C231" s="187">
        <v>9659</v>
      </c>
      <c r="D231" s="175"/>
      <c r="E231" s="175"/>
    </row>
    <row r="232" spans="1:5" ht="12.6" customHeight="1">
      <c r="A232" s="171"/>
      <c r="B232" s="172"/>
      <c r="C232" s="189"/>
      <c r="D232" s="175"/>
      <c r="E232" s="175"/>
    </row>
    <row r="233" spans="1:5" ht="12.6" customHeight="1">
      <c r="A233" s="171" t="s">
        <v>353</v>
      </c>
      <c r="B233" s="172" t="s">
        <v>256</v>
      </c>
      <c r="C233" s="187">
        <v>5628697.4199999999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7">
        <f>8495835.35+14057.91</f>
        <v>8509893.2599999998</v>
      </c>
      <c r="D234" s="175"/>
      <c r="E234" s="175"/>
    </row>
    <row r="235" spans="1:5" ht="12.6" customHeight="1">
      <c r="A235" s="173"/>
      <c r="B235" s="175"/>
      <c r="C235" s="189"/>
      <c r="D235" s="175"/>
      <c r="E235" s="175"/>
    </row>
    <row r="236" spans="1:5" ht="12.6" customHeight="1">
      <c r="A236" s="171" t="s">
        <v>355</v>
      </c>
      <c r="B236" s="175"/>
      <c r="C236" s="189"/>
      <c r="D236" s="175">
        <f>SUM(C233:C235)</f>
        <v>14138590.68</v>
      </c>
      <c r="E236" s="175"/>
    </row>
    <row r="237" spans="1:5" ht="12.6" customHeight="1">
      <c r="A237" s="252" t="s">
        <v>356</v>
      </c>
      <c r="B237" s="252"/>
      <c r="C237" s="252"/>
      <c r="D237" s="252"/>
      <c r="E237" s="252"/>
    </row>
    <row r="238" spans="1:5" ht="12.6" customHeight="1">
      <c r="A238" s="173" t="s">
        <v>357</v>
      </c>
      <c r="B238" s="172" t="s">
        <v>256</v>
      </c>
      <c r="C238" s="187">
        <f>2695707.56+8611616.32+1153.42+954.5+27805.94</f>
        <v>11337237.74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>
      <c r="A240" s="173" t="s">
        <v>358</v>
      </c>
      <c r="B240" s="175"/>
      <c r="C240" s="189"/>
      <c r="D240" s="175">
        <f>SUM(C238:C239)</f>
        <v>11337237.74</v>
      </c>
      <c r="E240" s="175"/>
    </row>
    <row r="241" spans="1:5" ht="12.6" customHeight="1">
      <c r="A241" s="173"/>
      <c r="B241" s="175"/>
      <c r="C241" s="189"/>
      <c r="D241" s="175"/>
      <c r="E241" s="175"/>
    </row>
    <row r="242" spans="1:5" ht="12.6" customHeight="1">
      <c r="A242" s="173" t="s">
        <v>359</v>
      </c>
      <c r="B242" s="175"/>
      <c r="C242" s="189"/>
      <c r="D242" s="175">
        <f>D221+D229+D236+D240</f>
        <v>1606946319.4000001</v>
      </c>
      <c r="E242" s="175"/>
    </row>
    <row r="243" spans="1:5" ht="12.6" customHeight="1">
      <c r="A243" s="173"/>
      <c r="B243" s="173"/>
      <c r="C243" s="189"/>
      <c r="D243" s="175"/>
      <c r="E243" s="175"/>
    </row>
    <row r="244" spans="1:5" ht="12.6" customHeight="1">
      <c r="A244" s="173"/>
      <c r="B244" s="173"/>
      <c r="C244" s="189"/>
      <c r="D244" s="175"/>
      <c r="E244" s="175"/>
    </row>
    <row r="245" spans="1:5" ht="12.6" customHeight="1">
      <c r="A245" s="173"/>
      <c r="B245" s="173"/>
      <c r="C245" s="189"/>
      <c r="D245" s="175"/>
      <c r="E245" s="175"/>
    </row>
    <row r="246" spans="1:5" ht="12.6" customHeight="1">
      <c r="A246" s="173"/>
      <c r="B246" s="173"/>
      <c r="C246" s="189"/>
      <c r="D246" s="175"/>
      <c r="E246" s="175"/>
    </row>
    <row r="247" spans="1:5" ht="21.75" customHeight="1">
      <c r="A247" s="173"/>
      <c r="B247" s="173"/>
      <c r="C247" s="189"/>
      <c r="D247" s="175"/>
      <c r="E247" s="175"/>
    </row>
    <row r="248" spans="1:5" ht="12.45" customHeight="1">
      <c r="A248" s="206" t="s">
        <v>360</v>
      </c>
      <c r="B248" s="206"/>
      <c r="C248" s="206"/>
      <c r="D248" s="206"/>
      <c r="E248" s="206"/>
    </row>
    <row r="249" spans="1:5" ht="11.25" customHeight="1">
      <c r="A249" s="252" t="s">
        <v>361</v>
      </c>
      <c r="B249" s="252"/>
      <c r="C249" s="252"/>
      <c r="D249" s="252"/>
      <c r="E249" s="252"/>
    </row>
    <row r="250" spans="1:5" ht="12.45" customHeight="1">
      <c r="A250" s="173" t="s">
        <v>362</v>
      </c>
      <c r="B250" s="172" t="s">
        <v>256</v>
      </c>
      <c r="C250" s="187">
        <v>49794297.600000001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>
      <c r="A252" s="173" t="s">
        <v>364</v>
      </c>
      <c r="B252" s="172" t="s">
        <v>256</v>
      </c>
      <c r="C252" s="187">
        <v>244370838.53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7">
        <f>170367727.83+9574402.09</f>
        <v>179942129.92000002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>
      <c r="A255" s="173" t="s">
        <v>366</v>
      </c>
      <c r="B255" s="172" t="s">
        <v>256</v>
      </c>
      <c r="C255" s="187">
        <v>2472741.64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>
      <c r="A257" s="173" t="s">
        <v>368</v>
      </c>
      <c r="B257" s="172" t="s">
        <v>256</v>
      </c>
      <c r="C257" s="187">
        <v>8590831.6999999993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7">
        <v>124111.43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>
      <c r="A260" s="173" t="s">
        <v>371</v>
      </c>
      <c r="B260" s="175"/>
      <c r="C260" s="189"/>
      <c r="D260" s="175">
        <f>SUM(C250:C252)-C253+SUM(C254:C259)</f>
        <v>125410690.97999997</v>
      </c>
      <c r="E260" s="175"/>
    </row>
    <row r="261" spans="1:5" ht="11.25" customHeight="1">
      <c r="A261" s="252" t="s">
        <v>372</v>
      </c>
      <c r="B261" s="252"/>
      <c r="C261" s="252"/>
      <c r="D261" s="252"/>
      <c r="E261" s="252"/>
    </row>
    <row r="262" spans="1:5" ht="12.45" customHeight="1">
      <c r="A262" s="173" t="s">
        <v>362</v>
      </c>
      <c r="B262" s="172" t="s">
        <v>256</v>
      </c>
      <c r="C262" s="187">
        <v>3471.47</v>
      </c>
      <c r="D262" s="175"/>
      <c r="E262" s="175"/>
    </row>
    <row r="263" spans="1:5" ht="12.45" customHeight="1">
      <c r="A263" s="173" t="s">
        <v>363</v>
      </c>
      <c r="B263" s="172" t="s">
        <v>256</v>
      </c>
      <c r="C263" s="187">
        <f>302914500.52+4</f>
        <v>302914504.51999998</v>
      </c>
      <c r="D263" s="175"/>
      <c r="E263" s="175"/>
    </row>
    <row r="264" spans="1:5" ht="12.45" customHeight="1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>
      <c r="A265" s="173" t="s">
        <v>374</v>
      </c>
      <c r="B265" s="175"/>
      <c r="C265" s="189"/>
      <c r="D265" s="175">
        <f>SUM(C262:C264)</f>
        <v>302917975.99000001</v>
      </c>
      <c r="E265" s="175"/>
    </row>
    <row r="266" spans="1:5" ht="11.25" customHeight="1">
      <c r="A266" s="252" t="s">
        <v>375</v>
      </c>
      <c r="B266" s="252"/>
      <c r="C266" s="252"/>
      <c r="D266" s="252"/>
      <c r="E266" s="252"/>
    </row>
    <row r="267" spans="1:5" ht="12.45" customHeight="1">
      <c r="A267" s="173" t="s">
        <v>332</v>
      </c>
      <c r="B267" s="172" t="s">
        <v>256</v>
      </c>
      <c r="C267" s="187">
        <v>10245719.140000001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7">
        <v>2319119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7">
        <f>99727204.1</f>
        <v>99727204.099999994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7">
        <v>14335836.949999999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7">
        <v>4503444.8499999996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7">
        <v>114493342.59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7">
        <v>13194159.51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7">
        <f>135108155.86+1050160.33</f>
        <v>136158316.19000003</v>
      </c>
      <c r="D274" s="175"/>
      <c r="E274" s="175"/>
    </row>
    <row r="275" spans="1:5" ht="12.45" customHeight="1">
      <c r="A275" s="173" t="s">
        <v>379</v>
      </c>
      <c r="B275" s="175"/>
      <c r="C275" s="189"/>
      <c r="D275" s="175">
        <f>SUM(C267:C274)</f>
        <v>394977142.33000004</v>
      </c>
      <c r="E275" s="175"/>
    </row>
    <row r="276" spans="1:5" ht="12.6" customHeight="1">
      <c r="A276" s="173" t="s">
        <v>380</v>
      </c>
      <c r="B276" s="172" t="s">
        <v>256</v>
      </c>
      <c r="C276" s="187">
        <v>119463242.90000001</v>
      </c>
      <c r="D276" s="175"/>
      <c r="E276" s="175"/>
    </row>
    <row r="277" spans="1:5" ht="12.6" customHeight="1">
      <c r="A277" s="173" t="s">
        <v>381</v>
      </c>
      <c r="B277" s="175"/>
      <c r="C277" s="189"/>
      <c r="D277" s="175">
        <f>D275-C276</f>
        <v>275513899.43000007</v>
      </c>
      <c r="E277" s="175"/>
    </row>
    <row r="278" spans="1:5" ht="12.6" customHeight="1">
      <c r="A278" s="252" t="s">
        <v>382</v>
      </c>
      <c r="B278" s="252"/>
      <c r="C278" s="252"/>
      <c r="D278" s="252"/>
      <c r="E278" s="252"/>
    </row>
    <row r="279" spans="1:5" ht="12.6" customHeight="1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>
      <c r="A281" s="173" t="s">
        <v>385</v>
      </c>
      <c r="B281" s="172" t="s">
        <v>256</v>
      </c>
      <c r="C281" s="187">
        <v>0</v>
      </c>
      <c r="D281" s="175"/>
      <c r="E281" s="175"/>
    </row>
    <row r="282" spans="1:5" ht="12.6" customHeight="1">
      <c r="A282" s="173" t="s">
        <v>373</v>
      </c>
      <c r="B282" s="172" t="s">
        <v>256</v>
      </c>
      <c r="C282" s="187">
        <v>282111.48</v>
      </c>
      <c r="D282" s="175"/>
      <c r="E282" s="175"/>
    </row>
    <row r="283" spans="1:5" ht="12.6" customHeight="1">
      <c r="A283" s="173" t="s">
        <v>386</v>
      </c>
      <c r="B283" s="175"/>
      <c r="C283" s="189"/>
      <c r="D283" s="175">
        <f>C279-C280+C281+C282</f>
        <v>282111.48</v>
      </c>
      <c r="E283" s="175"/>
    </row>
    <row r="284" spans="1:5" ht="12.6" customHeight="1">
      <c r="A284" s="173"/>
      <c r="B284" s="175"/>
      <c r="C284" s="189"/>
      <c r="D284" s="175"/>
      <c r="E284" s="175"/>
    </row>
    <row r="285" spans="1:5" ht="12.6" customHeight="1">
      <c r="A285" s="252" t="s">
        <v>387</v>
      </c>
      <c r="B285" s="252"/>
      <c r="C285" s="252"/>
      <c r="D285" s="252"/>
      <c r="E285" s="252"/>
    </row>
    <row r="286" spans="1:5" ht="12.6" customHeight="1">
      <c r="A286" s="173" t="s">
        <v>388</v>
      </c>
      <c r="B286" s="172" t="s">
        <v>256</v>
      </c>
      <c r="C286" s="187">
        <v>3831214.66</v>
      </c>
      <c r="D286" s="175"/>
      <c r="E286" s="175"/>
    </row>
    <row r="287" spans="1:5" ht="12.6" customHeight="1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>
      <c r="A289" s="173" t="s">
        <v>391</v>
      </c>
      <c r="B289" s="172" t="s">
        <v>256</v>
      </c>
      <c r="C289" s="187">
        <f>25211723.14+3831214.67-5985000.6</f>
        <v>23057937.210000001</v>
      </c>
      <c r="D289" s="175"/>
      <c r="E289" s="175"/>
    </row>
    <row r="290" spans="1:5" ht="12.6" customHeight="1">
      <c r="A290" s="173" t="s">
        <v>392</v>
      </c>
      <c r="B290" s="175"/>
      <c r="C290" s="189"/>
      <c r="D290" s="175">
        <f>SUM(C286:C289)</f>
        <v>26889151.870000001</v>
      </c>
      <c r="E290" s="175"/>
    </row>
    <row r="291" spans="1:5" ht="12.6" customHeight="1">
      <c r="A291" s="173"/>
      <c r="B291" s="175"/>
      <c r="C291" s="189"/>
      <c r="D291" s="175"/>
      <c r="E291" s="175"/>
    </row>
    <row r="292" spans="1:5" ht="12.6" customHeight="1">
      <c r="A292" s="173" t="s">
        <v>393</v>
      </c>
      <c r="B292" s="175"/>
      <c r="C292" s="189"/>
      <c r="D292" s="175">
        <f>D260+D265+D277+D283+D290</f>
        <v>731013829.75000012</v>
      </c>
      <c r="E292" s="175"/>
    </row>
    <row r="293" spans="1:5" ht="12.6" customHeight="1">
      <c r="A293" s="173"/>
      <c r="B293" s="173"/>
      <c r="C293" s="189"/>
      <c r="D293" s="175"/>
      <c r="E293" s="175"/>
    </row>
    <row r="294" spans="1:5" ht="12.6" customHeight="1">
      <c r="A294" s="173"/>
      <c r="B294" s="173"/>
      <c r="C294" s="189"/>
      <c r="D294" s="175"/>
      <c r="E294" s="175"/>
    </row>
    <row r="295" spans="1:5" ht="12.6" customHeight="1">
      <c r="A295" s="173"/>
      <c r="B295" s="173"/>
      <c r="C295" s="189"/>
      <c r="D295" s="175"/>
      <c r="E295" s="175"/>
    </row>
    <row r="296" spans="1:5" ht="12.6" customHeight="1">
      <c r="A296" s="173"/>
      <c r="B296" s="173"/>
      <c r="C296" s="189"/>
      <c r="D296" s="175"/>
      <c r="E296" s="175"/>
    </row>
    <row r="297" spans="1:5" ht="12.6" customHeight="1">
      <c r="A297" s="173"/>
      <c r="B297" s="173"/>
      <c r="C297" s="189"/>
      <c r="D297" s="175"/>
      <c r="E297" s="175"/>
    </row>
    <row r="298" spans="1:5" ht="12.6" customHeight="1">
      <c r="A298" s="173"/>
      <c r="B298" s="173"/>
      <c r="C298" s="189"/>
      <c r="D298" s="175"/>
      <c r="E298" s="175"/>
    </row>
    <row r="299" spans="1:5" ht="12.6" customHeight="1">
      <c r="A299" s="173"/>
      <c r="B299" s="173"/>
      <c r="C299" s="189"/>
      <c r="D299" s="175"/>
      <c r="E299" s="175"/>
    </row>
    <row r="300" spans="1:5" ht="12.6" customHeight="1">
      <c r="A300" s="173"/>
      <c r="B300" s="173"/>
      <c r="C300" s="189"/>
      <c r="D300" s="175"/>
      <c r="E300" s="175"/>
    </row>
    <row r="301" spans="1:5" ht="20.25" customHeight="1">
      <c r="A301" s="173"/>
      <c r="B301" s="173"/>
      <c r="C301" s="189"/>
      <c r="D301" s="175"/>
      <c r="E301" s="175"/>
    </row>
    <row r="302" spans="1:5" ht="12.6" customHeight="1">
      <c r="A302" s="206" t="s">
        <v>394</v>
      </c>
      <c r="B302" s="206"/>
      <c r="C302" s="206"/>
      <c r="D302" s="206"/>
      <c r="E302" s="206"/>
    </row>
    <row r="303" spans="1:5" ht="14.25" customHeight="1">
      <c r="A303" s="252" t="s">
        <v>395</v>
      </c>
      <c r="B303" s="252"/>
      <c r="C303" s="252"/>
      <c r="D303" s="252"/>
      <c r="E303" s="252"/>
    </row>
    <row r="304" spans="1:5" ht="12.6" customHeight="1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>
      <c r="A305" s="173" t="s">
        <v>397</v>
      </c>
      <c r="B305" s="172" t="s">
        <v>256</v>
      </c>
      <c r="C305" s="187">
        <f>7313612.67+1919449.35+5891089.1</f>
        <v>15124151.119999999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7">
        <v>13744587.619999999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7">
        <v>830139.01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187">
        <v>6785765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>
      <c r="A312" s="173" t="s">
        <v>403</v>
      </c>
      <c r="B312" s="172" t="s">
        <v>256</v>
      </c>
      <c r="C312" s="187">
        <f>12249016.61+4285664.7-1</f>
        <v>16534680.309999999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7">
        <v>4285664.7</v>
      </c>
      <c r="D313" s="175"/>
      <c r="E313" s="175"/>
    </row>
    <row r="314" spans="1:5" ht="12.6" customHeight="1">
      <c r="A314" s="173" t="s">
        <v>405</v>
      </c>
      <c r="B314" s="175"/>
      <c r="C314" s="189"/>
      <c r="D314" s="175">
        <f>SUM(C304:C313)</f>
        <v>57304987.760000005</v>
      </c>
      <c r="E314" s="175"/>
    </row>
    <row r="315" spans="1:5" ht="12.6" customHeight="1">
      <c r="A315" s="252" t="s">
        <v>406</v>
      </c>
      <c r="B315" s="252"/>
      <c r="C315" s="252"/>
      <c r="D315" s="252"/>
      <c r="E315" s="252"/>
    </row>
    <row r="316" spans="1:5" ht="12.6" customHeight="1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>
      <c r="A318" s="173" t="s">
        <v>409</v>
      </c>
      <c r="B318" s="172" t="s">
        <v>256</v>
      </c>
      <c r="C318" s="187">
        <v>-555033.64</v>
      </c>
      <c r="D318" s="175"/>
      <c r="E318" s="175"/>
    </row>
    <row r="319" spans="1:5" ht="12.6" customHeight="1">
      <c r="A319" s="173" t="s">
        <v>410</v>
      </c>
      <c r="B319" s="175"/>
      <c r="C319" s="189"/>
      <c r="D319" s="175">
        <f>SUM(C316:C318)</f>
        <v>-555033.64</v>
      </c>
      <c r="E319" s="175"/>
    </row>
    <row r="320" spans="1:5" ht="12.6" customHeight="1">
      <c r="A320" s="252" t="s">
        <v>411</v>
      </c>
      <c r="B320" s="252"/>
      <c r="C320" s="252"/>
      <c r="D320" s="252"/>
      <c r="E320" s="252"/>
    </row>
    <row r="321" spans="1:5" ht="12.6" customHeight="1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>
      <c r="A323" s="173" t="s">
        <v>414</v>
      </c>
      <c r="B323" s="172" t="s">
        <v>256</v>
      </c>
      <c r="C323" s="187">
        <v>0</v>
      </c>
      <c r="D323" s="175"/>
      <c r="E323" s="175"/>
    </row>
    <row r="324" spans="1:5" ht="12.6" customHeight="1">
      <c r="A324" s="171" t="s">
        <v>415</v>
      </c>
      <c r="B324" s="172" t="s">
        <v>256</v>
      </c>
      <c r="C324" s="187">
        <v>0</v>
      </c>
      <c r="D324" s="175"/>
      <c r="E324" s="175"/>
    </row>
    <row r="325" spans="1:5" ht="12.6" customHeight="1">
      <c r="A325" s="173" t="s">
        <v>416</v>
      </c>
      <c r="B325" s="172" t="s">
        <v>256</v>
      </c>
      <c r="C325" s="187">
        <v>82633890.909999996</v>
      </c>
      <c r="D325" s="175"/>
      <c r="E325" s="175"/>
    </row>
    <row r="326" spans="1:5" ht="12.6" customHeight="1">
      <c r="A326" s="171" t="s">
        <v>417</v>
      </c>
      <c r="B326" s="172" t="s">
        <v>256</v>
      </c>
      <c r="C326" s="187">
        <v>0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>
      <c r="A328" s="173" t="s">
        <v>203</v>
      </c>
      <c r="B328" s="175"/>
      <c r="C328" s="189"/>
      <c r="D328" s="175">
        <f>SUM(C321:C327)</f>
        <v>82633890.909999996</v>
      </c>
      <c r="E328" s="175"/>
    </row>
    <row r="329" spans="1:5" ht="12.6" customHeight="1">
      <c r="A329" s="173" t="s">
        <v>419</v>
      </c>
      <c r="B329" s="175"/>
      <c r="C329" s="189"/>
      <c r="D329" s="175">
        <f>C313</f>
        <v>4285664.7</v>
      </c>
      <c r="E329" s="175"/>
    </row>
    <row r="330" spans="1:5" ht="12.6" customHeight="1">
      <c r="A330" s="173" t="s">
        <v>420</v>
      </c>
      <c r="B330" s="175"/>
      <c r="C330" s="189"/>
      <c r="D330" s="175">
        <f>D328-D329</f>
        <v>78348226.209999993</v>
      </c>
      <c r="E330" s="175"/>
    </row>
    <row r="331" spans="1:5" ht="12.6" customHeight="1">
      <c r="A331" s="173"/>
      <c r="B331" s="175"/>
      <c r="C331" s="189"/>
      <c r="D331" s="175"/>
      <c r="E331" s="175"/>
    </row>
    <row r="332" spans="1:5" ht="12.6" customHeight="1">
      <c r="A332" s="173" t="s">
        <v>421</v>
      </c>
      <c r="B332" s="172" t="s">
        <v>256</v>
      </c>
      <c r="C332" s="219">
        <v>595915649.23000002</v>
      </c>
      <c r="D332" s="175"/>
      <c r="E332" s="175"/>
    </row>
    <row r="333" spans="1:5" ht="12.6" customHeight="1">
      <c r="A333" s="173"/>
      <c r="B333" s="172"/>
      <c r="C333" s="227"/>
      <c r="D333" s="175"/>
      <c r="E333" s="175"/>
    </row>
    <row r="334" spans="1:5" ht="12.6" customHeight="1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>
      <c r="A339" s="173" t="s">
        <v>424</v>
      </c>
      <c r="B339" s="175"/>
      <c r="C339" s="189"/>
      <c r="D339" s="175">
        <f>D314+D319+D330+C332+C336+C337</f>
        <v>731013829.55999994</v>
      </c>
      <c r="E339" s="175"/>
    </row>
    <row r="340" spans="1:5" ht="12.6" customHeight="1">
      <c r="A340" s="173"/>
      <c r="B340" s="175"/>
      <c r="C340" s="189"/>
      <c r="D340" s="175"/>
      <c r="E340" s="175"/>
    </row>
    <row r="341" spans="1:5" ht="12.6" customHeight="1">
      <c r="A341" s="173" t="s">
        <v>425</v>
      </c>
      <c r="B341" s="175"/>
      <c r="C341" s="189"/>
      <c r="D341" s="175">
        <f>D292</f>
        <v>731013829.75000012</v>
      </c>
      <c r="E341" s="175"/>
    </row>
    <row r="342" spans="1:5" ht="12.6" customHeight="1">
      <c r="A342" s="173"/>
      <c r="B342" s="173"/>
      <c r="C342" s="189"/>
      <c r="D342" s="175"/>
      <c r="E342" s="175"/>
    </row>
    <row r="343" spans="1:5" ht="12.6" customHeight="1">
      <c r="A343" s="173"/>
      <c r="B343" s="173"/>
      <c r="C343" s="189"/>
      <c r="D343" s="175"/>
      <c r="E343" s="175"/>
    </row>
    <row r="344" spans="1:5" ht="12.6" customHeight="1">
      <c r="A344" s="173"/>
      <c r="B344" s="173"/>
      <c r="C344" s="189"/>
      <c r="D344" s="175"/>
      <c r="E344" s="175"/>
    </row>
    <row r="345" spans="1:5" ht="12.6" customHeight="1">
      <c r="A345" s="173"/>
      <c r="B345" s="173"/>
      <c r="C345" s="189"/>
      <c r="D345" s="175"/>
      <c r="E345" s="175"/>
    </row>
    <row r="346" spans="1:5" ht="12.6" customHeight="1">
      <c r="A346" s="173"/>
      <c r="B346" s="173"/>
      <c r="C346" s="189"/>
      <c r="D346" s="175"/>
      <c r="E346" s="175"/>
    </row>
    <row r="347" spans="1:5" ht="12.6" customHeight="1">
      <c r="A347" s="173"/>
      <c r="B347" s="173"/>
      <c r="C347" s="189"/>
      <c r="D347" s="175"/>
      <c r="E347" s="175"/>
    </row>
    <row r="348" spans="1:5" ht="12.6" customHeight="1">
      <c r="A348" s="173"/>
      <c r="B348" s="173"/>
      <c r="C348" s="189"/>
      <c r="D348" s="175"/>
      <c r="E348" s="175"/>
    </row>
    <row r="349" spans="1:5" ht="12.6" customHeight="1">
      <c r="A349" s="173"/>
      <c r="B349" s="173"/>
      <c r="C349" s="189"/>
      <c r="D349" s="175"/>
      <c r="E349" s="175"/>
    </row>
    <row r="350" spans="1:5" ht="12.6" customHeight="1">
      <c r="A350" s="173"/>
      <c r="B350" s="173"/>
      <c r="C350" s="189"/>
      <c r="D350" s="175"/>
      <c r="E350" s="175"/>
    </row>
    <row r="351" spans="1:5" ht="12.6" customHeight="1">
      <c r="A351" s="173"/>
      <c r="B351" s="173"/>
      <c r="C351" s="189"/>
      <c r="D351" s="175"/>
      <c r="E351" s="175"/>
    </row>
    <row r="352" spans="1:5" ht="12.6" customHeight="1">
      <c r="A352" s="173"/>
      <c r="B352" s="173"/>
      <c r="C352" s="189"/>
      <c r="D352" s="175"/>
      <c r="E352" s="175"/>
    </row>
    <row r="353" spans="1:5" ht="12.6" customHeight="1">
      <c r="A353" s="173"/>
      <c r="B353" s="173"/>
      <c r="C353" s="189"/>
      <c r="D353" s="175"/>
      <c r="E353" s="175"/>
    </row>
    <row r="354" spans="1:5" ht="12.6" customHeight="1">
      <c r="A354" s="173"/>
      <c r="B354" s="173"/>
      <c r="C354" s="189"/>
      <c r="D354" s="175"/>
      <c r="E354" s="175"/>
    </row>
    <row r="355" spans="1:5" ht="12.6" customHeight="1">
      <c r="A355" s="173"/>
      <c r="B355" s="173"/>
      <c r="C355" s="189"/>
      <c r="D355" s="175"/>
      <c r="E355" s="175"/>
    </row>
    <row r="356" spans="1:5" ht="20.25" customHeight="1">
      <c r="A356" s="173"/>
      <c r="B356" s="173"/>
      <c r="C356" s="189"/>
      <c r="D356" s="175"/>
      <c r="E356" s="175"/>
    </row>
    <row r="357" spans="1:5" ht="12.6" customHeight="1">
      <c r="A357" s="206" t="s">
        <v>426</v>
      </c>
      <c r="B357" s="206"/>
      <c r="C357" s="206"/>
      <c r="D357" s="206"/>
      <c r="E357" s="206"/>
    </row>
    <row r="358" spans="1:5" ht="12.6" customHeight="1">
      <c r="A358" s="252" t="s">
        <v>427</v>
      </c>
      <c r="B358" s="252"/>
      <c r="C358" s="252"/>
      <c r="D358" s="252"/>
      <c r="E358" s="252"/>
    </row>
    <row r="359" spans="1:5" ht="12.6" customHeight="1">
      <c r="A359" s="173" t="s">
        <v>428</v>
      </c>
      <c r="B359" s="172" t="s">
        <v>256</v>
      </c>
      <c r="C359" s="187">
        <v>939310706.09000003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7">
        <f>1176343562.21+51724+2804706.62</f>
        <v>1179199992.8299999</v>
      </c>
      <c r="D360" s="175"/>
      <c r="E360" s="175"/>
    </row>
    <row r="361" spans="1:5" ht="12.6" customHeight="1">
      <c r="A361" s="173" t="s">
        <v>430</v>
      </c>
      <c r="B361" s="175"/>
      <c r="C361" s="189"/>
      <c r="D361" s="175">
        <f>SUM(C359:C360)</f>
        <v>2118510698.9200001</v>
      </c>
      <c r="E361" s="175"/>
    </row>
    <row r="362" spans="1:5" ht="12.6" customHeight="1">
      <c r="A362" s="252" t="s">
        <v>431</v>
      </c>
      <c r="B362" s="252"/>
      <c r="C362" s="252"/>
      <c r="D362" s="252"/>
      <c r="E362" s="252"/>
    </row>
    <row r="363" spans="1:5" ht="12.6" customHeight="1">
      <c r="A363" s="173" t="s">
        <v>1255</v>
      </c>
      <c r="B363" s="252"/>
      <c r="C363" s="187">
        <v>8806180.5199999996</v>
      </c>
      <c r="D363" s="175"/>
      <c r="E363" s="252"/>
    </row>
    <row r="364" spans="1:5" ht="12.6" customHeight="1">
      <c r="A364" s="173" t="s">
        <v>432</v>
      </c>
      <c r="B364" s="172" t="s">
        <v>256</v>
      </c>
      <c r="C364" s="187">
        <f>705940443.31-2695707.56+876256539.19-8611616.32+29803.92-1153.42+1774761.78-954.5-27805.94</f>
        <v>1572664310.46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7">
        <v>14138590.68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7">
        <f>2695707.56+8611616.32+1153.42+954.5+27805.94</f>
        <v>11337237.74</v>
      </c>
      <c r="D366" s="175"/>
      <c r="E366" s="175"/>
    </row>
    <row r="367" spans="1:5" ht="12.6" customHeight="1">
      <c r="A367" s="173" t="s">
        <v>359</v>
      </c>
      <c r="B367" s="175"/>
      <c r="C367" s="189"/>
      <c r="D367" s="175">
        <f>SUM(C363:C366)</f>
        <v>1606946319.4000001</v>
      </c>
      <c r="E367" s="175"/>
    </row>
    <row r="368" spans="1:5" ht="12.6" customHeight="1">
      <c r="A368" s="173" t="s">
        <v>435</v>
      </c>
      <c r="B368" s="175"/>
      <c r="C368" s="189"/>
      <c r="D368" s="175">
        <f>D361-D367</f>
        <v>511564379.51999998</v>
      </c>
      <c r="E368" s="175"/>
    </row>
    <row r="369" spans="1:5" ht="12.6" customHeight="1">
      <c r="A369" s="252" t="s">
        <v>436</v>
      </c>
      <c r="B369" s="252"/>
      <c r="C369" s="252"/>
      <c r="D369" s="252"/>
      <c r="E369" s="252"/>
    </row>
    <row r="370" spans="1:5" ht="12.6" customHeight="1">
      <c r="A370" s="173" t="s">
        <v>437</v>
      </c>
      <c r="B370" s="172" t="s">
        <v>256</v>
      </c>
      <c r="C370" s="187">
        <f>10069644.17+1052352.26-51701.98</f>
        <v>11070294.449999999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>
      <c r="A372" s="173" t="s">
        <v>439</v>
      </c>
      <c r="B372" s="175"/>
      <c r="C372" s="189"/>
      <c r="D372" s="175">
        <f>SUM(C370:C371)</f>
        <v>11070294.449999999</v>
      </c>
      <c r="E372" s="175"/>
    </row>
    <row r="373" spans="1:5" ht="12.6" customHeight="1">
      <c r="A373" s="173" t="s">
        <v>440</v>
      </c>
      <c r="B373" s="175"/>
      <c r="C373" s="189"/>
      <c r="D373" s="175">
        <f>D368+D372</f>
        <v>522634673.96999997</v>
      </c>
      <c r="E373" s="175"/>
    </row>
    <row r="374" spans="1:5" ht="12.6" customHeight="1">
      <c r="A374" s="173"/>
      <c r="B374" s="175"/>
      <c r="C374" s="189"/>
      <c r="D374" s="175"/>
      <c r="E374" s="175"/>
    </row>
    <row r="375" spans="1:5" ht="12.6" customHeight="1">
      <c r="A375" s="173"/>
      <c r="B375" s="175"/>
      <c r="C375" s="189"/>
      <c r="D375" s="175"/>
      <c r="E375" s="175"/>
    </row>
    <row r="376" spans="1:5" ht="12.6" customHeight="1">
      <c r="A376" s="173"/>
      <c r="B376" s="175"/>
      <c r="C376" s="189"/>
      <c r="D376" s="175"/>
      <c r="E376" s="175"/>
    </row>
    <row r="377" spans="1:5" ht="12.6" customHeight="1">
      <c r="A377" s="252" t="s">
        <v>441</v>
      </c>
      <c r="B377" s="252"/>
      <c r="C377" s="252"/>
      <c r="D377" s="252"/>
      <c r="E377" s="252"/>
    </row>
    <row r="378" spans="1:5" ht="12.6" customHeight="1">
      <c r="A378" s="173" t="s">
        <v>442</v>
      </c>
      <c r="B378" s="172" t="s">
        <v>256</v>
      </c>
      <c r="C378" s="187">
        <f>121719196.53+7553275.95</f>
        <v>129272472.48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7">
        <v>31511248.800000001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7">
        <v>16046859.68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7">
        <v>92220846.5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7">
        <v>3582557.49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7">
        <f>95869620.66+3205376.36+4942920</f>
        <v>104017917.02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7">
        <v>26862842.140000001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7">
        <v>5703776.6399999997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7">
        <v>3376684.03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7">
        <v>12119863.49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7">
        <v>810177.12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7">
        <f>132247.48+188453.22+244644.77+7661.34+222500+62771.4+842062.31+84099.36</f>
        <v>1784439.8800000001</v>
      </c>
      <c r="D389" s="175"/>
      <c r="E389" s="175"/>
    </row>
    <row r="390" spans="1:6" ht="12.6" customHeight="1">
      <c r="A390" s="173" t="s">
        <v>452</v>
      </c>
      <c r="B390" s="175"/>
      <c r="C390" s="189"/>
      <c r="D390" s="175">
        <f>SUM(C378:C389)</f>
        <v>427309685.26999998</v>
      </c>
      <c r="E390" s="175"/>
    </row>
    <row r="391" spans="1:6" ht="12.6" customHeight="1">
      <c r="A391" s="173" t="s">
        <v>453</v>
      </c>
      <c r="B391" s="175"/>
      <c r="C391" s="189"/>
      <c r="D391" s="175">
        <f>D373-D390</f>
        <v>95324988.699999988</v>
      </c>
      <c r="E391" s="175"/>
    </row>
    <row r="392" spans="1:6" ht="12.6" customHeight="1">
      <c r="A392" s="173" t="s">
        <v>454</v>
      </c>
      <c r="B392" s="172" t="s">
        <v>256</v>
      </c>
      <c r="C392" s="187">
        <v>20589572.059999999</v>
      </c>
      <c r="D392" s="175"/>
      <c r="E392" s="175"/>
    </row>
    <row r="393" spans="1:6" ht="12.6" customHeight="1">
      <c r="A393" s="173" t="s">
        <v>455</v>
      </c>
      <c r="B393" s="175"/>
      <c r="C393" s="189"/>
      <c r="D393" s="193">
        <f>D391+C392</f>
        <v>115914560.75999999</v>
      </c>
      <c r="E393" s="175"/>
      <c r="F393" s="195"/>
    </row>
    <row r="394" spans="1:6" ht="12.6" customHeight="1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>
      <c r="A396" s="173" t="s">
        <v>458</v>
      </c>
      <c r="B396" s="175"/>
      <c r="C396" s="189"/>
      <c r="D396" s="175">
        <f>D393+C394-C395</f>
        <v>115914560.75999999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55"/>
    </row>
    <row r="412" spans="1:5" ht="12.6" customHeight="1">
      <c r="A412" s="179" t="str">
        <f>C84&amp;"   "&amp;"H-"&amp;FIXED(C83,0,TRUE)&amp;"     FYE "&amp;C82</f>
        <v>Harrison Medical Center   H-0     FYE 06/30/2018</v>
      </c>
      <c r="B412" s="179"/>
      <c r="C412" s="179"/>
      <c r="D412" s="179"/>
      <c r="E412" s="255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13266</v>
      </c>
      <c r="C414" s="192">
        <f>E138</f>
        <v>13266</v>
      </c>
      <c r="D414" s="179"/>
    </row>
    <row r="415" spans="1:5" ht="12.6" customHeight="1">
      <c r="A415" s="179" t="s">
        <v>464</v>
      </c>
      <c r="B415" s="179">
        <f>D111</f>
        <v>59591</v>
      </c>
      <c r="C415" s="179">
        <f>E139</f>
        <v>59591</v>
      </c>
      <c r="D415" s="192">
        <f>SUM(C59:H59)+N59</f>
        <v>59591</v>
      </c>
    </row>
    <row r="416" spans="1:5" ht="12.6" customHeight="1">
      <c r="A416" s="179"/>
      <c r="B416" s="179"/>
      <c r="C416" s="192"/>
      <c r="D416" s="179"/>
    </row>
    <row r="417" spans="1:7" ht="12.6" customHeight="1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2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4"/>
      <c r="B422" s="204"/>
      <c r="C422" s="181"/>
      <c r="D422" s="179"/>
    </row>
    <row r="423" spans="1:7" ht="12.6" customHeight="1">
      <c r="A423" s="180" t="s">
        <v>469</v>
      </c>
      <c r="B423" s="180">
        <f>C114</f>
        <v>1977</v>
      </c>
    </row>
    <row r="424" spans="1:7" ht="12.6" customHeight="1">
      <c r="A424" s="179" t="s">
        <v>1244</v>
      </c>
      <c r="B424" s="179">
        <f>D114</f>
        <v>3905</v>
      </c>
      <c r="D424" s="179">
        <f>J59</f>
        <v>3905</v>
      </c>
    </row>
    <row r="425" spans="1:7" ht="12.6" customHeight="1">
      <c r="A425" s="204"/>
      <c r="B425" s="204"/>
      <c r="C425" s="204"/>
      <c r="D425" s="204"/>
      <c r="F425" s="204"/>
      <c r="G425" s="204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129272472.48</v>
      </c>
      <c r="C427" s="179">
        <f t="shared" ref="C427:C434" si="13">CE61</f>
        <v>129272472.47999997</v>
      </c>
      <c r="D427" s="179"/>
    </row>
    <row r="428" spans="1:7" ht="12.6" customHeight="1">
      <c r="A428" s="179" t="s">
        <v>3</v>
      </c>
      <c r="B428" s="179">
        <f t="shared" si="12"/>
        <v>31511248.800000001</v>
      </c>
      <c r="C428" s="179">
        <f t="shared" si="13"/>
        <v>31511250</v>
      </c>
      <c r="D428" s="179">
        <f>D173</f>
        <v>31511248.799999997</v>
      </c>
    </row>
    <row r="429" spans="1:7" ht="12.6" customHeight="1">
      <c r="A429" s="179" t="s">
        <v>236</v>
      </c>
      <c r="B429" s="179">
        <f t="shared" si="12"/>
        <v>16046859.68</v>
      </c>
      <c r="C429" s="179">
        <f t="shared" si="13"/>
        <v>16046859.68</v>
      </c>
      <c r="D429" s="179"/>
    </row>
    <row r="430" spans="1:7" ht="12.6" customHeight="1">
      <c r="A430" s="179" t="s">
        <v>237</v>
      </c>
      <c r="B430" s="179">
        <f t="shared" si="12"/>
        <v>92220846.5</v>
      </c>
      <c r="C430" s="179">
        <f t="shared" si="13"/>
        <v>92220846.5</v>
      </c>
      <c r="D430" s="179"/>
    </row>
    <row r="431" spans="1:7" ht="12.6" customHeight="1">
      <c r="A431" s="179" t="s">
        <v>444</v>
      </c>
      <c r="B431" s="179">
        <f t="shared" si="12"/>
        <v>3582557.49</v>
      </c>
      <c r="C431" s="179">
        <f t="shared" si="13"/>
        <v>3582557.49</v>
      </c>
      <c r="D431" s="179"/>
    </row>
    <row r="432" spans="1:7" ht="12.6" customHeight="1">
      <c r="A432" s="179" t="s">
        <v>445</v>
      </c>
      <c r="B432" s="179">
        <f t="shared" si="12"/>
        <v>104017917.02</v>
      </c>
      <c r="C432" s="179">
        <f t="shared" si="13"/>
        <v>104017916.98789704</v>
      </c>
      <c r="D432" s="179"/>
    </row>
    <row r="433" spans="1:7" ht="12.6" customHeight="1">
      <c r="A433" s="179" t="s">
        <v>6</v>
      </c>
      <c r="B433" s="179">
        <f t="shared" si="12"/>
        <v>26862842.140000001</v>
      </c>
      <c r="C433" s="179">
        <f t="shared" si="13"/>
        <v>26862842</v>
      </c>
      <c r="D433" s="179">
        <f>C217</f>
        <v>26862842</v>
      </c>
    </row>
    <row r="434" spans="1:7" ht="12.6" customHeight="1">
      <c r="A434" s="179" t="s">
        <v>474</v>
      </c>
      <c r="B434" s="179">
        <f t="shared" si="12"/>
        <v>5703776.6399999997</v>
      </c>
      <c r="C434" s="179">
        <f t="shared" si="13"/>
        <v>5703776.6399999997</v>
      </c>
      <c r="D434" s="179">
        <f>D177</f>
        <v>5703776.6399999997</v>
      </c>
    </row>
    <row r="435" spans="1:7" ht="12.6" customHeight="1">
      <c r="A435" s="179" t="s">
        <v>447</v>
      </c>
      <c r="B435" s="179">
        <f t="shared" si="12"/>
        <v>3376684.03</v>
      </c>
      <c r="C435" s="179"/>
      <c r="D435" s="179">
        <f>D181</f>
        <v>3376684.03</v>
      </c>
    </row>
    <row r="436" spans="1:7" ht="12.6" customHeight="1">
      <c r="A436" s="179" t="s">
        <v>475</v>
      </c>
      <c r="B436" s="179">
        <f t="shared" si="12"/>
        <v>12119863.49</v>
      </c>
      <c r="C436" s="179"/>
      <c r="D436" s="179">
        <f>D186</f>
        <v>12119863.49</v>
      </c>
    </row>
    <row r="437" spans="1:7" ht="12.6" customHeight="1">
      <c r="A437" s="192" t="s">
        <v>449</v>
      </c>
      <c r="B437" s="192">
        <f t="shared" si="12"/>
        <v>810177.12</v>
      </c>
      <c r="C437" s="192"/>
      <c r="D437" s="192">
        <f>D190</f>
        <v>810177.12</v>
      </c>
    </row>
    <row r="438" spans="1:7" ht="12.6" customHeight="1">
      <c r="A438" s="192" t="s">
        <v>476</v>
      </c>
      <c r="B438" s="192">
        <f>C386+C387+C388</f>
        <v>16306724.639999999</v>
      </c>
      <c r="C438" s="192">
        <f>CD69</f>
        <v>16843623.719999999</v>
      </c>
      <c r="D438" s="192">
        <f>D181+D186+D190</f>
        <v>16306724.639999999</v>
      </c>
    </row>
    <row r="439" spans="1:7" ht="12.6" customHeight="1">
      <c r="A439" s="179" t="s">
        <v>451</v>
      </c>
      <c r="B439" s="192">
        <f>C389</f>
        <v>1784439.8800000001</v>
      </c>
      <c r="C439" s="192">
        <f>SUM(C69:CC69)</f>
        <v>1247540.8</v>
      </c>
      <c r="D439" s="179"/>
    </row>
    <row r="440" spans="1:7" ht="12.6" customHeight="1">
      <c r="A440" s="179" t="s">
        <v>477</v>
      </c>
      <c r="B440" s="192">
        <f>B438+B439</f>
        <v>18091164.52</v>
      </c>
      <c r="C440" s="192">
        <f>CE69</f>
        <v>18091164.52</v>
      </c>
      <c r="D440" s="179"/>
    </row>
    <row r="441" spans="1:7" ht="12.6" customHeight="1">
      <c r="A441" s="179" t="s">
        <v>478</v>
      </c>
      <c r="B441" s="179">
        <f>D390</f>
        <v>427309685.26999998</v>
      </c>
      <c r="C441" s="179">
        <f>SUM(C427:C437)+C440</f>
        <v>427309686.29789698</v>
      </c>
      <c r="D441" s="179"/>
    </row>
    <row r="442" spans="1:7" ht="12.6" customHeight="1">
      <c r="A442" s="204"/>
      <c r="B442" s="204"/>
      <c r="C442" s="204"/>
      <c r="D442" s="204"/>
      <c r="F442" s="204"/>
      <c r="G442" s="204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8806180.5199999996</v>
      </c>
      <c r="C444" s="179">
        <f>C363</f>
        <v>8806180.5199999996</v>
      </c>
      <c r="D444" s="179"/>
    </row>
    <row r="445" spans="1:7" ht="12.6" customHeight="1">
      <c r="A445" s="179" t="s">
        <v>343</v>
      </c>
      <c r="B445" s="179">
        <f>D229</f>
        <v>1572664310.46</v>
      </c>
      <c r="C445" s="179">
        <f>C364</f>
        <v>1572664310.46</v>
      </c>
      <c r="D445" s="179"/>
    </row>
    <row r="446" spans="1:7" ht="12.6" customHeight="1">
      <c r="A446" s="179" t="s">
        <v>351</v>
      </c>
      <c r="B446" s="179">
        <f>D236</f>
        <v>14138590.68</v>
      </c>
      <c r="C446" s="179">
        <f>C365</f>
        <v>14138590.68</v>
      </c>
      <c r="D446" s="179"/>
    </row>
    <row r="447" spans="1:7" ht="12.6" customHeight="1">
      <c r="A447" s="179" t="s">
        <v>356</v>
      </c>
      <c r="B447" s="179">
        <f>D240</f>
        <v>11337237.74</v>
      </c>
      <c r="C447" s="179">
        <f>C366</f>
        <v>11337237.74</v>
      </c>
      <c r="D447" s="179"/>
    </row>
    <row r="448" spans="1:7" ht="12.6" customHeight="1">
      <c r="A448" s="179" t="s">
        <v>358</v>
      </c>
      <c r="B448" s="179">
        <f>D242</f>
        <v>1606946319.4000001</v>
      </c>
      <c r="C448" s="179">
        <f>D367</f>
        <v>1606946319.4000001</v>
      </c>
      <c r="D448" s="179"/>
    </row>
    <row r="449" spans="1:7" ht="12.6" customHeight="1">
      <c r="A449" s="204"/>
      <c r="B449" s="204"/>
      <c r="C449" s="204"/>
      <c r="D449" s="204"/>
      <c r="F449" s="204"/>
      <c r="G449" s="204"/>
    </row>
    <row r="450" spans="1:7" ht="12.6" customHeight="1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7" t="s">
        <v>484</v>
      </c>
      <c r="B453" s="180">
        <f>C231</f>
        <v>9659</v>
      </c>
    </row>
    <row r="454" spans="1:7" ht="12.6" customHeight="1">
      <c r="A454" s="179" t="s">
        <v>168</v>
      </c>
      <c r="B454" s="179">
        <f>C233</f>
        <v>5628697.4199999999</v>
      </c>
      <c r="C454" s="179"/>
      <c r="D454" s="179"/>
    </row>
    <row r="455" spans="1:7" ht="12.6" customHeight="1">
      <c r="A455" s="179" t="s">
        <v>131</v>
      </c>
      <c r="B455" s="179">
        <f>C234</f>
        <v>8509893.2599999998</v>
      </c>
      <c r="C455" s="179"/>
      <c r="D455" s="179"/>
    </row>
    <row r="456" spans="1:7" ht="12.6" customHeight="1">
      <c r="A456" s="204"/>
      <c r="B456" s="204"/>
      <c r="C456" s="204"/>
      <c r="D456" s="204"/>
      <c r="F456" s="204"/>
      <c r="G456" s="204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2">
        <f>C370</f>
        <v>11070294.449999999</v>
      </c>
      <c r="C458" s="192">
        <f>CE70</f>
        <v>11070294.450000001</v>
      </c>
      <c r="D458" s="192"/>
    </row>
    <row r="459" spans="1:7" ht="12.6" customHeight="1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>
      <c r="A460" s="204"/>
      <c r="B460" s="204"/>
      <c r="C460" s="204"/>
      <c r="D460" s="204"/>
      <c r="F460" s="204"/>
      <c r="G460" s="204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2">
        <f>C359</f>
        <v>939310706.09000003</v>
      </c>
      <c r="C463" s="192">
        <f>CE73</f>
        <v>939310706.08999991</v>
      </c>
      <c r="D463" s="192">
        <f>E141+E147+E153</f>
        <v>939310706.09000003</v>
      </c>
    </row>
    <row r="464" spans="1:7" ht="12.6" customHeight="1">
      <c r="A464" s="179" t="s">
        <v>246</v>
      </c>
      <c r="B464" s="192">
        <f>C360</f>
        <v>1179199992.8299999</v>
      </c>
      <c r="C464" s="192">
        <f>CE74</f>
        <v>1179199992.8300002</v>
      </c>
      <c r="D464" s="192">
        <f>E142+E148+E154</f>
        <v>1179199992.8299999</v>
      </c>
    </row>
    <row r="465" spans="1:7" ht="12.6" customHeight="1">
      <c r="A465" s="179" t="s">
        <v>247</v>
      </c>
      <c r="B465" s="192">
        <f>D361</f>
        <v>2118510698.9200001</v>
      </c>
      <c r="C465" s="192">
        <f>CE75</f>
        <v>2118510698.9199998</v>
      </c>
      <c r="D465" s="192">
        <f>D463+D464</f>
        <v>2118510698.9200001</v>
      </c>
    </row>
    <row r="466" spans="1:7" ht="12.6" customHeight="1">
      <c r="A466" s="204"/>
      <c r="B466" s="204"/>
      <c r="C466" s="204"/>
      <c r="D466" s="204"/>
      <c r="F466" s="204"/>
      <c r="G466" s="204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10245719.140000001</v>
      </c>
      <c r="C468" s="179">
        <f>E195</f>
        <v>10245719</v>
      </c>
      <c r="D468" s="179"/>
    </row>
    <row r="469" spans="1:7" ht="12.6" customHeight="1">
      <c r="A469" s="179" t="s">
        <v>333</v>
      </c>
      <c r="B469" s="179">
        <f t="shared" si="14"/>
        <v>2319119</v>
      </c>
      <c r="C469" s="179">
        <f>E196</f>
        <v>2319119</v>
      </c>
      <c r="D469" s="179"/>
    </row>
    <row r="470" spans="1:7" ht="12.6" customHeight="1">
      <c r="A470" s="179" t="s">
        <v>334</v>
      </c>
      <c r="B470" s="179">
        <f t="shared" si="14"/>
        <v>99727204.099999994</v>
      </c>
      <c r="C470" s="179">
        <f>E197</f>
        <v>99727204</v>
      </c>
      <c r="D470" s="179"/>
    </row>
    <row r="471" spans="1:7" ht="12.6" customHeight="1">
      <c r="A471" s="179" t="s">
        <v>494</v>
      </c>
      <c r="B471" s="179">
        <f t="shared" si="14"/>
        <v>14335836.949999999</v>
      </c>
      <c r="C471" s="179">
        <f>E198</f>
        <v>14335837</v>
      </c>
      <c r="D471" s="179"/>
    </row>
    <row r="472" spans="1:7" ht="12.6" customHeight="1">
      <c r="A472" s="179" t="s">
        <v>377</v>
      </c>
      <c r="B472" s="179">
        <f t="shared" si="14"/>
        <v>4503444.8499999996</v>
      </c>
      <c r="C472" s="179">
        <f>E199</f>
        <v>4503445</v>
      </c>
      <c r="D472" s="179"/>
    </row>
    <row r="473" spans="1:7" ht="12.6" customHeight="1">
      <c r="A473" s="179" t="s">
        <v>495</v>
      </c>
      <c r="B473" s="179">
        <f t="shared" si="14"/>
        <v>114493342.59</v>
      </c>
      <c r="C473" s="179">
        <f>SUM(E200:E201)</f>
        <v>114493343</v>
      </c>
      <c r="D473" s="179"/>
    </row>
    <row r="474" spans="1:7" ht="12.6" customHeight="1">
      <c r="A474" s="179" t="s">
        <v>339</v>
      </c>
      <c r="B474" s="179">
        <f t="shared" si="14"/>
        <v>13194159.51</v>
      </c>
      <c r="C474" s="179">
        <f>E202</f>
        <v>13194159</v>
      </c>
      <c r="D474" s="179"/>
    </row>
    <row r="475" spans="1:7" ht="12.6" customHeight="1">
      <c r="A475" s="179" t="s">
        <v>340</v>
      </c>
      <c r="B475" s="179">
        <f t="shared" si="14"/>
        <v>136158316.19000003</v>
      </c>
      <c r="C475" s="179">
        <f>E203</f>
        <v>136158316</v>
      </c>
      <c r="D475" s="179"/>
    </row>
    <row r="476" spans="1:7" ht="12.6" customHeight="1">
      <c r="A476" s="179" t="s">
        <v>203</v>
      </c>
      <c r="B476" s="179">
        <f>D275</f>
        <v>394977142.33000004</v>
      </c>
      <c r="C476" s="179">
        <f>E204</f>
        <v>394977142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119463242.90000001</v>
      </c>
      <c r="C478" s="179">
        <f>E217</f>
        <v>119463242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731013829.75000012</v>
      </c>
    </row>
    <row r="482" spans="1:12" ht="12.6" customHeight="1">
      <c r="A482" s="180" t="s">
        <v>499</v>
      </c>
      <c r="C482" s="180">
        <f>D339</f>
        <v>731013829.55999994</v>
      </c>
    </row>
    <row r="485" spans="1:12" ht="12.6" customHeight="1">
      <c r="A485" s="197" t="s">
        <v>500</v>
      </c>
    </row>
    <row r="486" spans="1:12" ht="12.6" customHeight="1">
      <c r="A486" s="197" t="s">
        <v>501</v>
      </c>
    </row>
    <row r="487" spans="1:12" ht="12.6" customHeight="1">
      <c r="A487" s="197" t="s">
        <v>502</v>
      </c>
    </row>
    <row r="488" spans="1:12" ht="12.6" customHeight="1">
      <c r="A488" s="197"/>
    </row>
    <row r="489" spans="1:12" ht="12.6" customHeight="1">
      <c r="A489" s="196" t="s">
        <v>503</v>
      </c>
    </row>
    <row r="490" spans="1:12" ht="12.6" customHeight="1">
      <c r="A490" s="197" t="s">
        <v>504</v>
      </c>
    </row>
    <row r="491" spans="1:12" ht="12.6" customHeight="1">
      <c r="A491" s="197"/>
    </row>
    <row r="493" spans="1:12" ht="12.6" customHeight="1">
      <c r="A493" s="180" t="str">
        <f>C84</f>
        <v>Harrison Medical Center</v>
      </c>
      <c r="B493" s="256" t="s">
        <v>1266</v>
      </c>
      <c r="C493" s="256" t="str">
        <f>RIGHT(C82,4)</f>
        <v>2018</v>
      </c>
      <c r="D493" s="256" t="s">
        <v>1266</v>
      </c>
      <c r="E493" s="256" t="str">
        <f>RIGHT(C82,4)</f>
        <v>2018</v>
      </c>
      <c r="F493" s="256" t="s">
        <v>1266</v>
      </c>
      <c r="G493" s="256" t="str">
        <f>RIGHT(C82,4)</f>
        <v>2018</v>
      </c>
      <c r="H493" s="256"/>
      <c r="K493" s="256"/>
      <c r="L493" s="256"/>
    </row>
    <row r="494" spans="1:12" ht="12.6" customHeight="1">
      <c r="A494" s="196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>
      <c r="A496" s="180" t="s">
        <v>512</v>
      </c>
      <c r="B496" s="235">
        <v>8977667.3500000015</v>
      </c>
      <c r="C496" s="235">
        <f>C71</f>
        <v>9300283.8499999996</v>
      </c>
      <c r="D496" s="235">
        <v>4951</v>
      </c>
      <c r="E496" s="180">
        <f>C59</f>
        <v>4986</v>
      </c>
      <c r="F496" s="258">
        <f t="shared" ref="F496:G511" si="15">IF(B496=0,"",IF(D496=0,"",B496/D496))</f>
        <v>1813.303847707534</v>
      </c>
      <c r="G496" s="259">
        <f t="shared" si="15"/>
        <v>1865.2795527476935</v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>
      <c r="A497" s="180" t="s">
        <v>513</v>
      </c>
      <c r="B497" s="235">
        <v>0</v>
      </c>
      <c r="C497" s="235">
        <f>D71</f>
        <v>0</v>
      </c>
      <c r="D497" s="235"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>
      <c r="A498" s="180" t="s">
        <v>514</v>
      </c>
      <c r="B498" s="235">
        <v>41673568.759999983</v>
      </c>
      <c r="C498" s="235">
        <f>E71</f>
        <v>48062418.790000007</v>
      </c>
      <c r="D498" s="235">
        <v>51011</v>
      </c>
      <c r="E498" s="180">
        <f>E59</f>
        <v>54605</v>
      </c>
      <c r="F498" s="258">
        <f t="shared" si="15"/>
        <v>816.95259375428793</v>
      </c>
      <c r="G498" s="258">
        <f t="shared" si="15"/>
        <v>880.18347752037369</v>
      </c>
      <c r="H498" s="260" t="str">
        <f t="shared" si="16"/>
        <v/>
      </c>
      <c r="I498" s="262"/>
      <c r="K498" s="256"/>
      <c r="L498" s="256"/>
    </row>
    <row r="499" spans="1:12" ht="12.6" customHeight="1">
      <c r="A499" s="180" t="s">
        <v>515</v>
      </c>
      <c r="B499" s="235">
        <v>0</v>
      </c>
      <c r="C499" s="235">
        <f>F71</f>
        <v>0</v>
      </c>
      <c r="D499" s="235"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>
      <c r="A500" s="180" t="s">
        <v>516</v>
      </c>
      <c r="B500" s="235">
        <v>0</v>
      </c>
      <c r="C500" s="235">
        <f>G71</f>
        <v>0</v>
      </c>
      <c r="D500" s="235">
        <v>0</v>
      </c>
      <c r="E500" s="180">
        <f>G59</f>
        <v>0</v>
      </c>
      <c r="F500" s="258" t="str">
        <f t="shared" si="15"/>
        <v/>
      </c>
      <c r="G500" s="258" t="str">
        <f t="shared" si="15"/>
        <v/>
      </c>
      <c r="H500" s="260" t="str">
        <f t="shared" si="16"/>
        <v/>
      </c>
      <c r="I500" s="262"/>
      <c r="K500" s="256"/>
      <c r="L500" s="256"/>
    </row>
    <row r="501" spans="1:12" ht="12.6" customHeight="1">
      <c r="A501" s="180" t="s">
        <v>517</v>
      </c>
      <c r="B501" s="235">
        <v>350971.43000000005</v>
      </c>
      <c r="C501" s="235">
        <f>H71</f>
        <v>758.92000000000007</v>
      </c>
      <c r="D501" s="235"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>
      <c r="A502" s="180" t="s">
        <v>518</v>
      </c>
      <c r="B502" s="235">
        <v>0</v>
      </c>
      <c r="C502" s="235">
        <f>I71</f>
        <v>0</v>
      </c>
      <c r="D502" s="235"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>
      <c r="A503" s="180" t="s">
        <v>519</v>
      </c>
      <c r="B503" s="235">
        <v>11772060.360000001</v>
      </c>
      <c r="C503" s="235">
        <f>J71</f>
        <v>12329251.000000002</v>
      </c>
      <c r="D503" s="235">
        <v>4067</v>
      </c>
      <c r="E503" s="180">
        <f>J59</f>
        <v>3905</v>
      </c>
      <c r="F503" s="258">
        <f t="shared" si="15"/>
        <v>2894.5316842881734</v>
      </c>
      <c r="G503" s="258">
        <f t="shared" si="15"/>
        <v>3157.2985915492964</v>
      </c>
      <c r="H503" s="260" t="str">
        <f t="shared" si="16"/>
        <v/>
      </c>
      <c r="I503" s="262"/>
      <c r="K503" s="256"/>
      <c r="L503" s="256"/>
    </row>
    <row r="504" spans="1:12" ht="12.6" customHeight="1">
      <c r="A504" s="180" t="s">
        <v>520</v>
      </c>
      <c r="B504" s="235">
        <v>0</v>
      </c>
      <c r="C504" s="235">
        <f>K71</f>
        <v>0</v>
      </c>
      <c r="D504" s="235">
        <v>0</v>
      </c>
      <c r="E504" s="180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" customHeight="1">
      <c r="A505" s="180" t="s">
        <v>521</v>
      </c>
      <c r="B505" s="235">
        <v>0</v>
      </c>
      <c r="C505" s="235">
        <f>L71</f>
        <v>0</v>
      </c>
      <c r="D505" s="235">
        <v>0</v>
      </c>
      <c r="E505" s="180">
        <f>L59</f>
        <v>0</v>
      </c>
      <c r="F505" s="258" t="str">
        <f t="shared" si="15"/>
        <v/>
      </c>
      <c r="G505" s="258" t="str">
        <f t="shared" si="15"/>
        <v/>
      </c>
      <c r="H505" s="260" t="str">
        <f t="shared" si="16"/>
        <v/>
      </c>
      <c r="I505" s="262"/>
      <c r="K505" s="256"/>
      <c r="L505" s="256"/>
    </row>
    <row r="506" spans="1:12" ht="12.6" customHeight="1">
      <c r="A506" s="180" t="s">
        <v>522</v>
      </c>
      <c r="B506" s="235">
        <v>0</v>
      </c>
      <c r="C506" s="235">
        <f>M71</f>
        <v>0</v>
      </c>
      <c r="D506" s="235"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>
      <c r="A507" s="180" t="s">
        <v>523</v>
      </c>
      <c r="B507" s="235">
        <v>0</v>
      </c>
      <c r="C507" s="235">
        <f>N71</f>
        <v>0</v>
      </c>
      <c r="D507" s="235"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>
      <c r="A508" s="180" t="s">
        <v>524</v>
      </c>
      <c r="B508" s="235">
        <v>0</v>
      </c>
      <c r="C508" s="235">
        <f>O71</f>
        <v>0</v>
      </c>
      <c r="D508" s="235">
        <v>0</v>
      </c>
      <c r="E508" s="180">
        <f>O59</f>
        <v>0</v>
      </c>
      <c r="F508" s="258" t="str">
        <f t="shared" si="15"/>
        <v/>
      </c>
      <c r="G508" s="258" t="str">
        <f t="shared" si="15"/>
        <v/>
      </c>
      <c r="H508" s="260" t="str">
        <f t="shared" si="16"/>
        <v/>
      </c>
      <c r="I508" s="262"/>
      <c r="K508" s="256"/>
      <c r="L508" s="256"/>
    </row>
    <row r="509" spans="1:12" ht="12.6" customHeight="1">
      <c r="A509" s="180" t="s">
        <v>525</v>
      </c>
      <c r="B509" s="235">
        <v>48387677.49000001</v>
      </c>
      <c r="C509" s="235">
        <f>P71</f>
        <v>40527366.009999998</v>
      </c>
      <c r="D509" s="235">
        <v>1040374</v>
      </c>
      <c r="E509" s="180">
        <f>P59</f>
        <v>965224</v>
      </c>
      <c r="F509" s="258">
        <f t="shared" si="15"/>
        <v>46.509887300143994</v>
      </c>
      <c r="G509" s="258">
        <f t="shared" si="15"/>
        <v>41.987524149834648</v>
      </c>
      <c r="H509" s="260" t="str">
        <f t="shared" si="16"/>
        <v/>
      </c>
      <c r="I509" s="262"/>
      <c r="K509" s="256"/>
      <c r="L509" s="256"/>
    </row>
    <row r="510" spans="1:12" ht="12.6" customHeight="1">
      <c r="A510" s="180" t="s">
        <v>526</v>
      </c>
      <c r="B510" s="235">
        <v>5493594.3899999997</v>
      </c>
      <c r="C510" s="235">
        <f>Q71</f>
        <v>6397711.5</v>
      </c>
      <c r="D510" s="235">
        <v>2238300</v>
      </c>
      <c r="E510" s="180">
        <f>Q59</f>
        <v>31928</v>
      </c>
      <c r="F510" s="258">
        <f t="shared" si="15"/>
        <v>2.4543601796005894</v>
      </c>
      <c r="G510" s="258">
        <f t="shared" si="15"/>
        <v>200.3793378852418</v>
      </c>
      <c r="H510" s="260">
        <f t="shared" si="16"/>
        <v>80.642189092984125</v>
      </c>
      <c r="I510" s="262" t="s">
        <v>1278</v>
      </c>
      <c r="K510" s="256"/>
      <c r="L510" s="256"/>
    </row>
    <row r="511" spans="1:12" ht="12.6" customHeight="1">
      <c r="A511" s="180" t="s">
        <v>527</v>
      </c>
      <c r="B511" s="235">
        <v>3578124.7900000005</v>
      </c>
      <c r="C511" s="235">
        <f>R71</f>
        <v>1241472.2</v>
      </c>
      <c r="D511" s="235">
        <v>582420</v>
      </c>
      <c r="E511" s="180">
        <f>R59</f>
        <v>572370</v>
      </c>
      <c r="F511" s="258">
        <f t="shared" si="15"/>
        <v>6.1435472511246187</v>
      </c>
      <c r="G511" s="258">
        <f t="shared" si="15"/>
        <v>2.1690029176931005</v>
      </c>
      <c r="H511" s="260">
        <f t="shared" si="16"/>
        <v>-0.64694616497072599</v>
      </c>
      <c r="I511" s="262" t="s">
        <v>1279</v>
      </c>
      <c r="K511" s="256"/>
      <c r="L511" s="256"/>
    </row>
    <row r="512" spans="1:12" ht="12.6" customHeight="1">
      <c r="A512" s="180" t="s">
        <v>528</v>
      </c>
      <c r="B512" s="235">
        <v>2556147.6330752005</v>
      </c>
      <c r="C512" s="235">
        <f>S71</f>
        <v>2659349.2025842182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>
      <c r="A513" s="180" t="s">
        <v>1246</v>
      </c>
      <c r="B513" s="235"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>
      <c r="A514" s="180" t="s">
        <v>530</v>
      </c>
      <c r="B514" s="235">
        <v>12136125.439999999</v>
      </c>
      <c r="C514" s="235">
        <f>U71</f>
        <v>12635470.559999999</v>
      </c>
      <c r="D514" s="235">
        <v>872766</v>
      </c>
      <c r="E514" s="180">
        <f>U59</f>
        <v>880523</v>
      </c>
      <c r="F514" s="258">
        <f t="shared" si="17"/>
        <v>13.905360016315942</v>
      </c>
      <c r="G514" s="258">
        <f t="shared" si="17"/>
        <v>14.349960830097565</v>
      </c>
      <c r="H514" s="260" t="str">
        <f t="shared" si="16"/>
        <v/>
      </c>
      <c r="I514" s="262"/>
      <c r="K514" s="256"/>
      <c r="L514" s="256"/>
    </row>
    <row r="515" spans="1:12" ht="12.6" customHeight="1">
      <c r="A515" s="180" t="s">
        <v>531</v>
      </c>
      <c r="B515" s="235">
        <v>909624.60000000021</v>
      </c>
      <c r="C515" s="235">
        <f>V71</f>
        <v>748332.80999999982</v>
      </c>
      <c r="D515" s="235">
        <v>38838</v>
      </c>
      <c r="E515" s="180">
        <f>V59</f>
        <v>32879</v>
      </c>
      <c r="F515" s="258">
        <f t="shared" si="17"/>
        <v>23.420994901900205</v>
      </c>
      <c r="G515" s="258">
        <f t="shared" si="17"/>
        <v>22.760205906505668</v>
      </c>
      <c r="H515" s="260" t="str">
        <f t="shared" si="16"/>
        <v/>
      </c>
      <c r="I515" s="262"/>
      <c r="K515" s="256"/>
      <c r="L515" s="256"/>
    </row>
    <row r="516" spans="1:12" ht="12.6" customHeight="1">
      <c r="A516" s="180" t="s">
        <v>532</v>
      </c>
      <c r="B516" s="235">
        <v>443571.40000000014</v>
      </c>
      <c r="C516" s="235">
        <f>W71</f>
        <v>738302.89</v>
      </c>
      <c r="D516" s="235">
        <v>12771</v>
      </c>
      <c r="E516" s="180">
        <f>W59</f>
        <v>2668</v>
      </c>
      <c r="F516" s="258">
        <f t="shared" si="17"/>
        <v>34.732706914102273</v>
      </c>
      <c r="G516" s="258">
        <f t="shared" si="17"/>
        <v>276.72522113943029</v>
      </c>
      <c r="H516" s="260">
        <f t="shared" si="16"/>
        <v>6.9672805757351872</v>
      </c>
      <c r="I516" s="262" t="s">
        <v>1280</v>
      </c>
      <c r="K516" s="256"/>
      <c r="L516" s="256"/>
    </row>
    <row r="517" spans="1:12" ht="12.6" customHeight="1">
      <c r="A517" s="180" t="s">
        <v>533</v>
      </c>
      <c r="B517" s="235">
        <v>0</v>
      </c>
      <c r="C517" s="235">
        <f>X71</f>
        <v>0</v>
      </c>
      <c r="D517" s="235">
        <v>0</v>
      </c>
      <c r="E517" s="180">
        <f>X59</f>
        <v>0</v>
      </c>
      <c r="F517" s="258" t="str">
        <f t="shared" si="17"/>
        <v/>
      </c>
      <c r="G517" s="258" t="str">
        <f t="shared" si="17"/>
        <v/>
      </c>
      <c r="H517" s="260" t="str">
        <f t="shared" si="16"/>
        <v/>
      </c>
      <c r="I517" s="262"/>
      <c r="K517" s="256"/>
      <c r="L517" s="256"/>
    </row>
    <row r="518" spans="1:12" ht="12.6" customHeight="1">
      <c r="A518" s="180" t="s">
        <v>534</v>
      </c>
      <c r="B518" s="235">
        <v>31624032.550000001</v>
      </c>
      <c r="C518" s="235">
        <f>Y71</f>
        <v>34979232.449999988</v>
      </c>
      <c r="D518" s="235">
        <v>659221</v>
      </c>
      <c r="E518" s="180">
        <f>Y59</f>
        <v>131426</v>
      </c>
      <c r="F518" s="258">
        <f t="shared" si="17"/>
        <v>47.971822120351142</v>
      </c>
      <c r="G518" s="258">
        <f t="shared" si="17"/>
        <v>266.15154117145761</v>
      </c>
      <c r="H518" s="260">
        <f t="shared" si="16"/>
        <v>4.548080715044339</v>
      </c>
      <c r="I518" s="262" t="s">
        <v>1280</v>
      </c>
      <c r="K518" s="256"/>
      <c r="L518" s="256"/>
    </row>
    <row r="519" spans="1:12" ht="12.6" customHeight="1">
      <c r="A519" s="180" t="s">
        <v>535</v>
      </c>
      <c r="B519" s="235">
        <v>3072355.94</v>
      </c>
      <c r="C519" s="235">
        <f>Z71</f>
        <v>3399580.13</v>
      </c>
      <c r="D519" s="235">
        <v>64793</v>
      </c>
      <c r="E519" s="180">
        <f>Z59</f>
        <v>13394</v>
      </c>
      <c r="F519" s="258">
        <f t="shared" si="17"/>
        <v>47.418022625900946</v>
      </c>
      <c r="G519" s="258">
        <f t="shared" si="17"/>
        <v>253.81365760788412</v>
      </c>
      <c r="H519" s="260">
        <f t="shared" si="16"/>
        <v>4.3526832953435841</v>
      </c>
      <c r="I519" s="262" t="s">
        <v>1280</v>
      </c>
      <c r="K519" s="256"/>
      <c r="L519" s="256"/>
    </row>
    <row r="520" spans="1:12" ht="12.6" customHeight="1">
      <c r="A520" s="180" t="s">
        <v>536</v>
      </c>
      <c r="B520" s="235">
        <v>1571468.8900000001</v>
      </c>
      <c r="C520" s="235">
        <f>AA71</f>
        <v>1579905.16</v>
      </c>
      <c r="D520" s="235">
        <v>26276</v>
      </c>
      <c r="E520" s="180">
        <f>AA59</f>
        <v>2790</v>
      </c>
      <c r="F520" s="258">
        <f t="shared" si="17"/>
        <v>59.806244862231701</v>
      </c>
      <c r="G520" s="258">
        <f t="shared" si="17"/>
        <v>566.27425089605731</v>
      </c>
      <c r="H520" s="260">
        <f t="shared" si="16"/>
        <v>8.4684802933291294</v>
      </c>
      <c r="I520" s="262" t="s">
        <v>1280</v>
      </c>
      <c r="K520" s="256"/>
      <c r="L520" s="256"/>
    </row>
    <row r="521" spans="1:12" ht="12.6" customHeight="1">
      <c r="A521" s="180" t="s">
        <v>537</v>
      </c>
      <c r="B521" s="235">
        <v>19485055.699999999</v>
      </c>
      <c r="C521" s="235">
        <f>AB71</f>
        <v>19459686.57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>
      <c r="A522" s="180" t="s">
        <v>538</v>
      </c>
      <c r="B522" s="235">
        <v>6552900.2800000003</v>
      </c>
      <c r="C522" s="235">
        <f>AC71</f>
        <v>7275689.9799999995</v>
      </c>
      <c r="D522" s="235">
        <v>125647</v>
      </c>
      <c r="E522" s="180">
        <f>AC59</f>
        <v>86711</v>
      </c>
      <c r="F522" s="258">
        <f t="shared" si="17"/>
        <v>52.153256981861887</v>
      </c>
      <c r="G522" s="258">
        <f t="shared" si="17"/>
        <v>83.907347164719582</v>
      </c>
      <c r="H522" s="260">
        <f t="shared" si="16"/>
        <v>0.60886111473155524</v>
      </c>
      <c r="I522" s="262" t="s">
        <v>1280</v>
      </c>
      <c r="K522" s="256"/>
      <c r="L522" s="256"/>
    </row>
    <row r="523" spans="1:12" ht="12.6" customHeight="1">
      <c r="A523" s="180" t="s">
        <v>539</v>
      </c>
      <c r="B523" s="235">
        <v>20488</v>
      </c>
      <c r="C523" s="235">
        <f>AD71</f>
        <v>20653</v>
      </c>
      <c r="D523" s="235"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>
      <c r="A524" s="180" t="s">
        <v>540</v>
      </c>
      <c r="B524" s="235">
        <v>6949500.3500000006</v>
      </c>
      <c r="C524" s="235">
        <f>AE71</f>
        <v>7115973.5900000017</v>
      </c>
      <c r="D524" s="235">
        <v>75046</v>
      </c>
      <c r="E524" s="180">
        <f>AE59</f>
        <v>76570</v>
      </c>
      <c r="F524" s="258">
        <f t="shared" si="17"/>
        <v>92.603208032406798</v>
      </c>
      <c r="G524" s="258">
        <f t="shared" si="17"/>
        <v>92.934224761656026</v>
      </c>
      <c r="H524" s="260" t="str">
        <f t="shared" si="16"/>
        <v/>
      </c>
      <c r="I524" s="262"/>
      <c r="K524" s="256"/>
      <c r="L524" s="256"/>
    </row>
    <row r="525" spans="1:12" ht="12.6" customHeight="1">
      <c r="A525" s="180" t="s">
        <v>541</v>
      </c>
      <c r="B525" s="235">
        <v>0</v>
      </c>
      <c r="C525" s="235">
        <f>AF71</f>
        <v>0</v>
      </c>
      <c r="D525" s="235">
        <v>0</v>
      </c>
      <c r="E525" s="180">
        <f>AF59</f>
        <v>0</v>
      </c>
      <c r="F525" s="258" t="str">
        <f t="shared" si="17"/>
        <v/>
      </c>
      <c r="G525" s="258" t="str">
        <f t="shared" si="17"/>
        <v/>
      </c>
      <c r="H525" s="260" t="str">
        <f t="shared" si="16"/>
        <v/>
      </c>
      <c r="I525" s="262"/>
      <c r="K525" s="256"/>
      <c r="L525" s="256"/>
    </row>
    <row r="526" spans="1:12" ht="12.6" customHeight="1">
      <c r="A526" s="180" t="s">
        <v>542</v>
      </c>
      <c r="B526" s="235">
        <v>20078632.120000001</v>
      </c>
      <c r="C526" s="235">
        <f>AG71</f>
        <v>22292096.050000004</v>
      </c>
      <c r="D526" s="235">
        <v>77061</v>
      </c>
      <c r="E526" s="180">
        <f>AG59</f>
        <v>71871</v>
      </c>
      <c r="F526" s="258">
        <f t="shared" si="17"/>
        <v>260.55504236903232</v>
      </c>
      <c r="G526" s="258">
        <f t="shared" si="17"/>
        <v>310.16816309777244</v>
      </c>
      <c r="H526" s="260" t="str">
        <f t="shared" si="16"/>
        <v/>
      </c>
      <c r="I526" s="262"/>
      <c r="K526" s="256"/>
      <c r="L526" s="256"/>
    </row>
    <row r="527" spans="1:12" ht="12.6" customHeight="1">
      <c r="A527" s="180" t="s">
        <v>543</v>
      </c>
      <c r="B527" s="235">
        <v>0</v>
      </c>
      <c r="C527" s="235">
        <f>AH71</f>
        <v>0</v>
      </c>
      <c r="D527" s="235"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>
      <c r="A528" s="180" t="s">
        <v>544</v>
      </c>
      <c r="B528" s="235">
        <v>0</v>
      </c>
      <c r="C528" s="235">
        <f>AI71</f>
        <v>0</v>
      </c>
      <c r="D528" s="235"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>
      <c r="A529" s="180" t="s">
        <v>545</v>
      </c>
      <c r="B529" s="235">
        <v>0</v>
      </c>
      <c r="C529" s="235">
        <f>AJ71</f>
        <v>0</v>
      </c>
      <c r="D529" s="235">
        <v>0</v>
      </c>
      <c r="E529" s="180">
        <f>AJ59</f>
        <v>0</v>
      </c>
      <c r="F529" s="258" t="str">
        <f t="shared" si="18"/>
        <v/>
      </c>
      <c r="G529" s="258" t="str">
        <f t="shared" si="18"/>
        <v/>
      </c>
      <c r="H529" s="260" t="str">
        <f t="shared" si="16"/>
        <v/>
      </c>
      <c r="I529" s="262"/>
      <c r="K529" s="256"/>
      <c r="L529" s="256"/>
    </row>
    <row r="530" spans="1:12" ht="12.6" customHeight="1">
      <c r="A530" s="180" t="s">
        <v>546</v>
      </c>
      <c r="B530" s="235">
        <v>1497013.0100000002</v>
      </c>
      <c r="C530" s="235">
        <f>AK71</f>
        <v>1419635.0299999998</v>
      </c>
      <c r="D530" s="235">
        <v>34124</v>
      </c>
      <c r="E530" s="180">
        <f>AK59</f>
        <v>22744</v>
      </c>
      <c r="F530" s="258">
        <f t="shared" si="18"/>
        <v>43.869798675419069</v>
      </c>
      <c r="G530" s="258">
        <f t="shared" si="18"/>
        <v>62.418001670770302</v>
      </c>
      <c r="H530" s="260">
        <f t="shared" si="16"/>
        <v>0.42280118795585175</v>
      </c>
      <c r="I530" s="262" t="s">
        <v>1280</v>
      </c>
      <c r="K530" s="256"/>
      <c r="L530" s="256"/>
    </row>
    <row r="531" spans="1:12" ht="12.6" customHeight="1">
      <c r="A531" s="180" t="s">
        <v>547</v>
      </c>
      <c r="B531" s="235">
        <v>673000.41</v>
      </c>
      <c r="C531" s="235">
        <f>AL71</f>
        <v>644566.48</v>
      </c>
      <c r="D531" s="235">
        <v>7557</v>
      </c>
      <c r="E531" s="180">
        <f>AL59</f>
        <v>3428</v>
      </c>
      <c r="F531" s="258">
        <f t="shared" si="18"/>
        <v>89.056558157999206</v>
      </c>
      <c r="G531" s="258">
        <f t="shared" si="18"/>
        <v>188.02989498249707</v>
      </c>
      <c r="H531" s="260">
        <f t="shared" si="16"/>
        <v>1.1113537157915405</v>
      </c>
      <c r="I531" s="262" t="s">
        <v>1280</v>
      </c>
      <c r="K531" s="256"/>
      <c r="L531" s="256"/>
    </row>
    <row r="532" spans="1:12" ht="12.6" customHeight="1">
      <c r="A532" s="180" t="s">
        <v>548</v>
      </c>
      <c r="B532" s="235">
        <v>81926.98000000001</v>
      </c>
      <c r="C532" s="235">
        <f>AM71</f>
        <v>1941.5</v>
      </c>
      <c r="D532" s="235">
        <v>0</v>
      </c>
      <c r="E532" s="180">
        <f>AM59</f>
        <v>0</v>
      </c>
      <c r="F532" s="258" t="str">
        <f t="shared" si="18"/>
        <v/>
      </c>
      <c r="G532" s="258" t="str">
        <f t="shared" si="18"/>
        <v/>
      </c>
      <c r="H532" s="260" t="str">
        <f t="shared" si="16"/>
        <v/>
      </c>
      <c r="I532" s="262"/>
      <c r="K532" s="256"/>
      <c r="L532" s="256"/>
    </row>
    <row r="533" spans="1:12" ht="12.6" customHeight="1">
      <c r="A533" s="180" t="s">
        <v>1247</v>
      </c>
      <c r="B533" s="235">
        <v>0</v>
      </c>
      <c r="C533" s="235">
        <f>AN71</f>
        <v>0</v>
      </c>
      <c r="D533" s="235"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>
      <c r="A534" s="180" t="s">
        <v>549</v>
      </c>
      <c r="B534" s="235">
        <v>0</v>
      </c>
      <c r="C534" s="235">
        <f>AO71</f>
        <v>0</v>
      </c>
      <c r="D534" s="235">
        <v>0</v>
      </c>
      <c r="E534" s="180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" customHeight="1">
      <c r="A535" s="180" t="s">
        <v>550</v>
      </c>
      <c r="B535" s="235">
        <v>83945266.679999977</v>
      </c>
      <c r="C535" s="235">
        <f>AP71</f>
        <v>50316696.040000007</v>
      </c>
      <c r="D535" s="235">
        <v>74608</v>
      </c>
      <c r="E535" s="180">
        <f>AP59</f>
        <v>93275</v>
      </c>
      <c r="F535" s="258">
        <f t="shared" si="18"/>
        <v>1125.1510116877544</v>
      </c>
      <c r="G535" s="258">
        <f t="shared" si="18"/>
        <v>539.4446104529618</v>
      </c>
      <c r="H535" s="260">
        <f t="shared" si="16"/>
        <v>-0.52055803634413345</v>
      </c>
      <c r="I535" s="262" t="s">
        <v>1281</v>
      </c>
      <c r="K535" s="256"/>
      <c r="L535" s="256"/>
    </row>
    <row r="536" spans="1:12" ht="12.6" customHeight="1">
      <c r="A536" s="180" t="s">
        <v>551</v>
      </c>
      <c r="B536" s="235">
        <v>0</v>
      </c>
      <c r="C536" s="235">
        <f>AQ71</f>
        <v>0</v>
      </c>
      <c r="D536" s="235"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>
      <c r="A537" s="180" t="s">
        <v>552</v>
      </c>
      <c r="B537" s="235">
        <v>238751.95</v>
      </c>
      <c r="C537" s="235">
        <f>AR71</f>
        <v>5644.6</v>
      </c>
      <c r="D537" s="235">
        <v>0</v>
      </c>
      <c r="E537" s="180">
        <f>AR59</f>
        <v>0</v>
      </c>
      <c r="F537" s="258" t="str">
        <f t="shared" si="18"/>
        <v/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>
      <c r="A538" s="180" t="s">
        <v>553</v>
      </c>
      <c r="B538" s="235">
        <v>0</v>
      </c>
      <c r="C538" s="235">
        <f>AS71</f>
        <v>0</v>
      </c>
      <c r="D538" s="235"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>
      <c r="A539" s="180" t="s">
        <v>554</v>
      </c>
      <c r="B539" s="235">
        <v>0</v>
      </c>
      <c r="C539" s="235">
        <f>AT71</f>
        <v>0</v>
      </c>
      <c r="D539" s="235"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>
      <c r="A540" s="180" t="s">
        <v>555</v>
      </c>
      <c r="B540" s="235">
        <v>0</v>
      </c>
      <c r="C540" s="235">
        <f>AU71</f>
        <v>0</v>
      </c>
      <c r="D540" s="235"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>
      <c r="A541" s="180" t="s">
        <v>556</v>
      </c>
      <c r="B541" s="235">
        <v>3774803.5596000003</v>
      </c>
      <c r="C541" s="235">
        <f>AV71</f>
        <v>4486032.9327999996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>
      <c r="A542" s="180" t="s">
        <v>1248</v>
      </c>
      <c r="B542" s="235">
        <v>898673.70000000007</v>
      </c>
      <c r="C542" s="235">
        <f>AW71</f>
        <v>908821.87000000023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>
      <c r="A543" s="180" t="s">
        <v>557</v>
      </c>
      <c r="B543" s="235">
        <v>282227.80800000002</v>
      </c>
      <c r="C543" s="235">
        <f>AX71</f>
        <v>1482.5688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>
      <c r="A544" s="180" t="s">
        <v>558</v>
      </c>
      <c r="B544" s="235">
        <v>5601436.0899999999</v>
      </c>
      <c r="C544" s="235">
        <f>AY71</f>
        <v>5769313.4400000004</v>
      </c>
      <c r="D544" s="235">
        <v>224615</v>
      </c>
      <c r="E544" s="180">
        <f>AY59</f>
        <v>224753</v>
      </c>
      <c r="F544" s="258">
        <f t="shared" ref="F544:G550" si="19">IF(B544=0,"",IF(D544=0,"",B544/D544))</f>
        <v>24.937943102642297</v>
      </c>
      <c r="G544" s="258">
        <f t="shared" si="19"/>
        <v>25.669572552980384</v>
      </c>
      <c r="H544" s="260" t="str">
        <f t="shared" si="16"/>
        <v/>
      </c>
      <c r="I544" s="262"/>
      <c r="K544" s="256"/>
      <c r="L544" s="256"/>
    </row>
    <row r="545" spans="1:13" ht="12.6" customHeight="1">
      <c r="A545" s="180" t="s">
        <v>559</v>
      </c>
      <c r="B545" s="235">
        <v>380237</v>
      </c>
      <c r="C545" s="235">
        <f>AZ71</f>
        <v>383313</v>
      </c>
      <c r="D545" s="235">
        <v>1142259</v>
      </c>
      <c r="E545" s="180">
        <f>AZ59</f>
        <v>870044</v>
      </c>
      <c r="F545" s="258">
        <f t="shared" si="19"/>
        <v>0.33288159690578056</v>
      </c>
      <c r="G545" s="258">
        <f t="shared" si="19"/>
        <v>0.44056737360409359</v>
      </c>
      <c r="H545" s="260">
        <f t="shared" si="16"/>
        <v>0.32349573451725733</v>
      </c>
      <c r="I545" s="262" t="s">
        <v>1282</v>
      </c>
      <c r="K545" s="256"/>
      <c r="L545" s="256"/>
    </row>
    <row r="546" spans="1:13" ht="12.6" customHeight="1">
      <c r="A546" s="180" t="s">
        <v>560</v>
      </c>
      <c r="B546" s="235">
        <v>118743.04000000001</v>
      </c>
      <c r="C546" s="235">
        <f>BA71</f>
        <v>237003.48</v>
      </c>
      <c r="D546" s="235"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>
      <c r="A547" s="180" t="s">
        <v>561</v>
      </c>
      <c r="B547" s="235">
        <v>42317.58</v>
      </c>
      <c r="C547" s="235">
        <f>BB71</f>
        <v>41793.86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>
      <c r="A548" s="180" t="s">
        <v>562</v>
      </c>
      <c r="B548" s="235">
        <v>1399113.29</v>
      </c>
      <c r="C548" s="235">
        <f>BC71</f>
        <v>1385217.3199999998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>
      <c r="A549" s="180" t="s">
        <v>563</v>
      </c>
      <c r="B549" s="235">
        <v>1330792</v>
      </c>
      <c r="C549" s="235">
        <f>BD71</f>
        <v>1341558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>
      <c r="A550" s="180" t="s">
        <v>564</v>
      </c>
      <c r="B550" s="235">
        <v>19349584.978399999</v>
      </c>
      <c r="C550" s="235">
        <f>BE71</f>
        <v>19317679.104400001</v>
      </c>
      <c r="D550" s="235">
        <v>645744</v>
      </c>
      <c r="E550" s="180">
        <f>BE59</f>
        <v>660133</v>
      </c>
      <c r="F550" s="258">
        <f t="shared" si="19"/>
        <v>29.964792515919619</v>
      </c>
      <c r="G550" s="258">
        <f t="shared" si="19"/>
        <v>29.263313763135613</v>
      </c>
      <c r="H550" s="260" t="str">
        <f t="shared" si="16"/>
        <v/>
      </c>
      <c r="I550" s="262"/>
      <c r="K550" s="256"/>
      <c r="L550" s="256"/>
    </row>
    <row r="551" spans="1:13" ht="12.6" customHeight="1">
      <c r="A551" s="180" t="s">
        <v>565</v>
      </c>
      <c r="B551" s="235">
        <v>5519930.2600000007</v>
      </c>
      <c r="C551" s="235">
        <f>BF71</f>
        <v>5352936.71</v>
      </c>
      <c r="D551" s="181" t="s">
        <v>529</v>
      </c>
      <c r="E551" s="181" t="s">
        <v>529</v>
      </c>
      <c r="F551" s="258"/>
      <c r="G551" s="258"/>
      <c r="H551" s="260"/>
      <c r="I551" s="262"/>
      <c r="J551" s="197"/>
      <c r="M551" s="260"/>
    </row>
    <row r="552" spans="1:13" ht="12.6" customHeight="1">
      <c r="A552" s="180" t="s">
        <v>566</v>
      </c>
      <c r="B552" s="235">
        <v>870428.53599999996</v>
      </c>
      <c r="C552" s="235">
        <f>BG71</f>
        <v>507906.43079999997</v>
      </c>
      <c r="D552" s="181" t="s">
        <v>529</v>
      </c>
      <c r="E552" s="181" t="s">
        <v>529</v>
      </c>
      <c r="F552" s="258"/>
      <c r="G552" s="258"/>
      <c r="H552" s="260"/>
      <c r="J552" s="197"/>
      <c r="M552" s="260"/>
    </row>
    <row r="553" spans="1:13" ht="12.6" customHeight="1">
      <c r="A553" s="180" t="s">
        <v>567</v>
      </c>
      <c r="B553" s="235">
        <v>2207498.3746372079</v>
      </c>
      <c r="C553" s="235">
        <f>BH71</f>
        <v>485815.51072945457</v>
      </c>
      <c r="D553" s="181" t="s">
        <v>529</v>
      </c>
      <c r="E553" s="181" t="s">
        <v>529</v>
      </c>
      <c r="F553" s="258"/>
      <c r="G553" s="258"/>
      <c r="H553" s="260"/>
      <c r="J553" s="197"/>
      <c r="M553" s="260"/>
    </row>
    <row r="554" spans="1:13" ht="12.6" customHeight="1">
      <c r="A554" s="180" t="s">
        <v>568</v>
      </c>
      <c r="B554" s="235"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7"/>
      <c r="M554" s="260"/>
    </row>
    <row r="555" spans="1:13" ht="12.6" customHeight="1">
      <c r="A555" s="180" t="s">
        <v>569</v>
      </c>
      <c r="B555" s="235">
        <v>1008926.4455999999</v>
      </c>
      <c r="C555" s="235">
        <f>BJ71</f>
        <v>1257081.4216116858</v>
      </c>
      <c r="D555" s="181" t="s">
        <v>529</v>
      </c>
      <c r="E555" s="181" t="s">
        <v>529</v>
      </c>
      <c r="F555" s="258"/>
      <c r="G555" s="258"/>
      <c r="H555" s="260"/>
      <c r="J555" s="197"/>
      <c r="M555" s="260"/>
    </row>
    <row r="556" spans="1:13" ht="12.6" customHeight="1">
      <c r="A556" s="180" t="s">
        <v>570</v>
      </c>
      <c r="B556" s="235">
        <v>7819538.3339812392</v>
      </c>
      <c r="C556" s="235">
        <f>BK71</f>
        <v>7602429.3120112997</v>
      </c>
      <c r="D556" s="181" t="s">
        <v>529</v>
      </c>
      <c r="E556" s="181" t="s">
        <v>529</v>
      </c>
      <c r="F556" s="258"/>
      <c r="G556" s="258"/>
      <c r="H556" s="260"/>
      <c r="J556" s="197"/>
      <c r="M556" s="260"/>
    </row>
    <row r="557" spans="1:13" ht="12.6" customHeight="1">
      <c r="A557" s="180" t="s">
        <v>571</v>
      </c>
      <c r="B557" s="235">
        <v>3201072.331584</v>
      </c>
      <c r="C557" s="235">
        <f>BL71</f>
        <v>2833893.3419999997</v>
      </c>
      <c r="D557" s="181" t="s">
        <v>529</v>
      </c>
      <c r="E557" s="181" t="s">
        <v>529</v>
      </c>
      <c r="F557" s="258"/>
      <c r="G557" s="258"/>
      <c r="H557" s="260"/>
      <c r="J557" s="197"/>
      <c r="M557" s="260"/>
    </row>
    <row r="558" spans="1:13" ht="12.6" customHeight="1">
      <c r="A558" s="180" t="s">
        <v>572</v>
      </c>
      <c r="B558" s="235"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7"/>
      <c r="M558" s="260"/>
    </row>
    <row r="559" spans="1:13" ht="12.6" customHeight="1">
      <c r="A559" s="180" t="s">
        <v>573</v>
      </c>
      <c r="B559" s="235">
        <v>7586034.8694167994</v>
      </c>
      <c r="C559" s="235">
        <f>BN71</f>
        <v>14144988.496499531</v>
      </c>
      <c r="D559" s="181" t="s">
        <v>529</v>
      </c>
      <c r="E559" s="181" t="s">
        <v>529</v>
      </c>
      <c r="F559" s="258"/>
      <c r="G559" s="258"/>
      <c r="H559" s="260"/>
      <c r="J559" s="197"/>
      <c r="M559" s="260"/>
    </row>
    <row r="560" spans="1:13" ht="12.6" customHeight="1">
      <c r="A560" s="180" t="s">
        <v>574</v>
      </c>
      <c r="B560" s="235">
        <v>576167.87999999989</v>
      </c>
      <c r="C560" s="235">
        <f>BO71</f>
        <v>692286.80639999988</v>
      </c>
      <c r="D560" s="181" t="s">
        <v>529</v>
      </c>
      <c r="E560" s="181" t="s">
        <v>529</v>
      </c>
      <c r="F560" s="258"/>
      <c r="G560" s="258"/>
      <c r="H560" s="260"/>
      <c r="J560" s="197"/>
      <c r="M560" s="260"/>
    </row>
    <row r="561" spans="1:13" ht="12.6" customHeight="1">
      <c r="A561" s="180" t="s">
        <v>575</v>
      </c>
      <c r="B561" s="235">
        <v>3663518.1288000001</v>
      </c>
      <c r="C561" s="235">
        <f>BP71</f>
        <v>907529.93759999983</v>
      </c>
      <c r="D561" s="181" t="s">
        <v>529</v>
      </c>
      <c r="E561" s="181" t="s">
        <v>529</v>
      </c>
      <c r="F561" s="258"/>
      <c r="G561" s="258"/>
      <c r="H561" s="260"/>
      <c r="J561" s="197"/>
      <c r="M561" s="260"/>
    </row>
    <row r="562" spans="1:13" ht="12.6" customHeight="1">
      <c r="A562" s="180" t="s">
        <v>576</v>
      </c>
      <c r="B562" s="235"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7"/>
      <c r="M562" s="260"/>
    </row>
    <row r="563" spans="1:13" ht="12.6" customHeight="1">
      <c r="A563" s="180" t="s">
        <v>577</v>
      </c>
      <c r="B563" s="235">
        <v>3929462.9109280002</v>
      </c>
      <c r="C563" s="235">
        <f>BR71</f>
        <v>2811904.3319999995</v>
      </c>
      <c r="D563" s="181" t="s">
        <v>529</v>
      </c>
      <c r="E563" s="181" t="s">
        <v>529</v>
      </c>
      <c r="F563" s="258"/>
      <c r="G563" s="258"/>
      <c r="H563" s="260"/>
      <c r="J563" s="197"/>
      <c r="M563" s="260"/>
    </row>
    <row r="564" spans="1:13" ht="12.6" customHeight="1">
      <c r="A564" s="180" t="s">
        <v>1249</v>
      </c>
      <c r="B564" s="235">
        <v>291264.61199999996</v>
      </c>
      <c r="C564" s="235">
        <f>BS71</f>
        <v>108426.83040000001</v>
      </c>
      <c r="D564" s="181" t="s">
        <v>529</v>
      </c>
      <c r="E564" s="181" t="s">
        <v>529</v>
      </c>
      <c r="F564" s="258"/>
      <c r="G564" s="258"/>
      <c r="H564" s="260"/>
      <c r="J564" s="197"/>
      <c r="M564" s="260"/>
    </row>
    <row r="565" spans="1:13" ht="12.6" customHeight="1">
      <c r="A565" s="180" t="s">
        <v>578</v>
      </c>
      <c r="B565" s="235">
        <v>300666.73919999995</v>
      </c>
      <c r="C565" s="235">
        <f>BT71</f>
        <v>50488.643199999999</v>
      </c>
      <c r="D565" s="181" t="s">
        <v>529</v>
      </c>
      <c r="E565" s="181" t="s">
        <v>529</v>
      </c>
      <c r="F565" s="258"/>
      <c r="G565" s="258"/>
      <c r="H565" s="260"/>
      <c r="J565" s="197"/>
      <c r="M565" s="260"/>
    </row>
    <row r="566" spans="1:13" ht="12.6" customHeight="1">
      <c r="A566" s="180" t="s">
        <v>579</v>
      </c>
      <c r="B566" s="235">
        <v>230125.37119999999</v>
      </c>
      <c r="C566" s="235">
        <f>BU71</f>
        <v>149819.24040000001</v>
      </c>
      <c r="D566" s="181" t="s">
        <v>529</v>
      </c>
      <c r="E566" s="181" t="s">
        <v>529</v>
      </c>
      <c r="F566" s="258"/>
      <c r="G566" s="258"/>
      <c r="H566" s="260"/>
      <c r="J566" s="197"/>
      <c r="M566" s="260"/>
    </row>
    <row r="567" spans="1:13" ht="12.6" customHeight="1">
      <c r="A567" s="180" t="s">
        <v>580</v>
      </c>
      <c r="B567" s="235">
        <v>4466222.5843406403</v>
      </c>
      <c r="C567" s="235">
        <f>BV71</f>
        <v>4079828.8782781269</v>
      </c>
      <c r="D567" s="181" t="s">
        <v>529</v>
      </c>
      <c r="E567" s="181" t="s">
        <v>529</v>
      </c>
      <c r="F567" s="258"/>
      <c r="G567" s="258"/>
      <c r="H567" s="260"/>
      <c r="J567" s="197"/>
      <c r="M567" s="260"/>
    </row>
    <row r="568" spans="1:13" ht="12.6" customHeight="1">
      <c r="A568" s="180" t="s">
        <v>581</v>
      </c>
      <c r="B568" s="235">
        <v>1848876.6379692799</v>
      </c>
      <c r="C568" s="235">
        <f>BW71</f>
        <v>843887.68584759696</v>
      </c>
      <c r="D568" s="181" t="s">
        <v>529</v>
      </c>
      <c r="E568" s="181" t="s">
        <v>529</v>
      </c>
      <c r="F568" s="258"/>
      <c r="G568" s="258"/>
      <c r="H568" s="260"/>
      <c r="J568" s="197"/>
      <c r="M568" s="260"/>
    </row>
    <row r="569" spans="1:13" ht="12.6" customHeight="1">
      <c r="A569" s="180" t="s">
        <v>582</v>
      </c>
      <c r="B569" s="235">
        <v>2843688.7722963202</v>
      </c>
      <c r="C569" s="235">
        <f>BX71</f>
        <v>3517552.1451690397</v>
      </c>
      <c r="D569" s="181" t="s">
        <v>529</v>
      </c>
      <c r="E569" s="181" t="s">
        <v>529</v>
      </c>
      <c r="F569" s="258"/>
      <c r="G569" s="258"/>
      <c r="H569" s="260"/>
      <c r="J569" s="197"/>
      <c r="M569" s="260"/>
    </row>
    <row r="570" spans="1:13" ht="12.6" customHeight="1">
      <c r="A570" s="180" t="s">
        <v>583</v>
      </c>
      <c r="B570" s="235">
        <v>5074326.5336000007</v>
      </c>
      <c r="C570" s="235">
        <f>BY71</f>
        <v>5346781.4248000002</v>
      </c>
      <c r="D570" s="181" t="s">
        <v>529</v>
      </c>
      <c r="E570" s="181" t="s">
        <v>529</v>
      </c>
      <c r="F570" s="258"/>
      <c r="G570" s="258"/>
      <c r="H570" s="260"/>
      <c r="J570" s="197"/>
      <c r="M570" s="260"/>
    </row>
    <row r="571" spans="1:13" ht="12.6" customHeight="1">
      <c r="A571" s="180" t="s">
        <v>584</v>
      </c>
      <c r="B571" s="235"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7"/>
      <c r="M571" s="260"/>
    </row>
    <row r="572" spans="1:13" ht="12.6" customHeight="1">
      <c r="A572" s="180" t="s">
        <v>585</v>
      </c>
      <c r="B572" s="235">
        <v>2106431.9340000004</v>
      </c>
      <c r="C572" s="235">
        <f>CA71</f>
        <v>2425593.2940000002</v>
      </c>
      <c r="D572" s="181" t="s">
        <v>529</v>
      </c>
      <c r="E572" s="181" t="s">
        <v>529</v>
      </c>
      <c r="F572" s="258"/>
      <c r="G572" s="258"/>
      <c r="H572" s="260"/>
      <c r="J572" s="197"/>
      <c r="M572" s="260"/>
    </row>
    <row r="573" spans="1:13" ht="12.6" customHeight="1">
      <c r="A573" s="180" t="s">
        <v>586</v>
      </c>
      <c r="B573" s="235">
        <v>84302.056800000006</v>
      </c>
      <c r="C573" s="235">
        <f>CB71</f>
        <v>100497.62880000001</v>
      </c>
      <c r="D573" s="181" t="s">
        <v>529</v>
      </c>
      <c r="E573" s="181" t="s">
        <v>529</v>
      </c>
      <c r="F573" s="258"/>
      <c r="G573" s="258"/>
      <c r="H573" s="260"/>
      <c r="J573" s="197"/>
      <c r="M573" s="260"/>
    </row>
    <row r="574" spans="1:13" ht="12.6" customHeight="1">
      <c r="A574" s="180" t="s">
        <v>587</v>
      </c>
      <c r="B574" s="235">
        <v>37715890.828599989</v>
      </c>
      <c r="C574" s="235">
        <f>CC71</f>
        <v>35910979.008766063</v>
      </c>
      <c r="D574" s="181" t="s">
        <v>529</v>
      </c>
      <c r="E574" s="181" t="s">
        <v>529</v>
      </c>
      <c r="F574" s="258"/>
      <c r="G574" s="258"/>
      <c r="H574" s="260"/>
      <c r="J574" s="197"/>
      <c r="M574" s="260"/>
    </row>
    <row r="575" spans="1:13" ht="12.6" customHeight="1">
      <c r="A575" s="180" t="s">
        <v>588</v>
      </c>
      <c r="B575" s="235">
        <v>23019820.940000001</v>
      </c>
      <c r="C575" s="235">
        <f>CD71</f>
        <v>10084530.879999999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>
      <c r="M576" s="260"/>
    </row>
    <row r="577" spans="13:13" ht="12.6" customHeight="1">
      <c r="M577" s="260"/>
    </row>
    <row r="578" spans="13:13" ht="12.6" customHeight="1">
      <c r="M578" s="260"/>
    </row>
    <row r="612" spans="1:14" ht="12.6" customHeight="1">
      <c r="A612" s="194"/>
      <c r="C612" s="181" t="s">
        <v>589</v>
      </c>
      <c r="D612" s="180">
        <f>CE76-(BE76+CD76)</f>
        <v>567982</v>
      </c>
      <c r="E612" s="180">
        <f>SUM(C624:D647)+SUM(C668:D713)</f>
        <v>363408926.35501975</v>
      </c>
      <c r="F612" s="180">
        <f>CE64-(AX64+BD64+BE64+BG64+BJ64+BN64+BP64+BQ64+CB64+CC64+CD64)</f>
        <v>91753186.829999998</v>
      </c>
      <c r="G612" s="180">
        <f>CE77-(AX77+AY77+BD77+BE77+BG77+BJ77+BN77+BP77+BQ77+CB77+CC77+CD77)</f>
        <v>224753</v>
      </c>
      <c r="H612" s="195">
        <f>CE60-(AX60+AY60+AZ60+BD60+BE60+BG60+BJ60+BN60+BO60+BP60+BQ60+BR60+CB60+CC60+CD60)</f>
        <v>1412.2450576923077</v>
      </c>
      <c r="I612" s="180">
        <f>CE78-(AX78+AY78+AZ78+BD78+BE78+BF78+BG78+BJ78+BN78+BO78+BP78+BQ78+BR78+CB78+CC78+CD78)</f>
        <v>112179.03999999998</v>
      </c>
      <c r="J612" s="180">
        <f>CE79-(AX79+AY79+AZ79+BA79+BD79+BE79+BF79+BG79+BJ79+BN79+BO79+BP79+BQ79+BR79+CB79+CC79+CD79)</f>
        <v>1721323</v>
      </c>
      <c r="K612" s="180">
        <f>CE75-(AW75+AX75+AY75+AZ75+BA75+BB75+BC75+BD75+BE75+BF75+BG75+BH75+BI75+BJ75+BK75+BL75+BM75+BN75+BO75+BP75+BQ75+BR75+BS75+BT75+BU75+BV75+BW75+BX75+CB75+CC75+CD75)</f>
        <v>2118510698.9199998</v>
      </c>
      <c r="L612" s="195">
        <f>CE80-(AW80+AX80+AY80+AZ80+BA80+BB80+BC80+BD80+BE80+BF80+BG80+BH80+BI80+BJ80+BK80+BL80+BM80+BN80+BO80+BP80+BQ80+BR80+BS80+BT80+BU80+BV80+BW80+BX80+BY80+BZ80+CA80+CB80+CC80+CD80)</f>
        <v>484.70158173076919</v>
      </c>
    </row>
    <row r="613" spans="1:14" ht="12.6" customHeight="1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>
      <c r="A614" s="194">
        <v>8430</v>
      </c>
      <c r="B614" s="196" t="s">
        <v>140</v>
      </c>
      <c r="C614" s="180">
        <f>BE71</f>
        <v>19317679.104400001</v>
      </c>
      <c r="N614" s="197" t="s">
        <v>600</v>
      </c>
    </row>
    <row r="615" spans="1:14" ht="12.6" customHeight="1">
      <c r="A615" s="194"/>
      <c r="B615" s="196" t="s">
        <v>601</v>
      </c>
      <c r="C615" s="267">
        <f>CD69-CD70</f>
        <v>10084530.879999999</v>
      </c>
      <c r="D615" s="261">
        <f>SUM(C614:C615)</f>
        <v>29402209.9844</v>
      </c>
      <c r="N615" s="197" t="s">
        <v>602</v>
      </c>
    </row>
    <row r="616" spans="1:14" ht="12.6" customHeight="1">
      <c r="A616" s="194">
        <v>8310</v>
      </c>
      <c r="B616" s="198" t="s">
        <v>603</v>
      </c>
      <c r="C616" s="180">
        <f>AX71</f>
        <v>1482.5688</v>
      </c>
      <c r="D616" s="180">
        <f>(D615/D612)*AX76</f>
        <v>0</v>
      </c>
      <c r="N616" s="197" t="s">
        <v>604</v>
      </c>
    </row>
    <row r="617" spans="1:14" ht="12.6" customHeight="1">
      <c r="A617" s="194">
        <v>8510</v>
      </c>
      <c r="B617" s="198" t="s">
        <v>145</v>
      </c>
      <c r="C617" s="180">
        <f>BJ71</f>
        <v>1257081.4216116858</v>
      </c>
      <c r="D617" s="180">
        <f>(D615/D612)*BJ76</f>
        <v>0</v>
      </c>
      <c r="N617" s="197" t="s">
        <v>605</v>
      </c>
    </row>
    <row r="618" spans="1:14" ht="12.6" customHeight="1">
      <c r="A618" s="194">
        <v>8470</v>
      </c>
      <c r="B618" s="198" t="s">
        <v>606</v>
      </c>
      <c r="C618" s="180">
        <f>BG71</f>
        <v>507906.43079999997</v>
      </c>
      <c r="D618" s="180">
        <f>(D615/D612)*BG76</f>
        <v>0</v>
      </c>
      <c r="N618" s="197" t="s">
        <v>607</v>
      </c>
    </row>
    <row r="619" spans="1:14" ht="12.6" customHeight="1">
      <c r="A619" s="194">
        <v>8610</v>
      </c>
      <c r="B619" s="198" t="s">
        <v>608</v>
      </c>
      <c r="C619" s="180">
        <f>BN71</f>
        <v>14144988.496499531</v>
      </c>
      <c r="D619" s="180">
        <f>(D615/D612)*BN76</f>
        <v>0</v>
      </c>
      <c r="N619" s="197" t="s">
        <v>609</v>
      </c>
    </row>
    <row r="620" spans="1:14" ht="12.6" customHeight="1">
      <c r="A620" s="194">
        <v>8790</v>
      </c>
      <c r="B620" s="198" t="s">
        <v>610</v>
      </c>
      <c r="C620" s="180">
        <f>CC71</f>
        <v>35910979.008766063</v>
      </c>
      <c r="D620" s="180">
        <f>(D615/D612)*CC76</f>
        <v>0</v>
      </c>
      <c r="N620" s="197" t="s">
        <v>611</v>
      </c>
    </row>
    <row r="621" spans="1:14" ht="12.6" customHeight="1">
      <c r="A621" s="194">
        <v>8630</v>
      </c>
      <c r="B621" s="198" t="s">
        <v>612</v>
      </c>
      <c r="C621" s="180">
        <f>BP71</f>
        <v>907529.93759999983</v>
      </c>
      <c r="D621" s="180">
        <f>(D615/D612)*BP76</f>
        <v>0</v>
      </c>
      <c r="N621" s="197" t="s">
        <v>613</v>
      </c>
    </row>
    <row r="622" spans="1:14" ht="12.6" customHeight="1">
      <c r="A622" s="194">
        <v>8770</v>
      </c>
      <c r="B622" s="196" t="s">
        <v>614</v>
      </c>
      <c r="C622" s="180">
        <f>CB71</f>
        <v>100497.62880000001</v>
      </c>
      <c r="D622" s="180">
        <f>(D615/D612)*CB76</f>
        <v>0</v>
      </c>
      <c r="N622" s="197" t="s">
        <v>615</v>
      </c>
    </row>
    <row r="623" spans="1:14" ht="12.6" customHeight="1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52830465.492877282</v>
      </c>
      <c r="N623" s="197" t="s">
        <v>617</v>
      </c>
    </row>
    <row r="624" spans="1:14" ht="12.6" customHeight="1">
      <c r="A624" s="194">
        <v>8420</v>
      </c>
      <c r="B624" s="198" t="s">
        <v>139</v>
      </c>
      <c r="C624" s="180">
        <f>BD71</f>
        <v>1341558</v>
      </c>
      <c r="D624" s="180">
        <f>(D615/D612)*BD76</f>
        <v>2723621.3051104113</v>
      </c>
      <c r="E624" s="180">
        <f>(E623/E612)*SUM(C624:D624)</f>
        <v>590974.24258419813</v>
      </c>
      <c r="F624" s="180">
        <f>SUM(C624:E624)</f>
        <v>4656153.5476946095</v>
      </c>
      <c r="N624" s="197" t="s">
        <v>618</v>
      </c>
    </row>
    <row r="625" spans="1:14" ht="12.6" customHeight="1">
      <c r="A625" s="194">
        <v>8320</v>
      </c>
      <c r="B625" s="198" t="s">
        <v>135</v>
      </c>
      <c r="C625" s="180">
        <f>AY71</f>
        <v>5769313.4400000004</v>
      </c>
      <c r="D625" s="180">
        <f>(D615/D612)*AY76</f>
        <v>213224.54395692752</v>
      </c>
      <c r="E625" s="180">
        <f>(E623/E612)*SUM(C625:D625)</f>
        <v>869709.6950571324</v>
      </c>
      <c r="F625" s="180">
        <f>(F624/F612)*AY64</f>
        <v>80266.094459319444</v>
      </c>
      <c r="G625" s="180">
        <f>SUM(C625:F625)</f>
        <v>6932513.7734733801</v>
      </c>
      <c r="N625" s="197" t="s">
        <v>619</v>
      </c>
    </row>
    <row r="626" spans="1:14" ht="12.6" customHeight="1">
      <c r="A626" s="194">
        <v>8650</v>
      </c>
      <c r="B626" s="198" t="s">
        <v>152</v>
      </c>
      <c r="C626" s="180">
        <f>BR71</f>
        <v>2811904.3319999995</v>
      </c>
      <c r="D626" s="180">
        <f>(D615/D612)*BR76</f>
        <v>206132.58898676507</v>
      </c>
      <c r="E626" s="180">
        <f>(E623/E612)*SUM(C626:D626)</f>
        <v>438746.22731379274</v>
      </c>
      <c r="F626" s="180">
        <f>(F624/F612)*BR64</f>
        <v>1536.9122005266406</v>
      </c>
      <c r="G626" s="180">
        <f>(G625/G612)*BR77</f>
        <v>0</v>
      </c>
      <c r="N626" s="197" t="s">
        <v>620</v>
      </c>
    </row>
    <row r="627" spans="1:14" ht="12.6" customHeight="1">
      <c r="A627" s="194">
        <v>8620</v>
      </c>
      <c r="B627" s="196" t="s">
        <v>621</v>
      </c>
      <c r="C627" s="180">
        <f>BO71</f>
        <v>692286.80639999988</v>
      </c>
      <c r="D627" s="180">
        <f>(D615/D612)*BO76</f>
        <v>0</v>
      </c>
      <c r="E627" s="180">
        <f>(E623/E612)*SUM(C627:D627)</f>
        <v>100640.99031227392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>
      <c r="A628" s="194">
        <v>8330</v>
      </c>
      <c r="B628" s="198" t="s">
        <v>136</v>
      </c>
      <c r="C628" s="180">
        <f>AZ71</f>
        <v>383313</v>
      </c>
      <c r="D628" s="180">
        <f>(D615/D612)*AZ76</f>
        <v>778199.70121497719</v>
      </c>
      <c r="E628" s="180">
        <f>(E623/E612)*SUM(C628:D628)</f>
        <v>168854.56638764514</v>
      </c>
      <c r="F628" s="180">
        <f>(F624/F612)*AZ64</f>
        <v>0</v>
      </c>
      <c r="G628" s="180">
        <f>(G625/G612)*AZ77</f>
        <v>0</v>
      </c>
      <c r="H628" s="180">
        <f>SUM(C626:G628)</f>
        <v>5581615.12481598</v>
      </c>
      <c r="N628" s="197" t="s">
        <v>623</v>
      </c>
    </row>
    <row r="629" spans="1:14" ht="12.6" customHeight="1">
      <c r="A629" s="194">
        <v>8460</v>
      </c>
      <c r="B629" s="198" t="s">
        <v>141</v>
      </c>
      <c r="C629" s="180">
        <f>BF71</f>
        <v>5352936.71</v>
      </c>
      <c r="D629" s="180">
        <f>(D615/D612)*BF76</f>
        <v>561765.65938834124</v>
      </c>
      <c r="E629" s="180">
        <f>(E623/E612)*SUM(C629:D629)</f>
        <v>859848.11259519577</v>
      </c>
      <c r="F629" s="180">
        <f>(F624/F612)*BF64</f>
        <v>9030.1243719552076</v>
      </c>
      <c r="G629" s="180">
        <f>(G625/G612)*BF77</f>
        <v>0</v>
      </c>
      <c r="H629" s="180">
        <f>(H628/H612)*BF60</f>
        <v>279379.52346435876</v>
      </c>
      <c r="I629" s="180">
        <f>SUM(C629:H629)</f>
        <v>7062960.1298198504</v>
      </c>
      <c r="N629" s="197" t="s">
        <v>624</v>
      </c>
    </row>
    <row r="630" spans="1:14" ht="12.6" customHeight="1">
      <c r="A630" s="194">
        <v>8350</v>
      </c>
      <c r="B630" s="198" t="s">
        <v>625</v>
      </c>
      <c r="C630" s="180">
        <f>BA71</f>
        <v>237003.48</v>
      </c>
      <c r="D630" s="180">
        <f>(D615/D612)*BA76</f>
        <v>192466.33999316738</v>
      </c>
      <c r="E630" s="180">
        <f>(E623/E612)*SUM(C630:D630)</f>
        <v>62434.048422949105</v>
      </c>
      <c r="F630" s="180">
        <f>(F624/F612)*BA64</f>
        <v>9.9716882184940108</v>
      </c>
      <c r="G630" s="180">
        <f>(G625/G612)*BA77</f>
        <v>0</v>
      </c>
      <c r="H630" s="180">
        <f>(H628/H612)*BA60</f>
        <v>11042.211149698887</v>
      </c>
      <c r="I630" s="180">
        <f>(I629/I612)*BA78</f>
        <v>54551.449291145516</v>
      </c>
      <c r="J630" s="180">
        <f>SUM(C630:I630)</f>
        <v>557507.50054517935</v>
      </c>
      <c r="N630" s="197" t="s">
        <v>626</v>
      </c>
    </row>
    <row r="631" spans="1:14" ht="12.6" customHeight="1">
      <c r="A631" s="194">
        <v>8200</v>
      </c>
      <c r="B631" s="198" t="s">
        <v>627</v>
      </c>
      <c r="C631" s="180">
        <f>AW71</f>
        <v>908821.87000000023</v>
      </c>
      <c r="D631" s="180">
        <f>(D615/D612)*AW76</f>
        <v>0</v>
      </c>
      <c r="E631" s="180">
        <f>(E623/E612)*SUM(C631:D631)</f>
        <v>132119.71132294671</v>
      </c>
      <c r="F631" s="180">
        <f>(F624/F612)*AW64</f>
        <v>114.20703920228759</v>
      </c>
      <c r="G631" s="180">
        <f>(G625/G612)*AW77</f>
        <v>0</v>
      </c>
      <c r="H631" s="180">
        <f>(H628/H612)*AW60</f>
        <v>46952.897415713735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>
      <c r="A632" s="194">
        <v>8360</v>
      </c>
      <c r="B632" s="198" t="s">
        <v>629</v>
      </c>
      <c r="C632" s="180">
        <f>BB71</f>
        <v>41793.86</v>
      </c>
      <c r="D632" s="180">
        <f>(D615/D612)*BB76</f>
        <v>59220.412305589969</v>
      </c>
      <c r="E632" s="180">
        <f>(E623/E612)*SUM(C632:D632)</f>
        <v>14684.920045456294</v>
      </c>
      <c r="F632" s="180">
        <f>(F624/F612)*BB64</f>
        <v>58.429525774931321</v>
      </c>
      <c r="G632" s="180">
        <f>(G625/G612)*BB77</f>
        <v>0</v>
      </c>
      <c r="H632" s="180">
        <f>(H628/H612)*BB60</f>
        <v>5.2253956828000758</v>
      </c>
      <c r="I632" s="180">
        <f>(I629/I612)*BB78</f>
        <v>16785.061320352466</v>
      </c>
      <c r="J632" s="180">
        <f>(J630/J612)*BB79</f>
        <v>5.5060134032183665</v>
      </c>
      <c r="N632" s="197" t="s">
        <v>630</v>
      </c>
    </row>
    <row r="633" spans="1:14" ht="12.6" customHeight="1">
      <c r="A633" s="194">
        <v>8370</v>
      </c>
      <c r="B633" s="198" t="s">
        <v>631</v>
      </c>
      <c r="C633" s="180">
        <f>BC71</f>
        <v>1385217.3199999998</v>
      </c>
      <c r="D633" s="180">
        <f>(D615/D612)*BC76</f>
        <v>0</v>
      </c>
      <c r="E633" s="180">
        <f>(E623/E612)*SUM(C633:D633)</f>
        <v>201375.55936890675</v>
      </c>
      <c r="F633" s="180">
        <f>(F624/F612)*BC64</f>
        <v>928.67930893739958</v>
      </c>
      <c r="G633" s="180">
        <f>(G625/G612)*BC77</f>
        <v>0</v>
      </c>
      <c r="H633" s="180">
        <f>(H628/H612)*BC60</f>
        <v>74048.892206571385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>
      <c r="A634" s="194">
        <v>8490</v>
      </c>
      <c r="B634" s="198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2298.6420601443297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" customHeight="1">
      <c r="A635" s="194">
        <v>8530</v>
      </c>
      <c r="B635" s="198" t="s">
        <v>635</v>
      </c>
      <c r="C635" s="180">
        <f>BK71</f>
        <v>7602429.3120112997</v>
      </c>
      <c r="D635" s="180">
        <f>(D615/D612)*BK76</f>
        <v>0</v>
      </c>
      <c r="E635" s="180">
        <f>(E623/E612)*SUM(C635:D635)</f>
        <v>1105200.9191372574</v>
      </c>
      <c r="F635" s="180">
        <f>(F624/F612)*BK64</f>
        <v>82.657937088100695</v>
      </c>
      <c r="G635" s="180">
        <f>(G625/G612)*BK77</f>
        <v>0</v>
      </c>
      <c r="H635" s="180">
        <f>(H628/H612)*BK60</f>
        <v>3964.1181750440633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>
      <c r="A636" s="194">
        <v>8480</v>
      </c>
      <c r="B636" s="198" t="s">
        <v>637</v>
      </c>
      <c r="C636" s="180">
        <f>BH71</f>
        <v>485815.51072945457</v>
      </c>
      <c r="D636" s="180">
        <f>(D615/D612)*BH76</f>
        <v>0</v>
      </c>
      <c r="E636" s="180">
        <f>(E623/E612)*SUM(C636:D636)</f>
        <v>70625.286596355174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>
      <c r="A637" s="194">
        <v>8560</v>
      </c>
      <c r="B637" s="198" t="s">
        <v>147</v>
      </c>
      <c r="C637" s="180">
        <f>BL71</f>
        <v>2833893.3419999997</v>
      </c>
      <c r="D637" s="180">
        <f>(D615/D612)*BL76</f>
        <v>0</v>
      </c>
      <c r="E637" s="180">
        <f>(E623/E612)*SUM(C637:D637)</f>
        <v>411976.40882592381</v>
      </c>
      <c r="F637" s="180">
        <f>(F624/F612)*BL64</f>
        <v>886.77081530706346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>
      <c r="A639" s="194">
        <v>8660</v>
      </c>
      <c r="B639" s="198" t="s">
        <v>642</v>
      </c>
      <c r="C639" s="180">
        <f>BS71</f>
        <v>108426.83040000001</v>
      </c>
      <c r="D639" s="180">
        <f>(D615/D612)*BS76</f>
        <v>220057.66845372636</v>
      </c>
      <c r="E639" s="180">
        <f>(E623/E612)*SUM(C639:D639)</f>
        <v>47753.337144733479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62371.761951764282</v>
      </c>
      <c r="J639" s="180">
        <f>(J630/J612)*BS79</f>
        <v>0</v>
      </c>
      <c r="N639" s="197" t="s">
        <v>643</v>
      </c>
    </row>
    <row r="640" spans="1:14" ht="12.6" customHeight="1">
      <c r="A640" s="194">
        <v>8670</v>
      </c>
      <c r="B640" s="198" t="s">
        <v>644</v>
      </c>
      <c r="C640" s="180">
        <f>BT71</f>
        <v>50488.643199999999</v>
      </c>
      <c r="D640" s="180">
        <f>(D615/D612)*BT76</f>
        <v>0</v>
      </c>
      <c r="E640" s="180">
        <f>(E623/E612)*SUM(C640:D640)</f>
        <v>7339.7716151694885</v>
      </c>
      <c r="F640" s="180">
        <f>(F624/F612)*BT64</f>
        <v>8.2209337984530784E-2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>
      <c r="A641" s="194">
        <v>8680</v>
      </c>
      <c r="B641" s="198" t="s">
        <v>646</v>
      </c>
      <c r="C641" s="180">
        <f>BU71</f>
        <v>149819.24040000001</v>
      </c>
      <c r="D641" s="180">
        <f>(D615/D612)*BU76</f>
        <v>139147.26248026732</v>
      </c>
      <c r="E641" s="180">
        <f>(E623/E612)*SUM(C641:D641)</f>
        <v>42008.420134676511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39439.025200268734</v>
      </c>
      <c r="J641" s="180">
        <f>(J630/J612)*BU79</f>
        <v>0</v>
      </c>
      <c r="N641" s="197" t="s">
        <v>647</v>
      </c>
    </row>
    <row r="642" spans="1:14" ht="12.6" customHeight="1">
      <c r="A642" s="194">
        <v>8690</v>
      </c>
      <c r="B642" s="198" t="s">
        <v>648</v>
      </c>
      <c r="C642" s="180">
        <f>BV71</f>
        <v>4079828.8782781269</v>
      </c>
      <c r="D642" s="180">
        <f>(D615/D612)*BV76</f>
        <v>390057.52335893392</v>
      </c>
      <c r="E642" s="180">
        <f>(E623/E612)*SUM(C642:D642)</f>
        <v>649808.41738618526</v>
      </c>
      <c r="F642" s="180">
        <f>(F624/F612)*BV64</f>
        <v>254.53939407198018</v>
      </c>
      <c r="G642" s="180">
        <f>(G625/G612)*BV77</f>
        <v>0</v>
      </c>
      <c r="H642" s="180">
        <f>(H628/H612)*BV60</f>
        <v>0</v>
      </c>
      <c r="I642" s="180">
        <f>(I629/I612)*BV78</f>
        <v>110555.45196578307</v>
      </c>
      <c r="J642" s="180">
        <f>(J630/J612)*BV79</f>
        <v>0</v>
      </c>
      <c r="N642" s="197" t="s">
        <v>649</v>
      </c>
    </row>
    <row r="643" spans="1:14" ht="12.6" customHeight="1">
      <c r="A643" s="194">
        <v>8700</v>
      </c>
      <c r="B643" s="198" t="s">
        <v>650</v>
      </c>
      <c r="C643" s="180">
        <f>BW71</f>
        <v>843887.68584759696</v>
      </c>
      <c r="D643" s="180">
        <f>(D615/D612)*BW76</f>
        <v>0</v>
      </c>
      <c r="E643" s="180">
        <f>(E623/E612)*SUM(C643:D643)</f>
        <v>122679.92345207761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>
      <c r="A644" s="194">
        <v>8710</v>
      </c>
      <c r="B644" s="198" t="s">
        <v>652</v>
      </c>
      <c r="C644" s="180">
        <f>BX71</f>
        <v>3517552.1451690397</v>
      </c>
      <c r="D644" s="180">
        <f>(D615/D612)*BX76</f>
        <v>0</v>
      </c>
      <c r="E644" s="180">
        <f>(E623/E612)*SUM(C644:D644)</f>
        <v>511363.10571305396</v>
      </c>
      <c r="F644" s="180">
        <f>(F624/F612)*BX64</f>
        <v>0</v>
      </c>
      <c r="G644" s="180">
        <f>(G625/G612)*BX77</f>
        <v>0</v>
      </c>
      <c r="H644" s="180">
        <f>(H628/H612)*BX60</f>
        <v>22.801726615854875</v>
      </c>
      <c r="I644" s="180">
        <f>(I629/I612)*BX78</f>
        <v>0</v>
      </c>
      <c r="J644" s="180">
        <f>(J630/J612)*BX79</f>
        <v>0</v>
      </c>
      <c r="K644" s="180">
        <f>SUM(C631:J644)</f>
        <v>26492168.035037849</v>
      </c>
      <c r="N644" s="197" t="s">
        <v>653</v>
      </c>
    </row>
    <row r="645" spans="1:14" ht="12.6" customHeight="1">
      <c r="A645" s="194">
        <v>8720</v>
      </c>
      <c r="B645" s="198" t="s">
        <v>654</v>
      </c>
      <c r="C645" s="180">
        <f>BY71</f>
        <v>5346781.4248000002</v>
      </c>
      <c r="D645" s="180">
        <f>(D615/D612)*BY76</f>
        <v>136507.19165195868</v>
      </c>
      <c r="E645" s="180">
        <f>(E623/E612)*SUM(C645:D645)</f>
        <v>797131.46549392852</v>
      </c>
      <c r="F645" s="180">
        <f>(F624/F612)*BY64</f>
        <v>1333.6445377093955</v>
      </c>
      <c r="G645" s="180">
        <f>(G625/G612)*BY77</f>
        <v>0</v>
      </c>
      <c r="H645" s="180">
        <f>(H628/H612)*BY60</f>
        <v>119619.94798504778</v>
      </c>
      <c r="I645" s="180">
        <f>(I629/I612)*BY78</f>
        <v>38690.740123924341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>
      <c r="A647" s="194">
        <v>8740</v>
      </c>
      <c r="B647" s="198" t="s">
        <v>658</v>
      </c>
      <c r="C647" s="180">
        <f>CA71</f>
        <v>2425593.2940000002</v>
      </c>
      <c r="D647" s="180">
        <f>(D615/D612)*CA76</f>
        <v>95922.573428547388</v>
      </c>
      <c r="E647" s="180">
        <f>(E623/E612)*SUM(C647:D647)</f>
        <v>366564.62558596791</v>
      </c>
      <c r="F647" s="180">
        <f>(F624/F612)*CA64</f>
        <v>1261.4962017920332</v>
      </c>
      <c r="G647" s="180">
        <f>(G625/G612)*CA77</f>
        <v>0</v>
      </c>
      <c r="H647" s="180">
        <f>(H628/H612)*CA60</f>
        <v>39862.909540340974</v>
      </c>
      <c r="I647" s="180">
        <f>(I629/I612)*CA78</f>
        <v>27187.6911071793</v>
      </c>
      <c r="J647" s="180">
        <f>(J630/J612)*CA79</f>
        <v>0</v>
      </c>
      <c r="K647" s="180">
        <v>0</v>
      </c>
      <c r="L647" s="180">
        <f>SUM(C645:K647)</f>
        <v>9396457.0044563971</v>
      </c>
      <c r="N647" s="197" t="s">
        <v>659</v>
      </c>
    </row>
    <row r="648" spans="1:14" ht="12.6" customHeight="1">
      <c r="A648" s="194"/>
      <c r="B648" s="194"/>
      <c r="C648" s="180">
        <f>SUM(C614:C647)</f>
        <v>128601340.60251279</v>
      </c>
      <c r="L648" s="261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>
      <c r="A668" s="194">
        <v>6010</v>
      </c>
      <c r="B668" s="196" t="s">
        <v>283</v>
      </c>
      <c r="C668" s="180">
        <f>C71</f>
        <v>9300283.8499999996</v>
      </c>
      <c r="D668" s="180">
        <f>(D615/D612)*C76</f>
        <v>455541.63311992283</v>
      </c>
      <c r="E668" s="180">
        <f>(E623/E612)*SUM(C668:D668)</f>
        <v>1418250.2524359927</v>
      </c>
      <c r="F668" s="180">
        <f>(F624/F612)*C64</f>
        <v>37140.384504996728</v>
      </c>
      <c r="G668" s="180">
        <f>(G625/G612)*C77</f>
        <v>168876.55741977529</v>
      </c>
      <c r="H668" s="180">
        <f>(H628/H612)*C60</f>
        <v>214305.88489119787</v>
      </c>
      <c r="I668" s="180">
        <f>(I629/I612)*C78</f>
        <v>129115.85631040359</v>
      </c>
      <c r="J668" s="180">
        <f>(J630/J612)*C79</f>
        <v>20229.093243424279</v>
      </c>
      <c r="K668" s="180">
        <f>(K644/K612)*C75</f>
        <v>449419.63160855917</v>
      </c>
      <c r="L668" s="180">
        <f>(L647/L612)*C80</f>
        <v>740603.74762576632</v>
      </c>
      <c r="M668" s="180">
        <f t="shared" ref="M668:M713" si="20">ROUND(SUM(D668:L668),0)</f>
        <v>3633483</v>
      </c>
      <c r="N668" s="196" t="s">
        <v>663</v>
      </c>
    </row>
    <row r="669" spans="1:14" ht="12.6" customHeight="1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>
      <c r="A670" s="194">
        <v>6070</v>
      </c>
      <c r="B670" s="196" t="s">
        <v>665</v>
      </c>
      <c r="C670" s="180">
        <f>E71</f>
        <v>48062418.790000007</v>
      </c>
      <c r="D670" s="180">
        <f>(D615/D612)*E76</f>
        <v>4673960.6879997533</v>
      </c>
      <c r="E670" s="180">
        <f>(E623/E612)*SUM(C670:D670)</f>
        <v>7666535.6136848889</v>
      </c>
      <c r="F670" s="180">
        <f>(F624/F612)*E64</f>
        <v>94808.196614042055</v>
      </c>
      <c r="G670" s="180">
        <f>(G625/G612)*E77</f>
        <v>6528012.0065322053</v>
      </c>
      <c r="H670" s="180">
        <f>(H628/H612)*E60</f>
        <v>1401210.7159226937</v>
      </c>
      <c r="I670" s="180">
        <f>(I629/I612)*E78</f>
        <v>1324758.0302575387</v>
      </c>
      <c r="J670" s="180">
        <f>(J630/J612)*E79</f>
        <v>184230.56070540383</v>
      </c>
      <c r="K670" s="180">
        <f>(K644/K612)*E75</f>
        <v>2358475.897757974</v>
      </c>
      <c r="L670" s="180">
        <f>(L647/L612)*E80</f>
        <v>3656292.1669714726</v>
      </c>
      <c r="M670" s="180">
        <f t="shared" si="20"/>
        <v>27888284</v>
      </c>
      <c r="N670" s="196" t="s">
        <v>666</v>
      </c>
    </row>
    <row r="671" spans="1:14" ht="12.6" customHeight="1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28392.567821548921</v>
      </c>
      <c r="K671" s="180">
        <f>(K644/K612)*F75</f>
        <v>0</v>
      </c>
      <c r="L671" s="180">
        <f>(L647/L612)*F80</f>
        <v>0</v>
      </c>
      <c r="M671" s="180">
        <f t="shared" si="20"/>
        <v>28393</v>
      </c>
      <c r="N671" s="196" t="s">
        <v>668</v>
      </c>
    </row>
    <row r="672" spans="1:14" ht="12.6" customHeight="1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>
      <c r="A673" s="194">
        <v>6140</v>
      </c>
      <c r="B673" s="196" t="s">
        <v>671</v>
      </c>
      <c r="C673" s="180">
        <f>H71</f>
        <v>758.92000000000007</v>
      </c>
      <c r="D673" s="180">
        <f>(D615/D612)*H76</f>
        <v>0</v>
      </c>
      <c r="E673" s="180">
        <f>(E623/E612)*SUM(C673:D673)</f>
        <v>110.32777118051825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110</v>
      </c>
      <c r="N673" s="196" t="s">
        <v>672</v>
      </c>
    </row>
    <row r="674" spans="1:14" ht="12.6" customHeight="1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>
      <c r="A675" s="194">
        <v>6170</v>
      </c>
      <c r="B675" s="196" t="s">
        <v>99</v>
      </c>
      <c r="C675" s="180">
        <f>J71</f>
        <v>12329251.000000002</v>
      </c>
      <c r="D675" s="180">
        <f>(D615/D612)*J76</f>
        <v>830379.92464507744</v>
      </c>
      <c r="E675" s="180">
        <f>(E623/E612)*SUM(C675:D675)</f>
        <v>1913077.4646528147</v>
      </c>
      <c r="F675" s="180">
        <f>(F624/F612)*J64</f>
        <v>35657.444257252078</v>
      </c>
      <c r="G675" s="180">
        <f>(G625/G612)*J77</f>
        <v>0</v>
      </c>
      <c r="H675" s="180">
        <f>(H628/H612)*J60</f>
        <v>278669.95273351221</v>
      </c>
      <c r="I675" s="180">
        <f>(I629/I612)*J78</f>
        <v>235357.66489490727</v>
      </c>
      <c r="J675" s="180">
        <f>(J630/J612)*J79</f>
        <v>0</v>
      </c>
      <c r="K675" s="180">
        <f>(K644/K612)*J75</f>
        <v>738241.21602169389</v>
      </c>
      <c r="L675" s="180">
        <f>(L647/L612)*J80</f>
        <v>978786.45725440327</v>
      </c>
      <c r="M675" s="180">
        <f t="shared" si="20"/>
        <v>5010170</v>
      </c>
      <c r="N675" s="196" t="s">
        <v>675</v>
      </c>
    </row>
    <row r="676" spans="1:14" ht="12.6" customHeight="1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>
      <c r="A681" s="194">
        <v>7020</v>
      </c>
      <c r="B681" s="196" t="s">
        <v>684</v>
      </c>
      <c r="C681" s="180">
        <f>P71</f>
        <v>40527366.009999998</v>
      </c>
      <c r="D681" s="180">
        <f>(D615/D612)*P76</f>
        <v>3043225.1736197751</v>
      </c>
      <c r="E681" s="180">
        <f>(E623/E612)*SUM(C681:D681)</f>
        <v>6334061.8435491333</v>
      </c>
      <c r="F681" s="180">
        <f>(F624/F612)*P64</f>
        <v>953642.86050914938</v>
      </c>
      <c r="G681" s="180">
        <f>(G625/G612)*P77</f>
        <v>987.04106619777338</v>
      </c>
      <c r="H681" s="180">
        <f>(H628/H612)*P60</f>
        <v>389116.72809812392</v>
      </c>
      <c r="I681" s="180">
        <f>(I629/I612)*P78</f>
        <v>862552.60917909164</v>
      </c>
      <c r="J681" s="180">
        <f>(J630/J612)*P79</f>
        <v>107339.40741260069</v>
      </c>
      <c r="K681" s="180">
        <f>(K644/K612)*P75</f>
        <v>4752010.6290896134</v>
      </c>
      <c r="L681" s="180">
        <f>(L647/L612)*P80</f>
        <v>853109.29222551093</v>
      </c>
      <c r="M681" s="180">
        <f t="shared" si="20"/>
        <v>17296046</v>
      </c>
      <c r="N681" s="196" t="s">
        <v>685</v>
      </c>
    </row>
    <row r="682" spans="1:14" ht="12.6" customHeight="1">
      <c r="A682" s="194">
        <v>7030</v>
      </c>
      <c r="B682" s="196" t="s">
        <v>686</v>
      </c>
      <c r="C682" s="180">
        <f>Q71</f>
        <v>6397711.5</v>
      </c>
      <c r="D682" s="180">
        <f>(D615/D612)*Q76</f>
        <v>446586.09874154249</v>
      </c>
      <c r="E682" s="180">
        <f>(E623/E612)*SUM(C682:D682)</f>
        <v>994987.74490766798</v>
      </c>
      <c r="F682" s="180">
        <f>(F624/F612)*Q64</f>
        <v>29687.104758296569</v>
      </c>
      <c r="G682" s="180">
        <f>(G625/G612)*Q77</f>
        <v>0</v>
      </c>
      <c r="H682" s="180">
        <f>(H628/H612)*Q60</f>
        <v>175424.43767015869</v>
      </c>
      <c r="I682" s="180">
        <f>(I629/I612)*Q78</f>
        <v>126577.55595339225</v>
      </c>
      <c r="J682" s="180">
        <f>(J630/J612)*Q79</f>
        <v>0</v>
      </c>
      <c r="K682" s="180">
        <f>(K644/K612)*Q75</f>
        <v>617525.36637068319</v>
      </c>
      <c r="L682" s="180">
        <f>(L647/L612)*Q80</f>
        <v>590847.41059831681</v>
      </c>
      <c r="M682" s="180">
        <f t="shared" si="20"/>
        <v>2981636</v>
      </c>
      <c r="N682" s="196" t="s">
        <v>687</v>
      </c>
    </row>
    <row r="683" spans="1:14" ht="12.6" customHeight="1">
      <c r="A683" s="194">
        <v>7040</v>
      </c>
      <c r="B683" s="196" t="s">
        <v>107</v>
      </c>
      <c r="C683" s="180">
        <f>R71</f>
        <v>1241472.2</v>
      </c>
      <c r="D683" s="180">
        <f>(D615/D612)*R76</f>
        <v>6004.8669820353462</v>
      </c>
      <c r="E683" s="180">
        <f>(E623/E612)*SUM(C683:D683)</f>
        <v>181351.61070855692</v>
      </c>
      <c r="F683" s="180">
        <f>(F624/F612)*R64</f>
        <v>19474.682224931388</v>
      </c>
      <c r="G683" s="180">
        <f>(G625/G612)*R77</f>
        <v>0</v>
      </c>
      <c r="H683" s="180">
        <f>(H628/H612)*R60</f>
        <v>9327.8443326469933</v>
      </c>
      <c r="I683" s="180">
        <f>(I629/I612)*R78</f>
        <v>1701.9817422735018</v>
      </c>
      <c r="J683" s="180">
        <f>(J630/J612)*R79</f>
        <v>0</v>
      </c>
      <c r="K683" s="180">
        <f>(K644/K612)*R75</f>
        <v>258394.75516249609</v>
      </c>
      <c r="L683" s="180">
        <f>(L647/L612)*R80</f>
        <v>38618.721731771795</v>
      </c>
      <c r="M683" s="180">
        <f t="shared" si="20"/>
        <v>514874</v>
      </c>
      <c r="N683" s="196" t="s">
        <v>688</v>
      </c>
    </row>
    <row r="684" spans="1:14" ht="12.6" customHeight="1">
      <c r="A684" s="194">
        <v>7050</v>
      </c>
      <c r="B684" s="196" t="s">
        <v>689</v>
      </c>
      <c r="C684" s="180">
        <f>S71</f>
        <v>2659349.2025842182</v>
      </c>
      <c r="D684" s="180">
        <f>(D615/D612)*S76</f>
        <v>435818.75104961707</v>
      </c>
      <c r="E684" s="180">
        <f>(E623/E612)*SUM(C684:D684)</f>
        <v>449959.12843749893</v>
      </c>
      <c r="F684" s="180">
        <f>(F624/F612)*S64</f>
        <v>-36598.266189888833</v>
      </c>
      <c r="G684" s="180">
        <f>(G625/G612)*S77</f>
        <v>0</v>
      </c>
      <c r="H684" s="180">
        <f>(H628/H612)*S60</f>
        <v>150454.43786608562</v>
      </c>
      <c r="I684" s="180">
        <f>(I629/I612)*S78</f>
        <v>123525.72662241907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1123160</v>
      </c>
      <c r="N684" s="196" t="s">
        <v>690</v>
      </c>
    </row>
    <row r="685" spans="1:14" ht="12.6" customHeight="1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6" t="s">
        <v>692</v>
      </c>
    </row>
    <row r="686" spans="1:14" ht="12.6" customHeight="1">
      <c r="A686" s="194">
        <v>7070</v>
      </c>
      <c r="B686" s="196" t="s">
        <v>109</v>
      </c>
      <c r="C686" s="180">
        <f>U71</f>
        <v>12635470.559999999</v>
      </c>
      <c r="D686" s="180">
        <f>(D615/D612)*U76</f>
        <v>692319.75015293725</v>
      </c>
      <c r="E686" s="180">
        <f>(E623/E612)*SUM(C686:D686)</f>
        <v>1937523.5857277203</v>
      </c>
      <c r="F686" s="180">
        <f>(F624/F612)*U64</f>
        <v>196143.78015643256</v>
      </c>
      <c r="G686" s="180">
        <f>(G625/G612)*U77</f>
        <v>0</v>
      </c>
      <c r="H686" s="180">
        <f>(H628/H612)*U60</f>
        <v>219849.83969626029</v>
      </c>
      <c r="I686" s="180">
        <f>(I629/I612)*U78</f>
        <v>196226.75707901563</v>
      </c>
      <c r="J686" s="180">
        <f>(J630/J612)*U79</f>
        <v>0</v>
      </c>
      <c r="K686" s="180">
        <f>(K644/K612)*U75</f>
        <v>1135380.6342889168</v>
      </c>
      <c r="L686" s="180">
        <f>(L647/L612)*U80</f>
        <v>0</v>
      </c>
      <c r="M686" s="180">
        <f t="shared" si="20"/>
        <v>4377444</v>
      </c>
      <c r="N686" s="196" t="s">
        <v>693</v>
      </c>
    </row>
    <row r="687" spans="1:14" ht="12.6" customHeight="1">
      <c r="A687" s="194">
        <v>7110</v>
      </c>
      <c r="B687" s="196" t="s">
        <v>694</v>
      </c>
      <c r="C687" s="180">
        <f>V71</f>
        <v>748332.80999999982</v>
      </c>
      <c r="D687" s="180">
        <f>(D615/D612)*V76</f>
        <v>0</v>
      </c>
      <c r="E687" s="180">
        <f>(E623/E612)*SUM(C687:D687)</f>
        <v>108788.66155662549</v>
      </c>
      <c r="F687" s="180">
        <f>(F624/F612)*V64</f>
        <v>963.62284476626894</v>
      </c>
      <c r="G687" s="180">
        <f>(G625/G612)*V77</f>
        <v>0</v>
      </c>
      <c r="H687" s="180">
        <f>(H628/H612)*V60</f>
        <v>20016.286693900889</v>
      </c>
      <c r="I687" s="180">
        <f>(I629/I612)*V78</f>
        <v>0</v>
      </c>
      <c r="J687" s="180">
        <f>(J630/J612)*V79</f>
        <v>0</v>
      </c>
      <c r="K687" s="180">
        <f>(K644/K612)*V75</f>
        <v>354183.24538438715</v>
      </c>
      <c r="L687" s="180">
        <f>(L647/L612)*V80</f>
        <v>0</v>
      </c>
      <c r="M687" s="180">
        <f t="shared" si="20"/>
        <v>483952</v>
      </c>
      <c r="N687" s="196" t="s">
        <v>695</v>
      </c>
    </row>
    <row r="688" spans="1:14" ht="12.6" customHeight="1">
      <c r="A688" s="194">
        <v>7120</v>
      </c>
      <c r="B688" s="196" t="s">
        <v>696</v>
      </c>
      <c r="C688" s="180">
        <f>W71</f>
        <v>738302.89</v>
      </c>
      <c r="D688" s="180">
        <f>(D615/D612)*W76</f>
        <v>113471.27952259895</v>
      </c>
      <c r="E688" s="180">
        <f>(E623/E612)*SUM(C688:D688)</f>
        <v>123826.41869046178</v>
      </c>
      <c r="F688" s="180">
        <f>(F624/F612)*W64</f>
        <v>3943.9244820262097</v>
      </c>
      <c r="G688" s="180">
        <f>(G625/G612)*W77</f>
        <v>0</v>
      </c>
      <c r="H688" s="180">
        <f>(H628/H612)*W60</f>
        <v>0</v>
      </c>
      <c r="I688" s="180">
        <f>(I629/I612)*W78</f>
        <v>32161.586026409623</v>
      </c>
      <c r="J688" s="180">
        <f>(J630/J612)*W79</f>
        <v>0</v>
      </c>
      <c r="K688" s="180">
        <f>(K644/K612)*W75</f>
        <v>237969.033612486</v>
      </c>
      <c r="L688" s="180">
        <f>(L647/L612)*W80</f>
        <v>0</v>
      </c>
      <c r="M688" s="180">
        <f t="shared" si="20"/>
        <v>511372</v>
      </c>
      <c r="N688" s="196" t="s">
        <v>697</v>
      </c>
    </row>
    <row r="689" spans="1:14" ht="12.6" customHeight="1">
      <c r="A689" s="194">
        <v>7130</v>
      </c>
      <c r="B689" s="196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6" t="s">
        <v>699</v>
      </c>
    </row>
    <row r="690" spans="1:14" ht="12.6" customHeight="1">
      <c r="A690" s="194">
        <v>7140</v>
      </c>
      <c r="B690" s="196" t="s">
        <v>1250</v>
      </c>
      <c r="C690" s="180">
        <f>Y71</f>
        <v>34979232.449999988</v>
      </c>
      <c r="D690" s="180">
        <f>(D615/D612)*Y76</f>
        <v>1194399.1023836341</v>
      </c>
      <c r="E690" s="180">
        <f>(E623/E612)*SUM(C690:D690)</f>
        <v>5258731.0186577709</v>
      </c>
      <c r="F690" s="180">
        <f>(F624/F612)*Y64</f>
        <v>645860.4770491767</v>
      </c>
      <c r="G690" s="180">
        <f>(G625/G612)*Y77</f>
        <v>0</v>
      </c>
      <c r="H690" s="180">
        <f>(H628/H612)*Y60</f>
        <v>582532.2411070409</v>
      </c>
      <c r="I690" s="180">
        <f>(I629/I612)*Y78</f>
        <v>338532.97189203883</v>
      </c>
      <c r="J690" s="180">
        <f>(J630/J612)*Y79</f>
        <v>26955.49832330893</v>
      </c>
      <c r="K690" s="180">
        <f>(K644/K612)*Y75</f>
        <v>4470079.9120261064</v>
      </c>
      <c r="L690" s="180">
        <f>(L647/L612)*Y80</f>
        <v>353529.89738104795</v>
      </c>
      <c r="M690" s="180">
        <f t="shared" si="20"/>
        <v>12870621</v>
      </c>
      <c r="N690" s="196" t="s">
        <v>700</v>
      </c>
    </row>
    <row r="691" spans="1:14" ht="12.6" customHeight="1">
      <c r="A691" s="194">
        <v>7150</v>
      </c>
      <c r="B691" s="196" t="s">
        <v>701</v>
      </c>
      <c r="C691" s="180">
        <f>Z71</f>
        <v>3399580.13</v>
      </c>
      <c r="D691" s="180">
        <f>(D615/D612)*Z76</f>
        <v>609442.23258191487</v>
      </c>
      <c r="E691" s="180">
        <f>(E623/E612)*SUM(C691:D691)</f>
        <v>582810.4436258343</v>
      </c>
      <c r="F691" s="180">
        <f>(F624/F612)*Z64</f>
        <v>2020.9090211445309</v>
      </c>
      <c r="G691" s="180">
        <f>(G625/G612)*Z77</f>
        <v>0</v>
      </c>
      <c r="H691" s="180">
        <f>(H628/H612)*Z60</f>
        <v>70776.635421368905</v>
      </c>
      <c r="I691" s="180">
        <f>(I629/I612)*Z78</f>
        <v>172736.47458436154</v>
      </c>
      <c r="J691" s="180">
        <f>(J630/J612)*Z79</f>
        <v>8735.4522057766208</v>
      </c>
      <c r="K691" s="180">
        <f>(K644/K612)*Z75</f>
        <v>482800.12559718569</v>
      </c>
      <c r="L691" s="180">
        <f>(L647/L612)*Z80</f>
        <v>52841.477044837702</v>
      </c>
      <c r="M691" s="180">
        <f t="shared" si="20"/>
        <v>1982164</v>
      </c>
      <c r="N691" s="196" t="s">
        <v>702</v>
      </c>
    </row>
    <row r="692" spans="1:14" ht="12.6" customHeight="1">
      <c r="A692" s="194">
        <v>7160</v>
      </c>
      <c r="B692" s="196" t="s">
        <v>703</v>
      </c>
      <c r="C692" s="180">
        <f>AA71</f>
        <v>1579905.16</v>
      </c>
      <c r="D692" s="180">
        <f>(D615/D612)*AA76</f>
        <v>0</v>
      </c>
      <c r="E692" s="180">
        <f>(E623/E612)*SUM(C692:D692)</f>
        <v>229678.24669187801</v>
      </c>
      <c r="F692" s="180">
        <f>(F624/F612)*AA64</f>
        <v>54829.420535493344</v>
      </c>
      <c r="G692" s="180">
        <f>(G625/G612)*AA77</f>
        <v>0</v>
      </c>
      <c r="H692" s="180">
        <f>(H628/H612)*AA60</f>
        <v>11589.015555385931</v>
      </c>
      <c r="I692" s="180">
        <f>(I629/I612)*AA78</f>
        <v>0</v>
      </c>
      <c r="J692" s="180">
        <f>(J630/J612)*AA79</f>
        <v>0</v>
      </c>
      <c r="K692" s="180">
        <f>(K644/K612)*AA75</f>
        <v>208949.04717734587</v>
      </c>
      <c r="L692" s="180">
        <f>(L647/L612)*AA80</f>
        <v>88.542129785601716</v>
      </c>
      <c r="M692" s="180">
        <f t="shared" si="20"/>
        <v>505134</v>
      </c>
      <c r="N692" s="196" t="s">
        <v>704</v>
      </c>
    </row>
    <row r="693" spans="1:14" ht="12.6" customHeight="1">
      <c r="A693" s="194">
        <v>7170</v>
      </c>
      <c r="B693" s="196" t="s">
        <v>115</v>
      </c>
      <c r="C693" s="180">
        <f>AB71</f>
        <v>19459686.57</v>
      </c>
      <c r="D693" s="180">
        <f>(D615/D612)*AB76</f>
        <v>287405.35762293311</v>
      </c>
      <c r="E693" s="180">
        <f>(E623/E612)*SUM(C693:D693)</f>
        <v>2870727.6651971773</v>
      </c>
      <c r="F693" s="180">
        <f>(F624/F612)*AB64</f>
        <v>640254.89175595273</v>
      </c>
      <c r="G693" s="180">
        <f>(G625/G612)*AB77</f>
        <v>0</v>
      </c>
      <c r="H693" s="180">
        <f>(H628/H612)*AB60</f>
        <v>177067.68210160796</v>
      </c>
      <c r="I693" s="180">
        <f>(I629/I612)*AB78</f>
        <v>81460.367526745526</v>
      </c>
      <c r="J693" s="180">
        <f>(J630/J612)*AB79</f>
        <v>0</v>
      </c>
      <c r="K693" s="180">
        <f>(K644/K612)*AB75</f>
        <v>2658863.7325021285</v>
      </c>
      <c r="L693" s="180">
        <f>(L647/L612)*AB80</f>
        <v>74.561793503664603</v>
      </c>
      <c r="M693" s="180">
        <f t="shared" si="20"/>
        <v>6715854</v>
      </c>
      <c r="N693" s="196" t="s">
        <v>705</v>
      </c>
    </row>
    <row r="694" spans="1:14" ht="12.6" customHeight="1">
      <c r="A694" s="194">
        <v>7180</v>
      </c>
      <c r="B694" s="196" t="s">
        <v>706</v>
      </c>
      <c r="C694" s="180">
        <f>AC71</f>
        <v>7275689.9799999995</v>
      </c>
      <c r="D694" s="180">
        <f>(D615/D612)*AC76</f>
        <v>393888.2143647151</v>
      </c>
      <c r="E694" s="180">
        <f>(E623/E612)*SUM(C694:D694)</f>
        <v>1114962.6681059434</v>
      </c>
      <c r="F694" s="180">
        <f>(F624/F612)*AC64</f>
        <v>35984.645541871301</v>
      </c>
      <c r="G694" s="180">
        <f>(G625/G612)*AC77</f>
        <v>0</v>
      </c>
      <c r="H694" s="180">
        <f>(H628/H612)*AC60</f>
        <v>223194.81498792855</v>
      </c>
      <c r="I694" s="180">
        <f>(I629/I612)*AC78</f>
        <v>111641.19893930238</v>
      </c>
      <c r="J694" s="180">
        <f>(J630/J612)*AC79</f>
        <v>4750.3940344119874</v>
      </c>
      <c r="K694" s="180">
        <f>(K644/K612)*AC75</f>
        <v>752123.97497039195</v>
      </c>
      <c r="L694" s="180">
        <f>(L647/L612)*AC80</f>
        <v>32322.630686080487</v>
      </c>
      <c r="M694" s="180">
        <f t="shared" si="20"/>
        <v>2668869</v>
      </c>
      <c r="N694" s="196" t="s">
        <v>707</v>
      </c>
    </row>
    <row r="695" spans="1:14" ht="12.6" customHeight="1">
      <c r="A695" s="194">
        <v>7190</v>
      </c>
      <c r="B695" s="196" t="s">
        <v>117</v>
      </c>
      <c r="C695" s="180">
        <f>AD71</f>
        <v>20653</v>
      </c>
      <c r="D695" s="180">
        <f>(D615/D612)*AD76</f>
        <v>41930.536684901985</v>
      </c>
      <c r="E695" s="180">
        <f>(E623/E612)*SUM(C695:D695)</f>
        <v>9098.0631885303264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11884.527683116694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62913</v>
      </c>
      <c r="N695" s="196" t="s">
        <v>708</v>
      </c>
    </row>
    <row r="696" spans="1:14" ht="12.6" customHeight="1">
      <c r="A696" s="194">
        <v>7200</v>
      </c>
      <c r="B696" s="196" t="s">
        <v>709</v>
      </c>
      <c r="C696" s="180">
        <f>AE71</f>
        <v>7115973.5900000017</v>
      </c>
      <c r="D696" s="180">
        <f>(D615/D612)*AE76</f>
        <v>1131089.1685988994</v>
      </c>
      <c r="E696" s="180">
        <f>(E623/E612)*SUM(C696:D696)</f>
        <v>1198914.3163206573</v>
      </c>
      <c r="F696" s="180">
        <f>(F624/F612)*AE64</f>
        <v>31138.143723182824</v>
      </c>
      <c r="G696" s="180">
        <f>(G625/G612)*AE77</f>
        <v>0</v>
      </c>
      <c r="H696" s="180">
        <f>(H628/H612)*AE60</f>
        <v>133435.22912001156</v>
      </c>
      <c r="I696" s="180">
        <f>(I629/I612)*AE78</f>
        <v>320588.80231617257</v>
      </c>
      <c r="J696" s="180">
        <f>(J630/J612)*AE79</f>
        <v>12767.473432639295</v>
      </c>
      <c r="K696" s="180">
        <f>(K644/K612)*AE75</f>
        <v>296589.85930841335</v>
      </c>
      <c r="L696" s="180">
        <f>(L647/L612)*AE80</f>
        <v>105803.4645884257</v>
      </c>
      <c r="M696" s="180">
        <f t="shared" si="20"/>
        <v>3230326</v>
      </c>
      <c r="N696" s="196" t="s">
        <v>710</v>
      </c>
    </row>
    <row r="697" spans="1:14" ht="12.6" customHeight="1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>
      <c r="A698" s="194">
        <v>7230</v>
      </c>
      <c r="B698" s="196" t="s">
        <v>713</v>
      </c>
      <c r="C698" s="180">
        <f>AG71</f>
        <v>22292096.050000004</v>
      </c>
      <c r="D698" s="180">
        <f>(D615/D612)*AG76</f>
        <v>1475851.3591192046</v>
      </c>
      <c r="E698" s="180">
        <f>(E623/E612)*SUM(C698:D698)</f>
        <v>3455258.3449953822</v>
      </c>
      <c r="F698" s="180">
        <f>(F624/F612)*AG64</f>
        <v>81774.669811493892</v>
      </c>
      <c r="G698" s="180">
        <f>(G625/G612)*AG77</f>
        <v>234638.16845520193</v>
      </c>
      <c r="H698" s="180">
        <f>(H628/H612)*AG60</f>
        <v>439225.15646020579</v>
      </c>
      <c r="I698" s="180">
        <f>(I629/I612)*AG78</f>
        <v>418306.02993290982</v>
      </c>
      <c r="J698" s="180">
        <f>(J630/J612)*AG79</f>
        <v>160165.39553564315</v>
      </c>
      <c r="K698" s="180">
        <f>(K644/K612)*AG75</f>
        <v>2975275.6638799575</v>
      </c>
      <c r="L698" s="180">
        <f>(L647/L612)*AG80</f>
        <v>1232324.6090416689</v>
      </c>
      <c r="M698" s="180">
        <f t="shared" si="20"/>
        <v>10472819</v>
      </c>
      <c r="N698" s="196" t="s">
        <v>714</v>
      </c>
    </row>
    <row r="699" spans="1:14" ht="12.6" customHeight="1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>
      <c r="A701" s="194">
        <v>7260</v>
      </c>
      <c r="B701" s="196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6" t="s">
        <v>718</v>
      </c>
    </row>
    <row r="702" spans="1:14" ht="12.6" customHeight="1">
      <c r="A702" s="194">
        <v>7310</v>
      </c>
      <c r="B702" s="196" t="s">
        <v>719</v>
      </c>
      <c r="C702" s="180">
        <f>AK71</f>
        <v>1419635.0299999998</v>
      </c>
      <c r="D702" s="180">
        <f>(D615/D612)*AK76</f>
        <v>242317.08916299531</v>
      </c>
      <c r="E702" s="180">
        <f>(E623/E612)*SUM(C702:D702)</f>
        <v>241605.79918303946</v>
      </c>
      <c r="F702" s="180">
        <f>(F624/F612)*AK64</f>
        <v>655.55299250517623</v>
      </c>
      <c r="G702" s="180">
        <f>(G625/G612)*AK77</f>
        <v>0</v>
      </c>
      <c r="H702" s="180">
        <f>(H628/H612)*AK60</f>
        <v>36782.700297560521</v>
      </c>
      <c r="I702" s="180">
        <f>(I629/I612)*AK78</f>
        <v>68680.832203295373</v>
      </c>
      <c r="J702" s="180">
        <f>(J630/J612)*AK79</f>
        <v>0</v>
      </c>
      <c r="K702" s="180">
        <f>(K644/K612)*AK75</f>
        <v>78309.766946118252</v>
      </c>
      <c r="L702" s="180">
        <f>(L647/L612)*AK80</f>
        <v>0</v>
      </c>
      <c r="M702" s="180">
        <f t="shared" si="20"/>
        <v>668352</v>
      </c>
      <c r="N702" s="196" t="s">
        <v>720</v>
      </c>
    </row>
    <row r="703" spans="1:14" ht="12.6" customHeight="1">
      <c r="A703" s="194">
        <v>7320</v>
      </c>
      <c r="B703" s="196" t="s">
        <v>721</v>
      </c>
      <c r="C703" s="180">
        <f>AL71</f>
        <v>644566.48</v>
      </c>
      <c r="D703" s="180">
        <f>(D615/D612)*AL76</f>
        <v>79719.785795986492</v>
      </c>
      <c r="E703" s="180">
        <f>(E623/E612)*SUM(C703:D703)</f>
        <v>105292.9022847357</v>
      </c>
      <c r="F703" s="180">
        <f>(F624/F612)*AL64</f>
        <v>282.00137267920775</v>
      </c>
      <c r="G703" s="180">
        <f>(G625/G612)*AL77</f>
        <v>0</v>
      </c>
      <c r="H703" s="180">
        <f>(H628/H612)*AL60</f>
        <v>18193.497666790601</v>
      </c>
      <c r="I703" s="180">
        <f>(I629/I612)*AL78</f>
        <v>22595.274854320629</v>
      </c>
      <c r="J703" s="180">
        <f>(J630/J612)*AL79</f>
        <v>0</v>
      </c>
      <c r="K703" s="180">
        <f>(K644/K612)*AL75</f>
        <v>38035.998377941338</v>
      </c>
      <c r="L703" s="180">
        <f>(L647/L612)*AL80</f>
        <v>0</v>
      </c>
      <c r="M703" s="180">
        <f t="shared" si="20"/>
        <v>264119</v>
      </c>
      <c r="N703" s="196" t="s">
        <v>722</v>
      </c>
    </row>
    <row r="704" spans="1:14" ht="12.6" customHeight="1">
      <c r="A704" s="194">
        <v>7330</v>
      </c>
      <c r="B704" s="196" t="s">
        <v>723</v>
      </c>
      <c r="C704" s="180">
        <f>AM71</f>
        <v>1941.5</v>
      </c>
      <c r="D704" s="180">
        <f>(D615/D612)*AM76</f>
        <v>0</v>
      </c>
      <c r="E704" s="180">
        <f>(E623/E612)*SUM(C704:D704)</f>
        <v>282.24498991590178</v>
      </c>
      <c r="F704" s="180">
        <f>(F624/F612)*AM64</f>
        <v>15.630430983095879</v>
      </c>
      <c r="G704" s="180">
        <f>(G625/G612)*AM77</f>
        <v>0</v>
      </c>
      <c r="H704" s="180">
        <f>(H628/H612)*AM60</f>
        <v>56.643289201552818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355</v>
      </c>
      <c r="N704" s="196" t="s">
        <v>724</v>
      </c>
    </row>
    <row r="705" spans="1:83" ht="12.6" customHeight="1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>
      <c r="A707" s="194">
        <v>7380</v>
      </c>
      <c r="B707" s="196" t="s">
        <v>729</v>
      </c>
      <c r="C707" s="180">
        <f>AP71</f>
        <v>50316696.040000007</v>
      </c>
      <c r="D707" s="180">
        <f>(D615/D612)*AP76</f>
        <v>7368489.4479040969</v>
      </c>
      <c r="E707" s="180">
        <f>(E623/E612)*SUM(C707:D707)</f>
        <v>8385966.8278807187</v>
      </c>
      <c r="F707" s="180">
        <f>(F624/F612)*AP64</f>
        <v>1731222.871790044</v>
      </c>
      <c r="G707" s="180">
        <f>(G625/G612)*AP77</f>
        <v>0</v>
      </c>
      <c r="H707" s="180">
        <f>(H628/H612)*AP60</f>
        <v>429566.85810457851</v>
      </c>
      <c r="I707" s="180">
        <f>(I629/I612)*AP78</f>
        <v>2088478.3203335756</v>
      </c>
      <c r="J707" s="180">
        <f>(J630/J612)*AP79</f>
        <v>0</v>
      </c>
      <c r="K707" s="180">
        <f>(K644/K612)*AP75</f>
        <v>3569516.7484272891</v>
      </c>
      <c r="L707" s="180">
        <f>(L647/L612)*AP80</f>
        <v>749838.31895343703</v>
      </c>
      <c r="M707" s="180">
        <f t="shared" si="20"/>
        <v>24323079</v>
      </c>
      <c r="N707" s="196" t="s">
        <v>730</v>
      </c>
    </row>
    <row r="708" spans="1:83" ht="12.6" customHeight="1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>
      <c r="A709" s="194">
        <v>7400</v>
      </c>
      <c r="B709" s="196" t="s">
        <v>733</v>
      </c>
      <c r="C709" s="180">
        <f>AR71</f>
        <v>5644.6</v>
      </c>
      <c r="D709" s="180">
        <f>(D615/D612)*AR76</f>
        <v>0</v>
      </c>
      <c r="E709" s="180">
        <f>(E623/E612)*SUM(C709:D709)</f>
        <v>820.58206030352778</v>
      </c>
      <c r="F709" s="180">
        <f>(F624/F612)*AR64</f>
        <v>20.918216796668787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842</v>
      </c>
      <c r="N709" s="196" t="s">
        <v>734</v>
      </c>
    </row>
    <row r="710" spans="1:83" ht="12.6" customHeight="1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>
      <c r="A713" s="194">
        <v>7490</v>
      </c>
      <c r="B713" s="196" t="s">
        <v>740</v>
      </c>
      <c r="C713" s="180">
        <f>AV71</f>
        <v>4486032.9327999996</v>
      </c>
      <c r="D713" s="180">
        <f>(D615/D612)*AV76</f>
        <v>164046.75401784494</v>
      </c>
      <c r="E713" s="180">
        <f>(E623/E612)*SUM(C713:D713)</f>
        <v>676003.96307702397</v>
      </c>
      <c r="F713" s="180">
        <f>(F624/F612)*AV64</f>
        <v>1466.0716020412917</v>
      </c>
      <c r="G713" s="180">
        <f>(G625/G612)*AV77</f>
        <v>0</v>
      </c>
      <c r="H713" s="180">
        <f>(H628/H612)*AV60</f>
        <v>23621.353680500619</v>
      </c>
      <c r="I713" s="180">
        <f>(I629/I612)*AV78</f>
        <v>46496.380528144204</v>
      </c>
      <c r="J713" s="180">
        <f>(J630/J612)*AV79</f>
        <v>3936.1518170184008</v>
      </c>
      <c r="K713" s="180">
        <f>(K644/K612)*AV75</f>
        <v>60022.796528163432</v>
      </c>
      <c r="L713" s="180">
        <f>(L647/L612)*AV80</f>
        <v>11375.70643037035</v>
      </c>
      <c r="M713" s="180">
        <f t="shared" si="20"/>
        <v>986969</v>
      </c>
      <c r="N713" s="197" t="s">
        <v>741</v>
      </c>
    </row>
    <row r="715" spans="1:83" ht="12.6" customHeight="1">
      <c r="C715" s="180">
        <f>SUM(C614:C647)+SUM(C668:C713)</f>
        <v>416239391.84789699</v>
      </c>
      <c r="D715" s="180">
        <f>SUM(D616:D647)+SUM(D668:D713)</f>
        <v>29402209.9844</v>
      </c>
      <c r="E715" s="180">
        <f>SUM(E624:E647)+SUM(E668:E713)</f>
        <v>52830465.492877275</v>
      </c>
      <c r="F715" s="180">
        <f>SUM(F625:F648)+SUM(F668:F713)</f>
        <v>4656153.5476946104</v>
      </c>
      <c r="G715" s="180">
        <f>SUM(G626:G647)+SUM(G668:G713)</f>
        <v>6932513.7734733801</v>
      </c>
      <c r="H715" s="180">
        <f>SUM(H629:H647)+SUM(H668:H713)</f>
        <v>5581615.124815979</v>
      </c>
      <c r="I715" s="180">
        <f>SUM(I630:I647)+SUM(I668:I713)</f>
        <v>7062960.1298198523</v>
      </c>
      <c r="J715" s="180">
        <f>SUM(J631:J647)+SUM(J668:J713)</f>
        <v>557507.50054517935</v>
      </c>
      <c r="K715" s="180">
        <f>SUM(K668:K713)</f>
        <v>26492168.035037857</v>
      </c>
      <c r="L715" s="180">
        <f>SUM(L668:L713)</f>
        <v>9396457.004456399</v>
      </c>
      <c r="M715" s="180">
        <f>SUM(M668:M713)</f>
        <v>128601340</v>
      </c>
      <c r="N715" s="196" t="s">
        <v>742</v>
      </c>
    </row>
    <row r="716" spans="1:83" ht="12.6" customHeight="1">
      <c r="C716" s="180">
        <f>CE71</f>
        <v>416239391.84789699</v>
      </c>
      <c r="D716" s="180">
        <f>D615</f>
        <v>29402209.9844</v>
      </c>
      <c r="E716" s="180">
        <f>E623</f>
        <v>52830465.492877282</v>
      </c>
      <c r="F716" s="180">
        <f>F624</f>
        <v>4656153.5476946095</v>
      </c>
      <c r="G716" s="180">
        <f>G625</f>
        <v>6932513.7734733801</v>
      </c>
      <c r="H716" s="180">
        <f>H628</f>
        <v>5581615.12481598</v>
      </c>
      <c r="I716" s="180">
        <f>I629</f>
        <v>7062960.1298198504</v>
      </c>
      <c r="J716" s="180">
        <f>J630</f>
        <v>557507.50054517935</v>
      </c>
      <c r="K716" s="180">
        <f>K644</f>
        <v>26492168.035037849</v>
      </c>
      <c r="L716" s="180">
        <f>L647</f>
        <v>9396457.0044563971</v>
      </c>
      <c r="M716" s="180">
        <f>C648</f>
        <v>128601340.60251279</v>
      </c>
      <c r="N716" s="196" t="s">
        <v>743</v>
      </c>
    </row>
    <row r="717" spans="1:83" ht="12.6" customHeight="1">
      <c r="O717" s="196"/>
    </row>
    <row r="718" spans="1:83" ht="12.6" customHeight="1">
      <c r="O718" s="196"/>
    </row>
    <row r="719" spans="1:83" ht="12.6" customHeight="1">
      <c r="O719" s="196"/>
    </row>
    <row r="720" spans="1:83" s="199" customFormat="1" ht="12.6" customHeight="1">
      <c r="A720" s="199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1" customFormat="1" ht="12.6" customHeight="1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>
      <c r="A722" s="200" t="str">
        <f>RIGHT(C83,3)&amp;"*"&amp;RIGHT(C82,4)&amp;"*"&amp;"A"</f>
        <v>142*2018*A</v>
      </c>
      <c r="B722" s="270">
        <f>ROUND(C165,0)</f>
        <v>8902467</v>
      </c>
      <c r="C722" s="270">
        <f>ROUND(C166,0)</f>
        <v>188006</v>
      </c>
      <c r="D722" s="270">
        <f>ROUND(C167,0)</f>
        <v>1902232</v>
      </c>
      <c r="E722" s="270">
        <f>ROUND(C168,0)</f>
        <v>15622616</v>
      </c>
      <c r="F722" s="270">
        <f>ROUND(C169,0)</f>
        <v>46326</v>
      </c>
      <c r="G722" s="270">
        <f>ROUND(C170,0)</f>
        <v>4596688</v>
      </c>
      <c r="H722" s="270">
        <f>ROUND(C171+C172,0)</f>
        <v>252913</v>
      </c>
      <c r="I722" s="270">
        <f>ROUND(C175,0)</f>
        <v>3707938</v>
      </c>
      <c r="J722" s="270">
        <f>ROUND(C176,0)</f>
        <v>1995839</v>
      </c>
      <c r="K722" s="270">
        <f>ROUND(C179,0)</f>
        <v>3105000</v>
      </c>
      <c r="L722" s="270">
        <f>ROUND(C180,0)</f>
        <v>271684</v>
      </c>
      <c r="M722" s="270">
        <f>ROUND(C183,0)</f>
        <v>0</v>
      </c>
      <c r="N722" s="270">
        <f>ROUND(C184,0)</f>
        <v>12119863</v>
      </c>
      <c r="O722" s="270">
        <f>ROUND(C185,0)</f>
        <v>0</v>
      </c>
      <c r="P722" s="270">
        <f>ROUND(C188,0)</f>
        <v>0</v>
      </c>
      <c r="Q722" s="270">
        <f>ROUND(C189,0)</f>
        <v>810177</v>
      </c>
      <c r="R722" s="270">
        <f>ROUND(B195,0)</f>
        <v>10245719</v>
      </c>
      <c r="S722" s="270">
        <f>ROUND(C195,0)</f>
        <v>0</v>
      </c>
      <c r="T722" s="270">
        <f>ROUND(D195,0)</f>
        <v>0</v>
      </c>
      <c r="U722" s="270">
        <f>ROUND(B196,0)</f>
        <v>2319120</v>
      </c>
      <c r="V722" s="270">
        <f>ROUND(C196,0)</f>
        <v>-1</v>
      </c>
      <c r="W722" s="270">
        <f>ROUND(D196,0)</f>
        <v>0</v>
      </c>
      <c r="X722" s="270">
        <f>ROUND(B197,0)</f>
        <v>105348137</v>
      </c>
      <c r="Y722" s="270">
        <f>ROUND(C197,0)</f>
        <v>-5620933</v>
      </c>
      <c r="Z722" s="270">
        <f>ROUND(D197,0)</f>
        <v>0</v>
      </c>
      <c r="AA722" s="270">
        <f>ROUND(B198,0)</f>
        <v>8822088</v>
      </c>
      <c r="AB722" s="270">
        <f>ROUND(C198,0)</f>
        <v>5620922</v>
      </c>
      <c r="AC722" s="270">
        <f>ROUND(D198,0)</f>
        <v>107173</v>
      </c>
      <c r="AD722" s="270">
        <f>ROUND(B199,0)</f>
        <v>4304098</v>
      </c>
      <c r="AE722" s="270">
        <f>ROUND(C199,0)</f>
        <v>226265</v>
      </c>
      <c r="AF722" s="270">
        <f>ROUND(D199,0)</f>
        <v>26918</v>
      </c>
      <c r="AG722" s="270">
        <f>ROUND(B200,0)</f>
        <v>117058770</v>
      </c>
      <c r="AH722" s="270">
        <f>ROUND(C200,0)</f>
        <v>6782330</v>
      </c>
      <c r="AI722" s="270">
        <f>ROUND(D200,0)</f>
        <v>9347757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18351716</v>
      </c>
      <c r="AN722" s="270">
        <f>ROUND(C202,0)</f>
        <v>151718</v>
      </c>
      <c r="AO722" s="270">
        <f>ROUND(D202,0)</f>
        <v>5309275</v>
      </c>
      <c r="AP722" s="270">
        <f>ROUND(B203,0)</f>
        <v>52220927</v>
      </c>
      <c r="AQ722" s="270">
        <f>ROUND(C203,0)</f>
        <v>84487567</v>
      </c>
      <c r="AR722" s="270">
        <f>ROUND(D203,0)</f>
        <v>550178</v>
      </c>
      <c r="AS722" s="270"/>
      <c r="AT722" s="270"/>
      <c r="AU722" s="270"/>
      <c r="AV722" s="270">
        <f>ROUND(B209,0)</f>
        <v>773664</v>
      </c>
      <c r="AW722" s="270">
        <f>ROUND(C209,0)</f>
        <v>-349137</v>
      </c>
      <c r="AX722" s="270">
        <f>ROUND(D209,0)</f>
        <v>0</v>
      </c>
      <c r="AY722" s="270">
        <f>ROUND(B210,0)</f>
        <v>19918814</v>
      </c>
      <c r="AZ722" s="270">
        <f>ROUND(C210,0)</f>
        <v>11275027</v>
      </c>
      <c r="BA722" s="270">
        <f>ROUND(D210,0)</f>
        <v>0</v>
      </c>
      <c r="BB722" s="270">
        <f>ROUND(B211,0)</f>
        <v>2269188</v>
      </c>
      <c r="BC722" s="270">
        <f>ROUND(C211,0)</f>
        <v>1450895</v>
      </c>
      <c r="BD722" s="270">
        <f>ROUND(D211,0)</f>
        <v>21887</v>
      </c>
      <c r="BE722" s="270">
        <f>ROUND(B212,0)</f>
        <v>1619318</v>
      </c>
      <c r="BF722" s="270">
        <f>ROUND(C212,0)</f>
        <v>590053</v>
      </c>
      <c r="BG722" s="270">
        <f>ROUND(D212,0)</f>
        <v>4888</v>
      </c>
      <c r="BH722" s="270">
        <f>ROUND(B213,0)</f>
        <v>66367351</v>
      </c>
      <c r="BI722" s="270">
        <f>ROUND(C213,0)</f>
        <v>12663553</v>
      </c>
      <c r="BJ722" s="270">
        <f>ROUND(D213,0)</f>
        <v>5064426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9938595</v>
      </c>
      <c r="BO722" s="270">
        <f>ROUND(C215,0)</f>
        <v>1232451</v>
      </c>
      <c r="BP722" s="270">
        <f>ROUND(D215,0)</f>
        <v>3195329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911085757</v>
      </c>
      <c r="BU722" s="270">
        <f>ROUND(C224,0)</f>
        <v>323267867</v>
      </c>
      <c r="BV722" s="270">
        <f>ROUND(C225,0)</f>
        <v>0</v>
      </c>
      <c r="BW722" s="270">
        <f>ROUND(C226,0)</f>
        <v>0</v>
      </c>
      <c r="BX722" s="270">
        <f>ROUND(C227,0)</f>
        <v>0</v>
      </c>
      <c r="BY722" s="270">
        <f>ROUND(C228,0)</f>
        <v>338310687</v>
      </c>
      <c r="BZ722" s="270">
        <f>ROUND(C231,0)</f>
        <v>9659</v>
      </c>
      <c r="CA722" s="270">
        <f>ROUND(C233,0)</f>
        <v>5628697</v>
      </c>
      <c r="CB722" s="270">
        <f>ROUND(C234,0)</f>
        <v>8509893</v>
      </c>
      <c r="CC722" s="270">
        <f>ROUND(C238+C239,0)</f>
        <v>11337238</v>
      </c>
      <c r="CD722" s="270">
        <f>D221</f>
        <v>8806180.5199999996</v>
      </c>
      <c r="CE722" s="270"/>
    </row>
    <row r="723" spans="1:84" ht="12.6" customHeight="1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199" customFormat="1" ht="12.6" customHeight="1">
      <c r="A724" s="199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1" customFormat="1" ht="12.6" customHeight="1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>
      <c r="A726" s="200" t="str">
        <f>RIGHT(C83,3)&amp;"*"&amp;RIGHT(C82,4)&amp;"*"&amp;"A"</f>
        <v>142*2018*A</v>
      </c>
      <c r="B726" s="270">
        <f>ROUND(C111,0)</f>
        <v>13266</v>
      </c>
      <c r="C726" s="270">
        <f>ROUND(C112,0)</f>
        <v>0</v>
      </c>
      <c r="D726" s="270">
        <f>ROUND(C113,0)</f>
        <v>0</v>
      </c>
      <c r="E726" s="270">
        <f>ROUND(C114,0)</f>
        <v>1977</v>
      </c>
      <c r="F726" s="270">
        <f>ROUND(D111,0)</f>
        <v>59591</v>
      </c>
      <c r="G726" s="270">
        <f>ROUND(D112,0)</f>
        <v>0</v>
      </c>
      <c r="H726" s="270">
        <f>ROUND(D113,0)</f>
        <v>0</v>
      </c>
      <c r="I726" s="270">
        <f>ROUND(D114,0)</f>
        <v>3905</v>
      </c>
      <c r="J726" s="270">
        <f>ROUND(C116,0)</f>
        <v>20</v>
      </c>
      <c r="K726" s="270">
        <f>ROUND(C117,0)</f>
        <v>30</v>
      </c>
      <c r="L726" s="270">
        <f>ROUND(C118,0)</f>
        <v>177</v>
      </c>
      <c r="M726" s="270">
        <f>ROUND(C119,0)</f>
        <v>0</v>
      </c>
      <c r="N726" s="270">
        <f>ROUND(C120,0)</f>
        <v>20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0</v>
      </c>
      <c r="S726" s="270">
        <f>ROUND(C125,0)</f>
        <v>0</v>
      </c>
      <c r="T726" s="270"/>
      <c r="U726" s="270">
        <f>ROUND(C126,0)</f>
        <v>24</v>
      </c>
      <c r="V726" s="270">
        <f>ROUND(C128,0)</f>
        <v>336</v>
      </c>
      <c r="W726" s="270">
        <f>ROUND(C129,0)</f>
        <v>10</v>
      </c>
      <c r="X726" s="270">
        <f>ROUND(B138,0)</f>
        <v>7198</v>
      </c>
      <c r="Y726" s="270">
        <f>ROUND(B139,0)</f>
        <v>36895</v>
      </c>
      <c r="Z726" s="270">
        <f>ROUND(B140,0)</f>
        <v>0</v>
      </c>
      <c r="AA726" s="270">
        <f>ROUND(B141,0)</f>
        <v>581589541</v>
      </c>
      <c r="AB726" s="270">
        <f>ROUND(B142,0)</f>
        <v>516385960</v>
      </c>
      <c r="AC726" s="270">
        <f>ROUND(C138,0)</f>
        <v>2362</v>
      </c>
      <c r="AD726" s="270">
        <f>ROUND(C139,0)</f>
        <v>10547</v>
      </c>
      <c r="AE726" s="270">
        <f>ROUND(C140,0)</f>
        <v>0</v>
      </c>
      <c r="AF726" s="270">
        <f>ROUND(C141,0)</f>
        <v>145031876</v>
      </c>
      <c r="AG726" s="270">
        <f>ROUND(C142,0)</f>
        <v>219232200</v>
      </c>
      <c r="AH726" s="270">
        <f>ROUND(D138,0)</f>
        <v>3706</v>
      </c>
      <c r="AI726" s="270">
        <f>ROUND(D139,0)</f>
        <v>12149</v>
      </c>
      <c r="AJ726" s="270">
        <f>ROUND(D140,0)</f>
        <v>0</v>
      </c>
      <c r="AK726" s="270">
        <f>ROUND(D141,0)</f>
        <v>212689289</v>
      </c>
      <c r="AL726" s="270">
        <f>ROUND(D142,0)</f>
        <v>443581832</v>
      </c>
      <c r="AM726" s="270">
        <f>ROUND(B144,0)</f>
        <v>0</v>
      </c>
      <c r="AN726" s="270">
        <f>ROUND(B145,0)</f>
        <v>0</v>
      </c>
      <c r="AO726" s="270">
        <f>ROUND(B146,0)</f>
        <v>0</v>
      </c>
      <c r="AP726" s="270">
        <f>ROUND(B147,0)</f>
        <v>0</v>
      </c>
      <c r="AQ726" s="270">
        <f>ROUND(B148,0)</f>
        <v>0</v>
      </c>
      <c r="AR726" s="270">
        <f>ROUND(C144,0)</f>
        <v>0</v>
      </c>
      <c r="AS726" s="270">
        <f>ROUND(C145,0)</f>
        <v>0</v>
      </c>
      <c r="AT726" s="270">
        <f>ROUND(C146,0)</f>
        <v>0</v>
      </c>
      <c r="AU726" s="270">
        <f>ROUND(C147,0)</f>
        <v>0</v>
      </c>
      <c r="AV726" s="270">
        <f>ROUND(C148,0)</f>
        <v>0</v>
      </c>
      <c r="AW726" s="270">
        <f>ROUND(D144,0)</f>
        <v>0</v>
      </c>
      <c r="AX726" s="270">
        <f>ROUND(D145,0)</f>
        <v>0</v>
      </c>
      <c r="AY726" s="270">
        <f>ROUND(D146,0)</f>
        <v>0</v>
      </c>
      <c r="AZ726" s="270">
        <f>ROUND(D147,0)</f>
        <v>0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2856431</v>
      </c>
      <c r="BR726" s="270">
        <f>ROUND(C157,0)</f>
        <v>1630469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" customHeight="1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199" customFormat="1" ht="12.6" customHeight="1">
      <c r="A728" s="199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1" customFormat="1" ht="12.6" customHeight="1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>
      <c r="A730" s="200" t="str">
        <f>RIGHT(C83,3)&amp;"*"&amp;RIGHT(C82,4)&amp;"*"&amp;"A"</f>
        <v>142*2018*A</v>
      </c>
      <c r="B730" s="270">
        <f>ROUND(C250,0)</f>
        <v>49794298</v>
      </c>
      <c r="C730" s="270">
        <f>ROUND(C251,0)</f>
        <v>0</v>
      </c>
      <c r="D730" s="270">
        <f>ROUND(C252,0)</f>
        <v>244370839</v>
      </c>
      <c r="E730" s="270">
        <f>ROUND(C253,0)</f>
        <v>179942130</v>
      </c>
      <c r="F730" s="270">
        <f>ROUND(C254,0)</f>
        <v>0</v>
      </c>
      <c r="G730" s="270">
        <f>ROUND(C255,0)</f>
        <v>2472742</v>
      </c>
      <c r="H730" s="270">
        <f>ROUND(C256,0)</f>
        <v>0</v>
      </c>
      <c r="I730" s="270">
        <f>ROUND(C257,0)</f>
        <v>8590832</v>
      </c>
      <c r="J730" s="270">
        <f>ROUND(C258,0)</f>
        <v>124111</v>
      </c>
      <c r="K730" s="270">
        <f>ROUND(C259,0)</f>
        <v>0</v>
      </c>
      <c r="L730" s="270">
        <f>ROUND(C262,0)</f>
        <v>3471</v>
      </c>
      <c r="M730" s="270">
        <f>ROUND(C263,0)</f>
        <v>302914505</v>
      </c>
      <c r="N730" s="270">
        <f>ROUND(C264,0)</f>
        <v>0</v>
      </c>
      <c r="O730" s="270">
        <f>ROUND(C267,0)</f>
        <v>10245719</v>
      </c>
      <c r="P730" s="270">
        <f>ROUND(C268,0)</f>
        <v>2319119</v>
      </c>
      <c r="Q730" s="270">
        <f>ROUND(C269,0)</f>
        <v>99727204</v>
      </c>
      <c r="R730" s="270">
        <f>ROUND(C270,0)</f>
        <v>14335837</v>
      </c>
      <c r="S730" s="270">
        <f>ROUND(C271,0)</f>
        <v>4503445</v>
      </c>
      <c r="T730" s="270">
        <f>ROUND(C272,0)</f>
        <v>114493343</v>
      </c>
      <c r="U730" s="270">
        <f>ROUND(C273,0)</f>
        <v>13194160</v>
      </c>
      <c r="V730" s="270">
        <f>ROUND(C274,0)</f>
        <v>136158316</v>
      </c>
      <c r="W730" s="270">
        <f>ROUND(C275,0)</f>
        <v>0</v>
      </c>
      <c r="X730" s="270">
        <f>ROUND(C276,0)</f>
        <v>119463243</v>
      </c>
      <c r="Y730" s="270">
        <f>ROUND(C279,0)</f>
        <v>0</v>
      </c>
      <c r="Z730" s="270">
        <f>ROUND(C280,0)</f>
        <v>0</v>
      </c>
      <c r="AA730" s="270">
        <f>ROUND(C281,0)</f>
        <v>0</v>
      </c>
      <c r="AB730" s="270">
        <f>ROUND(C282,0)</f>
        <v>282111</v>
      </c>
      <c r="AC730" s="270">
        <f>ROUND(C286,0)</f>
        <v>3831215</v>
      </c>
      <c r="AD730" s="270">
        <f>ROUND(C287,0)</f>
        <v>0</v>
      </c>
      <c r="AE730" s="270">
        <f>ROUND(C288,0)</f>
        <v>0</v>
      </c>
      <c r="AF730" s="270">
        <f>ROUND(C289,0)</f>
        <v>23057937</v>
      </c>
      <c r="AG730" s="270">
        <f>ROUND(C304,0)</f>
        <v>0</v>
      </c>
      <c r="AH730" s="270">
        <f>ROUND(C305,0)</f>
        <v>15124151</v>
      </c>
      <c r="AI730" s="270">
        <f>ROUND(C306,0)</f>
        <v>13744588</v>
      </c>
      <c r="AJ730" s="270">
        <f>ROUND(C307,0)</f>
        <v>830139</v>
      </c>
      <c r="AK730" s="270">
        <f>ROUND(C308,0)</f>
        <v>0</v>
      </c>
      <c r="AL730" s="270">
        <f>ROUND(C309,0)</f>
        <v>6785765</v>
      </c>
      <c r="AM730" s="270">
        <f>ROUND(C310,0)</f>
        <v>0</v>
      </c>
      <c r="AN730" s="270">
        <f>ROUND(C311,0)</f>
        <v>0</v>
      </c>
      <c r="AO730" s="270">
        <f>ROUND(C312,0)</f>
        <v>16534680</v>
      </c>
      <c r="AP730" s="270">
        <f>ROUND(C313,0)</f>
        <v>4285665</v>
      </c>
      <c r="AQ730" s="270">
        <f>ROUND(C316,0)</f>
        <v>0</v>
      </c>
      <c r="AR730" s="270">
        <f>ROUND(C317,0)</f>
        <v>0</v>
      </c>
      <c r="AS730" s="270">
        <f>ROUND(C318,0)</f>
        <v>-555034</v>
      </c>
      <c r="AT730" s="270">
        <f>ROUND(C321,0)</f>
        <v>0</v>
      </c>
      <c r="AU730" s="270">
        <f>ROUND(C322,0)</f>
        <v>0</v>
      </c>
      <c r="AV730" s="270">
        <f>ROUND(C323,0)</f>
        <v>0</v>
      </c>
      <c r="AW730" s="270">
        <f>ROUND(C324,0)</f>
        <v>0</v>
      </c>
      <c r="AX730" s="270">
        <f>ROUND(C325,0)</f>
        <v>82633891</v>
      </c>
      <c r="AY730" s="270">
        <f>ROUND(C326,0)</f>
        <v>0</v>
      </c>
      <c r="AZ730" s="270">
        <f>ROUND(C327,0)</f>
        <v>0</v>
      </c>
      <c r="BA730" s="270">
        <f>ROUND(C328,0)</f>
        <v>0</v>
      </c>
      <c r="BB730" s="270">
        <f>ROUND(C332,0)</f>
        <v>595915649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1542.72</v>
      </c>
      <c r="BJ730" s="270">
        <f>ROUND(C359,0)</f>
        <v>939310706</v>
      </c>
      <c r="BK730" s="270">
        <f>ROUND(C360,0)</f>
        <v>1179199993</v>
      </c>
      <c r="BL730" s="270">
        <f>ROUND(C364,0)</f>
        <v>1572664310</v>
      </c>
      <c r="BM730" s="270">
        <f>ROUND(C365,0)</f>
        <v>14138591</v>
      </c>
      <c r="BN730" s="270">
        <f>ROUND(C366,0)</f>
        <v>11337238</v>
      </c>
      <c r="BO730" s="270">
        <f>ROUND(C370,0)</f>
        <v>11070294</v>
      </c>
      <c r="BP730" s="270">
        <f>ROUND(C371,0)</f>
        <v>0</v>
      </c>
      <c r="BQ730" s="270">
        <f>ROUND(C378,0)</f>
        <v>129272472</v>
      </c>
      <c r="BR730" s="270">
        <f>ROUND(C379,0)</f>
        <v>31511249</v>
      </c>
      <c r="BS730" s="270">
        <f>ROUND(C380,0)</f>
        <v>16046860</v>
      </c>
      <c r="BT730" s="270">
        <f>ROUND(C381,0)</f>
        <v>92220847</v>
      </c>
      <c r="BU730" s="270">
        <f>ROUND(C382,0)</f>
        <v>3582557</v>
      </c>
      <c r="BV730" s="270">
        <f>ROUND(C383,0)</f>
        <v>104017917</v>
      </c>
      <c r="BW730" s="270">
        <f>ROUND(C384,0)</f>
        <v>26862842</v>
      </c>
      <c r="BX730" s="270">
        <f>ROUND(C385,0)</f>
        <v>5703777</v>
      </c>
      <c r="BY730" s="270">
        <f>ROUND(C386,0)</f>
        <v>3376684</v>
      </c>
      <c r="BZ730" s="270">
        <f>ROUND(C387,0)</f>
        <v>12119863</v>
      </c>
      <c r="CA730" s="270">
        <f>ROUND(C388,0)</f>
        <v>810177</v>
      </c>
      <c r="CB730" s="270">
        <f>C363</f>
        <v>8806180.5199999996</v>
      </c>
      <c r="CC730" s="270">
        <f>ROUND(C389,0)</f>
        <v>1784440</v>
      </c>
      <c r="CD730" s="270">
        <f>ROUND(C392,0)</f>
        <v>20589572</v>
      </c>
      <c r="CE730" s="270">
        <f>ROUND(C394,0)</f>
        <v>0</v>
      </c>
      <c r="CF730" s="199">
        <f>ROUND(C395,0)</f>
        <v>0</v>
      </c>
    </row>
    <row r="731" spans="1:84" ht="12.6" customHeight="1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199" customFormat="1" ht="12.6" customHeight="1">
      <c r="A732" s="199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1" customFormat="1" ht="12.6" customHeight="1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>
      <c r="A734" s="200" t="str">
        <f>RIGHT($C$83,3)&amp;"*"&amp;RIGHT($C$82,4)&amp;"*"&amp;C$55&amp;"*"&amp;"A"</f>
        <v>142*2018*6010*A</v>
      </c>
      <c r="B734" s="270">
        <f>ROUND(C59,0)</f>
        <v>4986</v>
      </c>
      <c r="C734" s="270">
        <f>ROUND(C60,2)</f>
        <v>54.22</v>
      </c>
      <c r="D734" s="270">
        <f>ROUND(C61,0)</f>
        <v>5894901</v>
      </c>
      <c r="E734" s="270">
        <f>ROUND(C62,0)</f>
        <v>1231493</v>
      </c>
      <c r="F734" s="270">
        <f>ROUND(C63,0)</f>
        <v>989279</v>
      </c>
      <c r="G734" s="270">
        <f>ROUND(C64,0)</f>
        <v>731881</v>
      </c>
      <c r="H734" s="270">
        <f>ROUND(C65,0)</f>
        <v>426</v>
      </c>
      <c r="I734" s="270">
        <f>ROUND(C66,0)</f>
        <v>79330</v>
      </c>
      <c r="J734" s="270">
        <f>ROUND(C67,0)</f>
        <v>356714</v>
      </c>
      <c r="K734" s="270">
        <f>ROUND(C68,0)</f>
        <v>14622</v>
      </c>
      <c r="L734" s="270">
        <f>ROUND(C69,0)</f>
        <v>1872</v>
      </c>
      <c r="M734" s="270">
        <f>ROUND(C70,0)</f>
        <v>235</v>
      </c>
      <c r="N734" s="270">
        <f>ROUND(C75,0)</f>
        <v>35938935</v>
      </c>
      <c r="O734" s="270">
        <f>ROUND(C73,0)</f>
        <v>35915141</v>
      </c>
      <c r="P734" s="270">
        <f>IF(C76&gt;0,ROUND(C76,0),0)</f>
        <v>8800</v>
      </c>
      <c r="Q734" s="270">
        <f>IF(C77&gt;0,ROUND(C77,0),0)</f>
        <v>5475</v>
      </c>
      <c r="R734" s="270">
        <f>IF(C78&gt;0,ROUND(C78,0),0)</f>
        <v>2051</v>
      </c>
      <c r="S734" s="270">
        <f>IF(C79&gt;0,ROUND(C79,0),0)</f>
        <v>62458</v>
      </c>
      <c r="T734" s="270">
        <f>IF(C80&gt;0,ROUND(C80,2),0)</f>
        <v>38.200000000000003</v>
      </c>
      <c r="U734" s="270"/>
      <c r="V734" s="270"/>
      <c r="W734" s="270"/>
      <c r="X734" s="270"/>
      <c r="Y734" s="270">
        <f>IF(M668&lt;&gt;0,ROUND(M668,0),0)</f>
        <v>3633483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" customHeight="1">
      <c r="A735" s="207" t="str">
        <f>RIGHT($C$83,3)&amp;"*"&amp;RIGHT($C$82,4)&amp;"*"&amp;D$55&amp;"*"&amp;"A"</f>
        <v>142*2018*6030*A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1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" customHeight="1">
      <c r="A736" s="207" t="str">
        <f>RIGHT($C$83,3)&amp;"*"&amp;RIGHT($C$82,4)&amp;"*"&amp;E$55&amp;"*"&amp;"A"</f>
        <v>142*2018*6070*A</v>
      </c>
      <c r="B736" s="270">
        <f>ROUND(E59,0)</f>
        <v>54605</v>
      </c>
      <c r="C736" s="272">
        <f>ROUND(E60,2)</f>
        <v>354.53</v>
      </c>
      <c r="D736" s="270">
        <f>ROUND(E61,0)</f>
        <v>31642931</v>
      </c>
      <c r="E736" s="270">
        <f>ROUND(E62,0)</f>
        <v>7214688</v>
      </c>
      <c r="F736" s="270">
        <f>ROUND(E63,0)</f>
        <v>4285630</v>
      </c>
      <c r="G736" s="270">
        <f>ROUND(E64,0)</f>
        <v>1868270</v>
      </c>
      <c r="H736" s="270">
        <f>ROUND(E65,0)</f>
        <v>4445</v>
      </c>
      <c r="I736" s="270">
        <f>ROUND(E66,0)</f>
        <v>435432</v>
      </c>
      <c r="J736" s="270">
        <f>ROUND(E67,0)</f>
        <v>2537070</v>
      </c>
      <c r="K736" s="270">
        <f>ROUND(E68,0)</f>
        <v>52872</v>
      </c>
      <c r="L736" s="270">
        <f>ROUND(E69,0)</f>
        <v>25564</v>
      </c>
      <c r="M736" s="270">
        <f>ROUND(E70,0)</f>
        <v>4483</v>
      </c>
      <c r="N736" s="270">
        <f>ROUND(E75,0)</f>
        <v>188601266</v>
      </c>
      <c r="O736" s="270">
        <f>ROUND(E73,0)</f>
        <v>170614691</v>
      </c>
      <c r="P736" s="270">
        <f>IF(E76&gt;0,ROUND(E76,0),0)</f>
        <v>90290</v>
      </c>
      <c r="Q736" s="270">
        <f>IF(E77&gt;0,ROUND(E77,0),0)</f>
        <v>211639</v>
      </c>
      <c r="R736" s="270">
        <f>IF(E78&gt;0,ROUND(E78,0),0)</f>
        <v>21041</v>
      </c>
      <c r="S736" s="270">
        <f>IF(E79&gt;0,ROUND(E79,0),0)</f>
        <v>568818</v>
      </c>
      <c r="T736" s="272">
        <f>IF(E80&gt;0,ROUND(E80,2),0)</f>
        <v>188.6</v>
      </c>
      <c r="U736" s="270"/>
      <c r="V736" s="271"/>
      <c r="W736" s="270"/>
      <c r="X736" s="270"/>
      <c r="Y736" s="270">
        <f t="shared" si="21"/>
        <v>27888284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" customHeight="1">
      <c r="A737" s="207" t="str">
        <f>RIGHT($C$83,3)&amp;"*"&amp;RIGHT($C$82,4)&amp;"*"&amp;F$55&amp;"*"&amp;"A"</f>
        <v>142*2018*6100*A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87663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1"/>
        <v>28393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" customHeight="1">
      <c r="A738" s="207" t="str">
        <f>RIGHT($C$83,3)&amp;"*"&amp;RIGHT($C$82,4)&amp;"*"&amp;G$55&amp;"*"&amp;"A"</f>
        <v>142*2018*6120*A</v>
      </c>
      <c r="B738" s="270">
        <f>ROUND(G59,0)</f>
        <v>0</v>
      </c>
      <c r="C738" s="272">
        <f>ROUND(G60,2)</f>
        <v>0</v>
      </c>
      <c r="D738" s="270">
        <f>ROUND(G61,0)</f>
        <v>0</v>
      </c>
      <c r="E738" s="270">
        <f>ROUND(G62,0)</f>
        <v>0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0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0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1"/>
        <v>0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" customHeight="1">
      <c r="A739" s="207" t="str">
        <f>RIGHT($C$83,3)&amp;"*"&amp;RIGHT($C$82,4)&amp;"*"&amp;H$55&amp;"*"&amp;"A"</f>
        <v>142*2018*6140*A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350</v>
      </c>
      <c r="I739" s="270">
        <f>ROUND(H66,0)</f>
        <v>0</v>
      </c>
      <c r="J739" s="270">
        <f>ROUND(H67,0)</f>
        <v>0</v>
      </c>
      <c r="K739" s="270">
        <f>ROUND(H68,0)</f>
        <v>409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1"/>
        <v>110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" customHeight="1">
      <c r="A740" s="207" t="str">
        <f>RIGHT($C$83,3)&amp;"*"&amp;RIGHT($C$82,4)&amp;"*"&amp;I$55&amp;"*"&amp;"A"</f>
        <v>142*2018*6150*A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1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" customHeight="1">
      <c r="A741" s="207" t="str">
        <f>RIGHT($C$83,3)&amp;"*"&amp;RIGHT($C$82,4)&amp;"*"&amp;J$55&amp;"*"&amp;"A"</f>
        <v>142*2018*6170*A</v>
      </c>
      <c r="B741" s="270">
        <f>ROUND(J59,0)</f>
        <v>3905</v>
      </c>
      <c r="C741" s="272">
        <f>ROUND(J60,2)</f>
        <v>70.510000000000005</v>
      </c>
      <c r="D741" s="270">
        <f>ROUND(J61,0)</f>
        <v>6883695</v>
      </c>
      <c r="E741" s="270">
        <f>ROUND(J62,0)</f>
        <v>1553291</v>
      </c>
      <c r="F741" s="270">
        <f>ROUND(J63,0)</f>
        <v>1412946</v>
      </c>
      <c r="G741" s="270">
        <f>ROUND(J64,0)</f>
        <v>702658</v>
      </c>
      <c r="H741" s="270">
        <f>ROUND(J65,0)</f>
        <v>2344</v>
      </c>
      <c r="I741" s="270">
        <f>ROUND(J66,0)</f>
        <v>1127688</v>
      </c>
      <c r="J741" s="270">
        <f>ROUND(J67,0)</f>
        <v>616508</v>
      </c>
      <c r="K741" s="270">
        <f>ROUND(J68,0)</f>
        <v>11982</v>
      </c>
      <c r="L741" s="270">
        <f>ROUND(J69,0)</f>
        <v>22834</v>
      </c>
      <c r="M741" s="270">
        <f>ROUND(J70,0)</f>
        <v>4695</v>
      </c>
      <c r="N741" s="270">
        <f>ROUND(J75,0)</f>
        <v>59035256</v>
      </c>
      <c r="O741" s="270">
        <f>ROUND(J73,0)</f>
        <v>54213434</v>
      </c>
      <c r="P741" s="270">
        <f>IF(J76&gt;0,ROUND(J76,0),0)</f>
        <v>16041</v>
      </c>
      <c r="Q741" s="270">
        <f>IF(J77&gt;0,ROUND(J77,0),0)</f>
        <v>0</v>
      </c>
      <c r="R741" s="270">
        <f>IF(J78&gt;0,ROUND(J78,0),0)</f>
        <v>3738</v>
      </c>
      <c r="S741" s="270">
        <f>IF(J79&gt;0,ROUND(J79,0),0)</f>
        <v>0</v>
      </c>
      <c r="T741" s="272">
        <f>IF(J80&gt;0,ROUND(J80,2),0)</f>
        <v>50.49</v>
      </c>
      <c r="U741" s="270"/>
      <c r="V741" s="271"/>
      <c r="W741" s="270"/>
      <c r="X741" s="270"/>
      <c r="Y741" s="270">
        <f t="shared" si="21"/>
        <v>5010170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" customHeight="1">
      <c r="A742" s="207" t="str">
        <f>RIGHT($C$83,3)&amp;"*"&amp;RIGHT($C$82,4)&amp;"*"&amp;K$55&amp;"*"&amp;"A"</f>
        <v>142*2018*6200*A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1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" customHeight="1">
      <c r="A743" s="207" t="str">
        <f>RIGHT($C$83,3)&amp;"*"&amp;RIGHT($C$82,4)&amp;"*"&amp;L$55&amp;"*"&amp;"A"</f>
        <v>142*2018*6210*A</v>
      </c>
      <c r="B743" s="270">
        <f>ROUND(L59,0)</f>
        <v>0</v>
      </c>
      <c r="C743" s="272">
        <f>ROUND(L60,2)</f>
        <v>0</v>
      </c>
      <c r="D743" s="270">
        <f>ROUND(L61,0)</f>
        <v>0</v>
      </c>
      <c r="E743" s="270">
        <f>ROUND(L62,0)</f>
        <v>0</v>
      </c>
      <c r="F743" s="270">
        <f>ROUND(L63,0)</f>
        <v>0</v>
      </c>
      <c r="G743" s="270">
        <f>ROUND(L64,0)</f>
        <v>0</v>
      </c>
      <c r="H743" s="270">
        <f>ROUND(L65,0)</f>
        <v>0</v>
      </c>
      <c r="I743" s="270">
        <f>ROUND(L66,0)</f>
        <v>0</v>
      </c>
      <c r="J743" s="270">
        <f>ROUND(L67,0)</f>
        <v>0</v>
      </c>
      <c r="K743" s="270">
        <f>ROUND(L68,0)</f>
        <v>0</v>
      </c>
      <c r="L743" s="270">
        <f>ROUND(L69,0)</f>
        <v>0</v>
      </c>
      <c r="M743" s="270">
        <f>ROUND(L70,0)</f>
        <v>0</v>
      </c>
      <c r="N743" s="270">
        <f>ROUND(L75,0)</f>
        <v>0</v>
      </c>
      <c r="O743" s="270">
        <f>ROUND(L73,0)</f>
        <v>0</v>
      </c>
      <c r="P743" s="270">
        <f>IF(L76&gt;0,ROUND(L76,0),0)</f>
        <v>0</v>
      </c>
      <c r="Q743" s="270">
        <f>IF(L77&gt;0,ROUND(L77,0),0)</f>
        <v>0</v>
      </c>
      <c r="R743" s="270">
        <f>IF(L78&gt;0,ROUND(L78,0),0)</f>
        <v>0</v>
      </c>
      <c r="S743" s="270">
        <f>IF(L79&gt;0,ROUND(L79,0),0)</f>
        <v>0</v>
      </c>
      <c r="T743" s="272">
        <f>IF(L80&gt;0,ROUND(L80,2),0)</f>
        <v>0</v>
      </c>
      <c r="U743" s="270"/>
      <c r="V743" s="271"/>
      <c r="W743" s="270"/>
      <c r="X743" s="270"/>
      <c r="Y743" s="270">
        <f t="shared" si="21"/>
        <v>0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" customHeight="1">
      <c r="A744" s="207" t="str">
        <f>RIGHT($C$83,3)&amp;"*"&amp;RIGHT($C$82,4)&amp;"*"&amp;M$55&amp;"*"&amp;"A"</f>
        <v>142*2018*6330*A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1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" customHeight="1">
      <c r="A745" s="207" t="str">
        <f>RIGHT($C$83,3)&amp;"*"&amp;RIGHT($C$82,4)&amp;"*"&amp;N$55&amp;"*"&amp;"A"</f>
        <v>142*2018*6400*A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1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" customHeight="1">
      <c r="A746" s="207" t="str">
        <f>RIGHT($C$83,3)&amp;"*"&amp;RIGHT($C$82,4)&amp;"*"&amp;O$55&amp;"*"&amp;"A"</f>
        <v>142*2018*7010*A</v>
      </c>
      <c r="B746" s="270">
        <f>ROUND(O59,0)</f>
        <v>0</v>
      </c>
      <c r="C746" s="272">
        <f>ROUND(O60,2)</f>
        <v>0</v>
      </c>
      <c r="D746" s="270">
        <f>ROUND(O61,0)</f>
        <v>0</v>
      </c>
      <c r="E746" s="270">
        <f>ROUND(O62,0)</f>
        <v>0</v>
      </c>
      <c r="F746" s="270">
        <f>ROUND(O63,0)</f>
        <v>0</v>
      </c>
      <c r="G746" s="270">
        <f>ROUND(O64,0)</f>
        <v>0</v>
      </c>
      <c r="H746" s="270">
        <f>ROUND(O65,0)</f>
        <v>0</v>
      </c>
      <c r="I746" s="270">
        <f>ROUND(O66,0)</f>
        <v>0</v>
      </c>
      <c r="J746" s="270">
        <f>ROUND(O67,0)</f>
        <v>0</v>
      </c>
      <c r="K746" s="270">
        <f>ROUND(O68,0)</f>
        <v>0</v>
      </c>
      <c r="L746" s="270">
        <f>ROUND(O69,0)</f>
        <v>0</v>
      </c>
      <c r="M746" s="270">
        <f>ROUND(O70,0)</f>
        <v>0</v>
      </c>
      <c r="N746" s="270">
        <f>ROUND(O75,0)</f>
        <v>0</v>
      </c>
      <c r="O746" s="270">
        <f>ROUND(O73,0)</f>
        <v>0</v>
      </c>
      <c r="P746" s="270">
        <f>IF(O76&gt;0,ROUND(O76,0),0)</f>
        <v>0</v>
      </c>
      <c r="Q746" s="270">
        <f>IF(O77&gt;0,ROUND(O77,0),0)</f>
        <v>0</v>
      </c>
      <c r="R746" s="270">
        <f>IF(O78&gt;0,ROUND(O78,0),0)</f>
        <v>0</v>
      </c>
      <c r="S746" s="270">
        <f>IF(O79&gt;0,ROUND(O79,0),0)</f>
        <v>0</v>
      </c>
      <c r="T746" s="272">
        <f>IF(O80&gt;0,ROUND(O80,2),0)</f>
        <v>0</v>
      </c>
      <c r="U746" s="270"/>
      <c r="V746" s="271"/>
      <c r="W746" s="270"/>
      <c r="X746" s="270"/>
      <c r="Y746" s="270">
        <f t="shared" si="21"/>
        <v>0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" customHeight="1">
      <c r="A747" s="207" t="str">
        <f>RIGHT($C$83,3)&amp;"*"&amp;RIGHT($C$82,4)&amp;"*"&amp;P$55&amp;"*"&amp;"A"</f>
        <v>142*2018*7020*A</v>
      </c>
      <c r="B747" s="270">
        <f>ROUND(P59,0)</f>
        <v>965224</v>
      </c>
      <c r="C747" s="272">
        <f>ROUND(P60,2)</f>
        <v>98.45</v>
      </c>
      <c r="D747" s="270">
        <f>ROUND(P61,0)</f>
        <v>9169525</v>
      </c>
      <c r="E747" s="270">
        <f>ROUND(P62,0)</f>
        <v>2133342</v>
      </c>
      <c r="F747" s="270">
        <f>ROUND(P63,0)</f>
        <v>2551904</v>
      </c>
      <c r="G747" s="270">
        <f>ROUND(P64,0)</f>
        <v>18792287</v>
      </c>
      <c r="H747" s="270">
        <f>ROUND(P65,0)</f>
        <v>3460</v>
      </c>
      <c r="I747" s="270">
        <f>ROUND(P66,0)</f>
        <v>2161282</v>
      </c>
      <c r="J747" s="270">
        <f>ROUND(P67,0)</f>
        <v>4923716</v>
      </c>
      <c r="K747" s="270">
        <f>ROUND(P68,0)</f>
        <v>711175</v>
      </c>
      <c r="L747" s="270">
        <f>ROUND(P69,0)</f>
        <v>86069</v>
      </c>
      <c r="M747" s="270">
        <f>ROUND(P70,0)</f>
        <v>5395</v>
      </c>
      <c r="N747" s="270">
        <f>ROUND(P75,0)</f>
        <v>380006096</v>
      </c>
      <c r="O747" s="270">
        <f>ROUND(P73,0)</f>
        <v>200381096</v>
      </c>
      <c r="P747" s="270">
        <f>IF(P76&gt;0,ROUND(P76,0),0)</f>
        <v>58788</v>
      </c>
      <c r="Q747" s="270">
        <f>IF(P77&gt;0,ROUND(P77,0),0)</f>
        <v>32</v>
      </c>
      <c r="R747" s="270">
        <f>IF(P78&gt;0,ROUND(P78,0),0)</f>
        <v>13700</v>
      </c>
      <c r="S747" s="270">
        <f>IF(P79&gt;0,ROUND(P79,0),0)</f>
        <v>331414</v>
      </c>
      <c r="T747" s="272">
        <f>IF(P80&gt;0,ROUND(P80,2),0)</f>
        <v>44.01</v>
      </c>
      <c r="U747" s="270"/>
      <c r="V747" s="271"/>
      <c r="W747" s="270"/>
      <c r="X747" s="270"/>
      <c r="Y747" s="270">
        <f t="shared" si="21"/>
        <v>17296046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" customHeight="1">
      <c r="A748" s="207" t="str">
        <f>RIGHT($C$83,3)&amp;"*"&amp;RIGHT($C$82,4)&amp;"*"&amp;Q$55&amp;"*"&amp;"A"</f>
        <v>142*2018*7030*A</v>
      </c>
      <c r="B748" s="270">
        <f>ROUND(Q59,0)</f>
        <v>31928</v>
      </c>
      <c r="C748" s="272">
        <f>ROUND(Q60,2)</f>
        <v>44.39</v>
      </c>
      <c r="D748" s="270">
        <f>ROUND(Q61,0)</f>
        <v>4521438</v>
      </c>
      <c r="E748" s="270">
        <f>ROUND(Q62,0)</f>
        <v>1017088</v>
      </c>
      <c r="F748" s="270">
        <f>ROUND(Q63,0)</f>
        <v>0</v>
      </c>
      <c r="G748" s="270">
        <f>ROUND(Q64,0)</f>
        <v>585008</v>
      </c>
      <c r="H748" s="270">
        <f>ROUND(Q65,0)</f>
        <v>815</v>
      </c>
      <c r="I748" s="270">
        <f>ROUND(Q66,0)</f>
        <v>28148</v>
      </c>
      <c r="J748" s="270">
        <f>ROUND(Q67,0)</f>
        <v>228466</v>
      </c>
      <c r="K748" s="270">
        <f>ROUND(Q68,0)</f>
        <v>3230</v>
      </c>
      <c r="L748" s="270">
        <f>ROUND(Q69,0)</f>
        <v>13519</v>
      </c>
      <c r="M748" s="270">
        <f>ROUND(Q70,0)</f>
        <v>0</v>
      </c>
      <c r="N748" s="270">
        <f>ROUND(Q75,0)</f>
        <v>49381919</v>
      </c>
      <c r="O748" s="270">
        <f>ROUND(Q73,0)</f>
        <v>14855805</v>
      </c>
      <c r="P748" s="270">
        <f>IF(Q76&gt;0,ROUND(Q76,0),0)</f>
        <v>8627</v>
      </c>
      <c r="Q748" s="270">
        <f>IF(Q77&gt;0,ROUND(Q77,0),0)</f>
        <v>0</v>
      </c>
      <c r="R748" s="270">
        <f>IF(Q78&gt;0,ROUND(Q78,0),0)</f>
        <v>2010</v>
      </c>
      <c r="S748" s="270">
        <f>IF(Q79&gt;0,ROUND(Q79,0),0)</f>
        <v>0</v>
      </c>
      <c r="T748" s="272">
        <f>IF(Q80&gt;0,ROUND(Q80,2),0)</f>
        <v>30.48</v>
      </c>
      <c r="U748" s="270"/>
      <c r="V748" s="271"/>
      <c r="W748" s="270"/>
      <c r="X748" s="270"/>
      <c r="Y748" s="270">
        <f t="shared" si="21"/>
        <v>2981636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" customHeight="1">
      <c r="A749" s="207" t="str">
        <f>RIGHT($C$83,3)&amp;"*"&amp;RIGHT($C$82,4)&amp;"*"&amp;R$55&amp;"*"&amp;"A"</f>
        <v>142*2018*7040*A</v>
      </c>
      <c r="B749" s="270">
        <f>ROUND(R59,0)</f>
        <v>572370</v>
      </c>
      <c r="C749" s="272">
        <f>ROUND(R60,2)</f>
        <v>2.36</v>
      </c>
      <c r="D749" s="270">
        <f>ROUND(R61,0)</f>
        <v>154503</v>
      </c>
      <c r="E749" s="270">
        <f>ROUND(R62,0)</f>
        <v>44908</v>
      </c>
      <c r="F749" s="270">
        <f>ROUND(R63,0)</f>
        <v>376620</v>
      </c>
      <c r="G749" s="270">
        <f>ROUND(R64,0)</f>
        <v>383764</v>
      </c>
      <c r="H749" s="270">
        <f>ROUND(R65,0)</f>
        <v>0</v>
      </c>
      <c r="I749" s="270">
        <f>ROUND(R66,0)</f>
        <v>271664</v>
      </c>
      <c r="J749" s="270">
        <f>ROUND(R67,0)</f>
        <v>2958</v>
      </c>
      <c r="K749" s="270">
        <f>ROUND(R68,0)</f>
        <v>7055</v>
      </c>
      <c r="L749" s="270">
        <f>ROUND(R69,0)</f>
        <v>0</v>
      </c>
      <c r="M749" s="270">
        <f>ROUND(R70,0)</f>
        <v>0</v>
      </c>
      <c r="N749" s="270">
        <f>ROUND(R75,0)</f>
        <v>20663166</v>
      </c>
      <c r="O749" s="270">
        <f>ROUND(R73,0)</f>
        <v>7688409</v>
      </c>
      <c r="P749" s="270">
        <f>IF(R76&gt;0,ROUND(R76,0),0)</f>
        <v>116</v>
      </c>
      <c r="Q749" s="270">
        <f>IF(R77&gt;0,ROUND(R77,0),0)</f>
        <v>0</v>
      </c>
      <c r="R749" s="270">
        <f>IF(R78&gt;0,ROUND(R78,0),0)</f>
        <v>27</v>
      </c>
      <c r="S749" s="270">
        <f>IF(R79&gt;0,ROUND(R79,0),0)</f>
        <v>0</v>
      </c>
      <c r="T749" s="272">
        <f>IF(R80&gt;0,ROUND(R80,2),0)</f>
        <v>1.99</v>
      </c>
      <c r="U749" s="270"/>
      <c r="V749" s="271"/>
      <c r="W749" s="270"/>
      <c r="X749" s="270"/>
      <c r="Y749" s="270">
        <f t="shared" si="21"/>
        <v>514874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" customHeight="1">
      <c r="A750" s="207" t="str">
        <f>RIGHT($C$83,3)&amp;"*"&amp;RIGHT($C$82,4)&amp;"*"&amp;S$55&amp;"*"&amp;"A"</f>
        <v>142*2018*7050*A</v>
      </c>
      <c r="B750" s="270"/>
      <c r="C750" s="272">
        <f>ROUND(S60,2)</f>
        <v>38.07</v>
      </c>
      <c r="D750" s="270">
        <f>ROUND(S61,0)</f>
        <v>1936772</v>
      </c>
      <c r="E750" s="270">
        <f>ROUND(S62,0)</f>
        <v>662713</v>
      </c>
      <c r="F750" s="270">
        <f>ROUND(S63,0)</f>
        <v>0</v>
      </c>
      <c r="G750" s="270">
        <f>ROUND(S64,0)</f>
        <v>-721198</v>
      </c>
      <c r="H750" s="270">
        <f>ROUND(S65,0)</f>
        <v>54</v>
      </c>
      <c r="I750" s="270">
        <f>ROUND(S66,0)</f>
        <v>250114</v>
      </c>
      <c r="J750" s="270">
        <f>ROUND(S67,0)</f>
        <v>385358</v>
      </c>
      <c r="K750" s="270">
        <f>ROUND(S68,0)</f>
        <v>143567</v>
      </c>
      <c r="L750" s="270">
        <f>ROUND(S69,0)</f>
        <v>1968</v>
      </c>
      <c r="M750" s="270">
        <f>ROUND(S70,0)</f>
        <v>0</v>
      </c>
      <c r="N750" s="270">
        <f>ROUND(S75,0)</f>
        <v>0</v>
      </c>
      <c r="O750" s="270">
        <f>ROUND(S73,0)</f>
        <v>0</v>
      </c>
      <c r="P750" s="270">
        <f>IF(S76&gt;0,ROUND(S76,0),0)</f>
        <v>8419</v>
      </c>
      <c r="Q750" s="270">
        <f>IF(S77&gt;0,ROUND(S77,0),0)</f>
        <v>0</v>
      </c>
      <c r="R750" s="270">
        <f>IF(S78&gt;0,ROUND(S78,0),0)</f>
        <v>1962</v>
      </c>
      <c r="S750" s="270">
        <f>IF(S79&gt;0,ROUND(S79,0),0)</f>
        <v>0</v>
      </c>
      <c r="T750" s="272">
        <f>IF(S80&gt;0,ROUND(S80,2),0)</f>
        <v>0</v>
      </c>
      <c r="U750" s="270"/>
      <c r="V750" s="271"/>
      <c r="W750" s="270"/>
      <c r="X750" s="270"/>
      <c r="Y750" s="270">
        <f t="shared" si="21"/>
        <v>1123160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" customHeight="1">
      <c r="A751" s="207" t="str">
        <f>RIGHT($C$83,3)&amp;"*"&amp;RIGHT($C$82,4)&amp;"*"&amp;T$55&amp;"*"&amp;"A"</f>
        <v>142*2018*7060*A</v>
      </c>
      <c r="B751" s="270"/>
      <c r="C751" s="272">
        <f>ROUND(T60,2)</f>
        <v>0</v>
      </c>
      <c r="D751" s="270">
        <f>ROUND(T61,0)</f>
        <v>0</v>
      </c>
      <c r="E751" s="270">
        <f>ROUND(T62,0)</f>
        <v>0</v>
      </c>
      <c r="F751" s="270">
        <f>ROUND(T63,0)</f>
        <v>0</v>
      </c>
      <c r="G751" s="270">
        <f>ROUND(T64,0)</f>
        <v>0</v>
      </c>
      <c r="H751" s="270">
        <f>ROUND(T65,0)</f>
        <v>0</v>
      </c>
      <c r="I751" s="270">
        <f>ROUND(T66,0)</f>
        <v>0</v>
      </c>
      <c r="J751" s="270">
        <f>ROUND(T67,0)</f>
        <v>0</v>
      </c>
      <c r="K751" s="270">
        <f>ROUND(T68,0)</f>
        <v>0</v>
      </c>
      <c r="L751" s="270">
        <f>ROUND(T69,0)</f>
        <v>0</v>
      </c>
      <c r="M751" s="270">
        <f>ROUND(T70,0)</f>
        <v>0</v>
      </c>
      <c r="N751" s="270">
        <f>ROUND(T75,0)</f>
        <v>0</v>
      </c>
      <c r="O751" s="270">
        <f>ROUND(T73,0)</f>
        <v>0</v>
      </c>
      <c r="P751" s="270">
        <f>IF(T76&gt;0,ROUND(T76,0),0)</f>
        <v>0</v>
      </c>
      <c r="Q751" s="270">
        <f>IF(T77&gt;0,ROUND(T77,0),0)</f>
        <v>0</v>
      </c>
      <c r="R751" s="270">
        <f>IF(T78&gt;0,ROUND(T78,0),0)</f>
        <v>0</v>
      </c>
      <c r="S751" s="270">
        <f>IF(T79&gt;0,ROUND(T79,0),0)</f>
        <v>0</v>
      </c>
      <c r="T751" s="272">
        <f>IF(T80&gt;0,ROUND(T80,2),0)</f>
        <v>0</v>
      </c>
      <c r="U751" s="270"/>
      <c r="V751" s="271"/>
      <c r="W751" s="270"/>
      <c r="X751" s="270"/>
      <c r="Y751" s="270">
        <f t="shared" si="21"/>
        <v>0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" customHeight="1">
      <c r="A752" s="207" t="str">
        <f>RIGHT($C$83,3)&amp;"*"&amp;RIGHT($C$82,4)&amp;"*"&amp;U$55&amp;"*"&amp;"A"</f>
        <v>142*2018*7070*A</v>
      </c>
      <c r="B752" s="270">
        <f>ROUND(U59,0)</f>
        <v>880523</v>
      </c>
      <c r="C752" s="272">
        <f>ROUND(U60,2)</f>
        <v>55.63</v>
      </c>
      <c r="D752" s="270">
        <f>ROUND(U61,0)</f>
        <v>4496526</v>
      </c>
      <c r="E752" s="270">
        <f>ROUND(U62,0)</f>
        <v>1050009</v>
      </c>
      <c r="F752" s="270">
        <f>ROUND(U63,0)</f>
        <v>64868</v>
      </c>
      <c r="G752" s="270">
        <f>ROUND(U64,0)</f>
        <v>3865168</v>
      </c>
      <c r="H752" s="270">
        <f>ROUND(U65,0)</f>
        <v>0</v>
      </c>
      <c r="I752" s="270">
        <f>ROUND(U66,0)</f>
        <v>2630380</v>
      </c>
      <c r="J752" s="270">
        <f>ROUND(U67,0)</f>
        <v>461472</v>
      </c>
      <c r="K752" s="270">
        <f>ROUND(U68,0)</f>
        <v>137846</v>
      </c>
      <c r="L752" s="270">
        <f>ROUND(U69,0)</f>
        <v>68744</v>
      </c>
      <c r="M752" s="270">
        <f>ROUND(U70,0)</f>
        <v>139543</v>
      </c>
      <c r="N752" s="270">
        <f>ROUND(U75,0)</f>
        <v>90793476</v>
      </c>
      <c r="O752" s="270">
        <f>ROUND(U73,0)</f>
        <v>59106064</v>
      </c>
      <c r="P752" s="270">
        <f>IF(U76&gt;0,ROUND(U76,0),0)</f>
        <v>13374</v>
      </c>
      <c r="Q752" s="270">
        <f>IF(U77&gt;0,ROUND(U77,0),0)</f>
        <v>0</v>
      </c>
      <c r="R752" s="270">
        <f>IF(U78&gt;0,ROUND(U78,0),0)</f>
        <v>3117</v>
      </c>
      <c r="S752" s="270">
        <f>IF(U79&gt;0,ROUND(U79,0),0)</f>
        <v>0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1"/>
        <v>4377444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" customHeight="1">
      <c r="A753" s="207" t="str">
        <f>RIGHT($C$83,3)&amp;"*"&amp;RIGHT($C$82,4)&amp;"*"&amp;V$55&amp;"*"&amp;"A"</f>
        <v>142*2018*7110*A</v>
      </c>
      <c r="B753" s="270">
        <f>ROUND(V59,0)</f>
        <v>32879</v>
      </c>
      <c r="C753" s="272">
        <f>ROUND(V60,2)</f>
        <v>5.0599999999999996</v>
      </c>
      <c r="D753" s="270">
        <f>ROUND(V61,0)</f>
        <v>467071</v>
      </c>
      <c r="E753" s="270">
        <f>ROUND(V62,0)</f>
        <v>111345</v>
      </c>
      <c r="F753" s="270">
        <f>ROUND(V63,0)</f>
        <v>-83562</v>
      </c>
      <c r="G753" s="270">
        <f>ROUND(V64,0)</f>
        <v>18989</v>
      </c>
      <c r="H753" s="270">
        <f>ROUND(V65,0)</f>
        <v>15</v>
      </c>
      <c r="I753" s="270">
        <f>ROUND(V66,0)</f>
        <v>72846</v>
      </c>
      <c r="J753" s="270">
        <f>ROUND(V67,0)</f>
        <v>161200</v>
      </c>
      <c r="K753" s="270">
        <f>ROUND(V68,0)</f>
        <v>0</v>
      </c>
      <c r="L753" s="270">
        <f>ROUND(V69,0)</f>
        <v>429</v>
      </c>
      <c r="M753" s="270">
        <f>ROUND(V70,0)</f>
        <v>0</v>
      </c>
      <c r="N753" s="270">
        <f>ROUND(V75,0)</f>
        <v>28323125</v>
      </c>
      <c r="O753" s="270">
        <f>ROUND(V73,0)</f>
        <v>17559487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1"/>
        <v>483952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" customHeight="1">
      <c r="A754" s="207" t="str">
        <f>RIGHT($C$83,3)&amp;"*"&amp;RIGHT($C$82,4)&amp;"*"&amp;W$55&amp;"*"&amp;"A"</f>
        <v>142*2018*7120*A</v>
      </c>
      <c r="B754" s="270">
        <f>ROUND(W59,0)</f>
        <v>2668</v>
      </c>
      <c r="C754" s="272">
        <f>ROUND(W60,2)</f>
        <v>0</v>
      </c>
      <c r="D754" s="270">
        <f>ROUND(W61,0)</f>
        <v>431123</v>
      </c>
      <c r="E754" s="270">
        <f>ROUND(W62,0)</f>
        <v>96149</v>
      </c>
      <c r="F754" s="270">
        <f>ROUND(W63,0)</f>
        <v>0</v>
      </c>
      <c r="G754" s="270">
        <f>ROUND(W64,0)</f>
        <v>77718</v>
      </c>
      <c r="H754" s="270">
        <f>ROUND(W65,0)</f>
        <v>1217</v>
      </c>
      <c r="I754" s="270">
        <f>ROUND(W66,0)</f>
        <v>63778</v>
      </c>
      <c r="J754" s="270">
        <f>ROUND(W67,0)</f>
        <v>63321</v>
      </c>
      <c r="K754" s="270">
        <f>ROUND(W68,0)</f>
        <v>1526</v>
      </c>
      <c r="L754" s="270">
        <f>ROUND(W69,0)</f>
        <v>3471</v>
      </c>
      <c r="M754" s="270">
        <f>ROUND(W70,0)</f>
        <v>0</v>
      </c>
      <c r="N754" s="270">
        <f>ROUND(W75,0)</f>
        <v>19029773</v>
      </c>
      <c r="O754" s="270">
        <f>ROUND(W73,0)</f>
        <v>5906412</v>
      </c>
      <c r="P754" s="270">
        <f>IF(W76&gt;0,ROUND(W76,0),0)</f>
        <v>2192</v>
      </c>
      <c r="Q754" s="270">
        <f>IF(W77&gt;0,ROUND(W77,0),0)</f>
        <v>0</v>
      </c>
      <c r="R754" s="270">
        <f>IF(W78&gt;0,ROUND(W78,0),0)</f>
        <v>511</v>
      </c>
      <c r="S754" s="270">
        <f>IF(W79&gt;0,ROUND(W79,0),0)</f>
        <v>0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1"/>
        <v>511372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" customHeight="1">
      <c r="A755" s="207" t="str">
        <f>RIGHT($C$83,3)&amp;"*"&amp;RIGHT($C$82,4)&amp;"*"&amp;X$55&amp;"*"&amp;"A"</f>
        <v>142*2018*7130*A</v>
      </c>
      <c r="B755" s="270">
        <f>ROUND(X59,0)</f>
        <v>0</v>
      </c>
      <c r="C755" s="272">
        <f>ROUND(X60,2)</f>
        <v>0</v>
      </c>
      <c r="D755" s="270">
        <f>ROUND(X61,0)</f>
        <v>0</v>
      </c>
      <c r="E755" s="270">
        <f>ROUND(X62,0)</f>
        <v>0</v>
      </c>
      <c r="F755" s="270">
        <f>ROUND(X63,0)</f>
        <v>0</v>
      </c>
      <c r="G755" s="270">
        <f>ROUND(X64,0)</f>
        <v>0</v>
      </c>
      <c r="H755" s="270">
        <f>ROUND(X65,0)</f>
        <v>0</v>
      </c>
      <c r="I755" s="270">
        <f>ROUND(X66,0)</f>
        <v>0</v>
      </c>
      <c r="J755" s="270">
        <f>ROUND(X67,0)</f>
        <v>0</v>
      </c>
      <c r="K755" s="270">
        <f>ROUND(X68,0)</f>
        <v>0</v>
      </c>
      <c r="L755" s="270">
        <f>ROUND(X69,0)</f>
        <v>0</v>
      </c>
      <c r="M755" s="270">
        <f>ROUND(X70,0)</f>
        <v>0</v>
      </c>
      <c r="N755" s="270">
        <f>ROUND(X75,0)</f>
        <v>0</v>
      </c>
      <c r="O755" s="270">
        <f>ROUND(X73,0)</f>
        <v>0</v>
      </c>
      <c r="P755" s="270">
        <f>IF(X76&gt;0,ROUND(X76,0),0)</f>
        <v>0</v>
      </c>
      <c r="Q755" s="270">
        <f>IF(X77&gt;0,ROUND(X77,0),0)</f>
        <v>0</v>
      </c>
      <c r="R755" s="270">
        <f>IF(X78&gt;0,ROUND(X78,0),0)</f>
        <v>0</v>
      </c>
      <c r="S755" s="270">
        <f>IF(X79&gt;0,ROUND(X79,0),0)</f>
        <v>0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1"/>
        <v>0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" customHeight="1">
      <c r="A756" s="207" t="str">
        <f>RIGHT($C$83,3)&amp;"*"&amp;RIGHT($C$82,4)&amp;"*"&amp;Y$55&amp;"*"&amp;"A"</f>
        <v>142*2018*7140*A</v>
      </c>
      <c r="B756" s="270">
        <f>ROUND(Y59,0)</f>
        <v>131426</v>
      </c>
      <c r="C756" s="272">
        <f>ROUND(Y60,2)</f>
        <v>147.38999999999999</v>
      </c>
      <c r="D756" s="270">
        <f>ROUND(Y61,0)</f>
        <v>11904103</v>
      </c>
      <c r="E756" s="270">
        <f>ROUND(Y62,0)</f>
        <v>3008374</v>
      </c>
      <c r="F756" s="270">
        <f>ROUND(Y63,0)</f>
        <v>0</v>
      </c>
      <c r="G756" s="270">
        <f>ROUND(Y64,0)</f>
        <v>12727191</v>
      </c>
      <c r="H756" s="270">
        <f>ROUND(Y65,0)</f>
        <v>265091</v>
      </c>
      <c r="I756" s="270">
        <f>ROUND(Y66,0)</f>
        <v>3473550</v>
      </c>
      <c r="J756" s="270">
        <f>ROUND(Y67,0)</f>
        <v>2538508</v>
      </c>
      <c r="K756" s="270">
        <f>ROUND(Y68,0)</f>
        <v>1039552</v>
      </c>
      <c r="L756" s="270">
        <f>ROUND(Y69,0)</f>
        <v>31662</v>
      </c>
      <c r="M756" s="270">
        <f>ROUND(Y70,0)</f>
        <v>8798</v>
      </c>
      <c r="N756" s="270">
        <f>ROUND(Y75,0)</f>
        <v>357460820</v>
      </c>
      <c r="O756" s="270">
        <f>ROUND(Y73,0)</f>
        <v>127030929</v>
      </c>
      <c r="P756" s="270">
        <f>IF(Y76&gt;0,ROUND(Y76,0),0)</f>
        <v>23073</v>
      </c>
      <c r="Q756" s="270">
        <f>IF(Y77&gt;0,ROUND(Y77,0),0)</f>
        <v>0</v>
      </c>
      <c r="R756" s="270">
        <f>IF(Y78&gt;0,ROUND(Y78,0),0)</f>
        <v>5377</v>
      </c>
      <c r="S756" s="270">
        <f>IF(Y79&gt;0,ROUND(Y79,0),0)</f>
        <v>83226</v>
      </c>
      <c r="T756" s="272">
        <f>IF(Y80&gt;0,ROUND(Y80,2),0)</f>
        <v>18.239999999999998</v>
      </c>
      <c r="U756" s="270"/>
      <c r="V756" s="271"/>
      <c r="W756" s="270"/>
      <c r="X756" s="270"/>
      <c r="Y756" s="270">
        <f t="shared" si="21"/>
        <v>12870621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" customHeight="1">
      <c r="A757" s="207" t="str">
        <f>RIGHT($C$83,3)&amp;"*"&amp;RIGHT($C$82,4)&amp;"*"&amp;Z$55&amp;"*"&amp;"A"</f>
        <v>142*2018*7150*A</v>
      </c>
      <c r="B757" s="270">
        <f>ROUND(Z59,0)</f>
        <v>13394</v>
      </c>
      <c r="C757" s="272">
        <f>ROUND(Z60,2)</f>
        <v>17.91</v>
      </c>
      <c r="D757" s="270">
        <f>ROUND(Z61,0)</f>
        <v>1632636</v>
      </c>
      <c r="E757" s="270">
        <f>ROUND(Z62,0)</f>
        <v>392150</v>
      </c>
      <c r="F757" s="270">
        <f>ROUND(Z63,0)</f>
        <v>36000</v>
      </c>
      <c r="G757" s="270">
        <f>ROUND(Z64,0)</f>
        <v>39824</v>
      </c>
      <c r="H757" s="270">
        <f>ROUND(Z65,0)</f>
        <v>0</v>
      </c>
      <c r="I757" s="270">
        <f>ROUND(Z66,0)</f>
        <v>914145</v>
      </c>
      <c r="J757" s="270">
        <f>ROUND(Z67,0)</f>
        <v>371518</v>
      </c>
      <c r="K757" s="270">
        <f>ROUND(Z68,0)</f>
        <v>9026</v>
      </c>
      <c r="L757" s="270">
        <f>ROUND(Z69,0)</f>
        <v>5433</v>
      </c>
      <c r="M757" s="270">
        <f>ROUND(Z70,0)</f>
        <v>1151</v>
      </c>
      <c r="N757" s="270">
        <f>ROUND(Z75,0)</f>
        <v>38608287</v>
      </c>
      <c r="O757" s="270">
        <f>ROUND(Z73,0)</f>
        <v>1577826</v>
      </c>
      <c r="P757" s="270">
        <f>IF(Z76&gt;0,ROUND(Z76,0),0)</f>
        <v>11773</v>
      </c>
      <c r="Q757" s="270">
        <f>IF(Z77&gt;0,ROUND(Z77,0),0)</f>
        <v>0</v>
      </c>
      <c r="R757" s="270">
        <f>IF(Z78&gt;0,ROUND(Z78,0),0)</f>
        <v>2744</v>
      </c>
      <c r="S757" s="270">
        <f>IF(Z79&gt;0,ROUND(Z79,0),0)</f>
        <v>26971</v>
      </c>
      <c r="T757" s="272">
        <f>IF(Z80&gt;0,ROUND(Z80,2),0)</f>
        <v>2.73</v>
      </c>
      <c r="U757" s="270"/>
      <c r="V757" s="271"/>
      <c r="W757" s="270"/>
      <c r="X757" s="270"/>
      <c r="Y757" s="270">
        <f t="shared" si="21"/>
        <v>1982164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" customHeight="1">
      <c r="A758" s="207" t="str">
        <f>RIGHT($C$83,3)&amp;"*"&amp;RIGHT($C$82,4)&amp;"*"&amp;AA$55&amp;"*"&amp;"A"</f>
        <v>142*2018*7160*A</v>
      </c>
      <c r="B758" s="270">
        <f>ROUND(AA59,0)</f>
        <v>2790</v>
      </c>
      <c r="C758" s="272">
        <f>ROUND(AA60,2)</f>
        <v>2.93</v>
      </c>
      <c r="D758" s="270">
        <f>ROUND(AA61,0)</f>
        <v>293615</v>
      </c>
      <c r="E758" s="270">
        <f>ROUND(AA62,0)</f>
        <v>67641</v>
      </c>
      <c r="F758" s="270">
        <f>ROUND(AA63,0)</f>
        <v>0</v>
      </c>
      <c r="G758" s="270">
        <f>ROUND(AA64,0)</f>
        <v>1080457</v>
      </c>
      <c r="H758" s="270">
        <f>ROUND(AA65,0)</f>
        <v>0</v>
      </c>
      <c r="I758" s="270">
        <f>ROUND(AA66,0)</f>
        <v>60540</v>
      </c>
      <c r="J758" s="270">
        <f>ROUND(AA67,0)</f>
        <v>66502</v>
      </c>
      <c r="K758" s="270">
        <f>ROUND(AA68,0)</f>
        <v>524</v>
      </c>
      <c r="L758" s="270">
        <f>ROUND(AA69,0)</f>
        <v>10626</v>
      </c>
      <c r="M758" s="270">
        <f>ROUND(AA70,0)</f>
        <v>0</v>
      </c>
      <c r="N758" s="270">
        <f>ROUND(AA75,0)</f>
        <v>16709119</v>
      </c>
      <c r="O758" s="270">
        <f>ROUND(AA73,0)</f>
        <v>5877080</v>
      </c>
      <c r="P758" s="270">
        <f>IF(AA76&gt;0,ROUND(AA76,0),0)</f>
        <v>0</v>
      </c>
      <c r="Q758" s="270">
        <f>IF(AA77&gt;0,ROUND(AA77,0),0)</f>
        <v>0</v>
      </c>
      <c r="R758" s="270">
        <f>IF(AA78&gt;0,ROUND(AA78,0),0)</f>
        <v>0</v>
      </c>
      <c r="S758" s="270">
        <f>IF(AA79&gt;0,ROUND(AA79,0),0)</f>
        <v>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1"/>
        <v>505134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" customHeight="1">
      <c r="A759" s="207" t="str">
        <f>RIGHT($C$83,3)&amp;"*"&amp;RIGHT($C$82,4)&amp;"*"&amp;AB$55&amp;"*"&amp;"A"</f>
        <v>142*2018*7170*A</v>
      </c>
      <c r="B759" s="270"/>
      <c r="C759" s="272">
        <f>ROUND(AB60,2)</f>
        <v>44.8</v>
      </c>
      <c r="D759" s="270">
        <f>ROUND(AB61,0)</f>
        <v>4669670</v>
      </c>
      <c r="E759" s="270">
        <f>ROUND(AB62,0)</f>
        <v>1034290</v>
      </c>
      <c r="F759" s="270">
        <f>ROUND(AB63,0)</f>
        <v>0</v>
      </c>
      <c r="G759" s="270">
        <f>ROUND(AB64,0)</f>
        <v>12616729</v>
      </c>
      <c r="H759" s="270">
        <f>ROUND(AB65,0)</f>
        <v>829</v>
      </c>
      <c r="I759" s="270">
        <f>ROUND(AB66,0)</f>
        <v>566602</v>
      </c>
      <c r="J759" s="270">
        <f>ROUND(AB67,0)</f>
        <v>480262</v>
      </c>
      <c r="K759" s="270">
        <f>ROUND(AB68,0)</f>
        <v>39115</v>
      </c>
      <c r="L759" s="270">
        <f>ROUND(AB69,0)</f>
        <v>52891</v>
      </c>
      <c r="M759" s="270">
        <f>ROUND(AB70,0)</f>
        <v>701</v>
      </c>
      <c r="N759" s="270">
        <f>ROUND(AB75,0)</f>
        <v>212622510</v>
      </c>
      <c r="O759" s="270">
        <f>ROUND(AB73,0)</f>
        <v>131781518</v>
      </c>
      <c r="P759" s="270">
        <f>IF(AB76&gt;0,ROUND(AB76,0),0)</f>
        <v>5552</v>
      </c>
      <c r="Q759" s="270">
        <f>IF(AB77&gt;0,ROUND(AB77,0),0)</f>
        <v>0</v>
      </c>
      <c r="R759" s="270">
        <f>IF(AB78&gt;0,ROUND(AB78,0),0)</f>
        <v>1294</v>
      </c>
      <c r="S759" s="270">
        <f>IF(AB79&gt;0,ROUND(AB79,0),0)</f>
        <v>0</v>
      </c>
      <c r="T759" s="272">
        <f>IF(AB80&gt;0,ROUND(AB80,2),0)</f>
        <v>0</v>
      </c>
      <c r="U759" s="270"/>
      <c r="V759" s="271"/>
      <c r="W759" s="270"/>
      <c r="X759" s="270"/>
      <c r="Y759" s="270">
        <f t="shared" si="21"/>
        <v>6715854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" customHeight="1">
      <c r="A760" s="207" t="str">
        <f>RIGHT($C$83,3)&amp;"*"&amp;RIGHT($C$82,4)&amp;"*"&amp;AC$55&amp;"*"&amp;"A"</f>
        <v>142*2018*7180*A</v>
      </c>
      <c r="B760" s="270">
        <f>ROUND(AC59,0)</f>
        <v>86711</v>
      </c>
      <c r="C760" s="272">
        <f>ROUND(AC60,2)</f>
        <v>56.47</v>
      </c>
      <c r="D760" s="270">
        <f>ROUND(AC61,0)</f>
        <v>4491504</v>
      </c>
      <c r="E760" s="270">
        <f>ROUND(AC62,0)</f>
        <v>1169401</v>
      </c>
      <c r="F760" s="270">
        <f>ROUND(AC63,0)</f>
        <v>92813</v>
      </c>
      <c r="G760" s="270">
        <f>ROUND(AC64,0)</f>
        <v>709106</v>
      </c>
      <c r="H760" s="270">
        <f>ROUND(AC65,0)</f>
        <v>4629</v>
      </c>
      <c r="I760" s="270">
        <f>ROUND(AC66,0)</f>
        <v>153132</v>
      </c>
      <c r="J760" s="270">
        <f>ROUND(AC67,0)</f>
        <v>334608</v>
      </c>
      <c r="K760" s="270">
        <f>ROUND(AC68,0)</f>
        <v>304722</v>
      </c>
      <c r="L760" s="270">
        <f>ROUND(AC69,0)</f>
        <v>15775</v>
      </c>
      <c r="M760" s="270">
        <f>ROUND(AC70,0)</f>
        <v>0</v>
      </c>
      <c r="N760" s="270">
        <f>ROUND(AC75,0)</f>
        <v>60145424</v>
      </c>
      <c r="O760" s="270">
        <f>ROUND(AC73,0)</f>
        <v>42853671</v>
      </c>
      <c r="P760" s="270">
        <f>IF(AC76&gt;0,ROUND(AC76,0),0)</f>
        <v>7609</v>
      </c>
      <c r="Q760" s="270">
        <f>IF(AC77&gt;0,ROUND(AC77,0),0)</f>
        <v>0</v>
      </c>
      <c r="R760" s="270">
        <f>IF(AC78&gt;0,ROUND(AC78,0),0)</f>
        <v>1773</v>
      </c>
      <c r="S760" s="270">
        <f>IF(AC79&gt;0,ROUND(AC79,0),0)</f>
        <v>14667</v>
      </c>
      <c r="T760" s="272">
        <f>IF(AC80&gt;0,ROUND(AC80,2),0)</f>
        <v>1.67</v>
      </c>
      <c r="U760" s="270"/>
      <c r="V760" s="271"/>
      <c r="W760" s="270"/>
      <c r="X760" s="270"/>
      <c r="Y760" s="270">
        <f t="shared" si="21"/>
        <v>2668869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" customHeight="1">
      <c r="A761" s="207" t="str">
        <f>RIGHT($C$83,3)&amp;"*"&amp;RIGHT($C$82,4)&amp;"*"&amp;AD$55&amp;"*"&amp;"A"</f>
        <v>142*2018*7190*A</v>
      </c>
      <c r="B761" s="270">
        <f>ROUND(AD59,0)</f>
        <v>0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0</v>
      </c>
      <c r="H761" s="270">
        <f>ROUND(AD65,0)</f>
        <v>0</v>
      </c>
      <c r="I761" s="270">
        <f>ROUND(AD66,0)</f>
        <v>0</v>
      </c>
      <c r="J761" s="270">
        <f>ROUND(AD67,0)</f>
        <v>20653</v>
      </c>
      <c r="K761" s="270">
        <f>ROUND(AD68,0)</f>
        <v>0</v>
      </c>
      <c r="L761" s="270">
        <f>ROUND(AD69,0)</f>
        <v>0</v>
      </c>
      <c r="M761" s="270">
        <f>ROUND(AD70,0)</f>
        <v>0</v>
      </c>
      <c r="N761" s="270">
        <f>ROUND(AD75,0)</f>
        <v>0</v>
      </c>
      <c r="O761" s="270">
        <f>ROUND(AD73,0)</f>
        <v>0</v>
      </c>
      <c r="P761" s="270">
        <f>IF(AD76&gt;0,ROUND(AD76,0),0)</f>
        <v>810</v>
      </c>
      <c r="Q761" s="270">
        <f>IF(AD77&gt;0,ROUND(AD77,0),0)</f>
        <v>0</v>
      </c>
      <c r="R761" s="270">
        <f>IF(AD78&gt;0,ROUND(AD78,0),0)</f>
        <v>189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1"/>
        <v>62913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" customHeight="1">
      <c r="A762" s="207" t="str">
        <f>RIGHT($C$83,3)&amp;"*"&amp;RIGHT($C$82,4)&amp;"*"&amp;AE$55&amp;"*"&amp;"A"</f>
        <v>142*2018*7200*A</v>
      </c>
      <c r="B762" s="270">
        <f>ROUND(AE59,0)</f>
        <v>76570</v>
      </c>
      <c r="C762" s="272">
        <f>ROUND(AE60,2)</f>
        <v>33.76</v>
      </c>
      <c r="D762" s="270">
        <f>ROUND(AE61,0)</f>
        <v>2693453</v>
      </c>
      <c r="E762" s="270">
        <f>ROUND(AE62,0)</f>
        <v>701757</v>
      </c>
      <c r="F762" s="270">
        <f>ROUND(AE63,0)</f>
        <v>309494</v>
      </c>
      <c r="G762" s="270">
        <f>ROUND(AE64,0)</f>
        <v>613602</v>
      </c>
      <c r="H762" s="270">
        <f>ROUND(AE65,0)</f>
        <v>14850</v>
      </c>
      <c r="I762" s="270">
        <f>ROUND(AE66,0)</f>
        <v>1632610</v>
      </c>
      <c r="J762" s="270">
        <f>ROUND(AE67,0)</f>
        <v>735756</v>
      </c>
      <c r="K762" s="270">
        <f>ROUND(AE68,0)</f>
        <v>405981</v>
      </c>
      <c r="L762" s="270">
        <f>ROUND(AE69,0)</f>
        <v>20649</v>
      </c>
      <c r="M762" s="270">
        <f>ROUND(AE70,0)</f>
        <v>12179</v>
      </c>
      <c r="N762" s="270">
        <f>ROUND(AE75,0)</f>
        <v>23717530</v>
      </c>
      <c r="O762" s="270">
        <f>ROUND(AE73,0)</f>
        <v>5368287</v>
      </c>
      <c r="P762" s="270">
        <f>IF(AE76&gt;0,ROUND(AE76,0),0)</f>
        <v>21850</v>
      </c>
      <c r="Q762" s="270">
        <f>IF(AE77&gt;0,ROUND(AE77,0),0)</f>
        <v>0</v>
      </c>
      <c r="R762" s="270">
        <f>IF(AE78&gt;0,ROUND(AE78,0),0)</f>
        <v>5092</v>
      </c>
      <c r="S762" s="270">
        <f>IF(AE79&gt;0,ROUND(AE79,0),0)</f>
        <v>39420</v>
      </c>
      <c r="T762" s="272">
        <f>IF(AE80&gt;0,ROUND(AE80,2),0)</f>
        <v>5.46</v>
      </c>
      <c r="U762" s="270"/>
      <c r="V762" s="271"/>
      <c r="W762" s="270"/>
      <c r="X762" s="270"/>
      <c r="Y762" s="270">
        <f t="shared" si="21"/>
        <v>3230326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" customHeight="1">
      <c r="A763" s="207" t="str">
        <f>RIGHT($C$83,3)&amp;"*"&amp;RIGHT($C$82,4)&amp;"*"&amp;AF$55&amp;"*"&amp;"A"</f>
        <v>142*2018*7220*A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1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" customHeight="1">
      <c r="A764" s="207" t="str">
        <f>RIGHT($C$83,3)&amp;"*"&amp;RIGHT($C$82,4)&amp;"*"&amp;AG$55&amp;"*"&amp;"A"</f>
        <v>142*2018*7230*A</v>
      </c>
      <c r="B764" s="270">
        <f>ROUND(AG59,0)</f>
        <v>71871</v>
      </c>
      <c r="C764" s="272">
        <f>ROUND(AG60,2)</f>
        <v>111.13</v>
      </c>
      <c r="D764" s="270">
        <f>ROUND(AG61,0)</f>
        <v>10491874</v>
      </c>
      <c r="E764" s="270">
        <f>ROUND(AG62,0)</f>
        <v>2343323</v>
      </c>
      <c r="F764" s="270">
        <f>ROUND(AG63,0)</f>
        <v>4747235</v>
      </c>
      <c r="G764" s="270">
        <f>ROUND(AG64,0)</f>
        <v>1611435</v>
      </c>
      <c r="H764" s="270">
        <f>ROUND(AG65,0)</f>
        <v>1198</v>
      </c>
      <c r="I764" s="270">
        <f>ROUND(AG66,0)</f>
        <v>1702999</v>
      </c>
      <c r="J764" s="270">
        <f>ROUND(AG67,0)</f>
        <v>1331444</v>
      </c>
      <c r="K764" s="270">
        <f>ROUND(AG68,0)</f>
        <v>33945</v>
      </c>
      <c r="L764" s="270">
        <f>ROUND(AG69,0)</f>
        <v>34909</v>
      </c>
      <c r="M764" s="270">
        <f>ROUND(AG70,0)</f>
        <v>6264</v>
      </c>
      <c r="N764" s="270">
        <f>ROUND(AG75,0)</f>
        <v>237925160</v>
      </c>
      <c r="O764" s="270">
        <f>ROUND(AG73,0)</f>
        <v>49382776</v>
      </c>
      <c r="P764" s="270">
        <f>IF(AG76&gt;0,ROUND(AG76,0),0)</f>
        <v>28510</v>
      </c>
      <c r="Q764" s="270">
        <f>IF(AG77&gt;0,ROUND(AG77,0),0)</f>
        <v>7607</v>
      </c>
      <c r="R764" s="270">
        <f>IF(AG78&gt;0,ROUND(AG78,0),0)</f>
        <v>6644</v>
      </c>
      <c r="S764" s="270">
        <f>IF(AG79&gt;0,ROUND(AG79,0),0)</f>
        <v>494516</v>
      </c>
      <c r="T764" s="272">
        <f>IF(AG80&gt;0,ROUND(AG80,2),0)</f>
        <v>63.57</v>
      </c>
      <c r="U764" s="270"/>
      <c r="V764" s="271"/>
      <c r="W764" s="270"/>
      <c r="X764" s="270"/>
      <c r="Y764" s="270">
        <f t="shared" si="21"/>
        <v>10472819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" customHeight="1">
      <c r="A765" s="207" t="str">
        <f>RIGHT($C$83,3)&amp;"*"&amp;RIGHT($C$82,4)&amp;"*"&amp;AH$55&amp;"*"&amp;"A"</f>
        <v>142*2018*7240*A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1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" customHeight="1">
      <c r="A766" s="207" t="str">
        <f>RIGHT($C$83,3)&amp;"*"&amp;RIGHT($C$82,4)&amp;"*"&amp;AI$55&amp;"*"&amp;"A"</f>
        <v>142*2018*7250*A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1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" customHeight="1">
      <c r="A767" s="207" t="str">
        <f>RIGHT($C$83,3)&amp;"*"&amp;RIGHT($C$82,4)&amp;"*"&amp;AJ$55&amp;"*"&amp;"A"</f>
        <v>142*2018*7260*A</v>
      </c>
      <c r="B767" s="270">
        <f>ROUND(AJ59,0)</f>
        <v>0</v>
      </c>
      <c r="C767" s="272">
        <f>ROUND(AJ60,2)</f>
        <v>0</v>
      </c>
      <c r="D767" s="270">
        <f>ROUND(AJ61,0)</f>
        <v>0</v>
      </c>
      <c r="E767" s="270">
        <f>ROUND(AJ62,0)</f>
        <v>0</v>
      </c>
      <c r="F767" s="270">
        <f>ROUND(AJ63,0)</f>
        <v>0</v>
      </c>
      <c r="G767" s="270">
        <f>ROUND(AJ64,0)</f>
        <v>0</v>
      </c>
      <c r="H767" s="270">
        <f>ROUND(AJ65,0)</f>
        <v>0</v>
      </c>
      <c r="I767" s="270">
        <f>ROUND(AJ66,0)</f>
        <v>0</v>
      </c>
      <c r="J767" s="270">
        <f>ROUND(AJ67,0)</f>
        <v>0</v>
      </c>
      <c r="K767" s="270">
        <f>ROUND(AJ68,0)</f>
        <v>0</v>
      </c>
      <c r="L767" s="270">
        <f>ROUND(AJ69,0)</f>
        <v>0</v>
      </c>
      <c r="M767" s="270">
        <f>ROUND(AJ70,0)</f>
        <v>0</v>
      </c>
      <c r="N767" s="270">
        <f>ROUND(AJ75,0)</f>
        <v>0</v>
      </c>
      <c r="O767" s="270">
        <f>ROUND(AJ73,0)</f>
        <v>0</v>
      </c>
      <c r="P767" s="270">
        <f>IF(AJ76&gt;0,ROUND(AJ76,0),0)</f>
        <v>0</v>
      </c>
      <c r="Q767" s="270">
        <f>IF(AJ77&gt;0,ROUND(AJ77,0),0)</f>
        <v>0</v>
      </c>
      <c r="R767" s="270">
        <f>IF(AJ78&gt;0,ROUND(AJ78,0),0)</f>
        <v>0</v>
      </c>
      <c r="S767" s="270">
        <f>IF(AJ79&gt;0,ROUND(AJ79,0),0)</f>
        <v>0</v>
      </c>
      <c r="T767" s="272">
        <f>IF(AJ80&gt;0,ROUND(AJ80,2),0)</f>
        <v>0</v>
      </c>
      <c r="U767" s="270"/>
      <c r="V767" s="271"/>
      <c r="W767" s="270"/>
      <c r="X767" s="270"/>
      <c r="Y767" s="270">
        <f t="shared" si="21"/>
        <v>0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" customHeight="1">
      <c r="A768" s="207" t="str">
        <f>RIGHT($C$83,3)&amp;"*"&amp;RIGHT($C$82,4)&amp;"*"&amp;AK$55&amp;"*"&amp;"A"</f>
        <v>142*2018*7310*A</v>
      </c>
      <c r="B768" s="270">
        <f>ROUND(AK59,0)</f>
        <v>22744</v>
      </c>
      <c r="C768" s="272">
        <f>ROUND(AK60,2)</f>
        <v>9.31</v>
      </c>
      <c r="D768" s="270">
        <f>ROUND(AK61,0)</f>
        <v>902871</v>
      </c>
      <c r="E768" s="270">
        <f>ROUND(AK62,0)</f>
        <v>211927</v>
      </c>
      <c r="F768" s="270">
        <f>ROUND(AK63,0)</f>
        <v>0</v>
      </c>
      <c r="G768" s="270">
        <f>ROUND(AK64,0)</f>
        <v>12918</v>
      </c>
      <c r="H768" s="270">
        <f>ROUND(AK65,0)</f>
        <v>1577</v>
      </c>
      <c r="I768" s="270">
        <f>ROUND(AK66,0)</f>
        <v>1137</v>
      </c>
      <c r="J768" s="270">
        <f>ROUND(AK67,0)</f>
        <v>119357</v>
      </c>
      <c r="K768" s="270">
        <f>ROUND(AK68,0)</f>
        <v>165515</v>
      </c>
      <c r="L768" s="270">
        <f>ROUND(AK69,0)</f>
        <v>4333</v>
      </c>
      <c r="M768" s="270">
        <f>ROUND(AK70,0)</f>
        <v>0</v>
      </c>
      <c r="N768" s="270">
        <f>ROUND(AK75,0)</f>
        <v>6262231</v>
      </c>
      <c r="O768" s="270">
        <f>ROUND(AK73,0)</f>
        <v>3076981</v>
      </c>
      <c r="P768" s="270">
        <f>IF(AK76&gt;0,ROUND(AK76,0),0)</f>
        <v>4681</v>
      </c>
      <c r="Q768" s="270">
        <f>IF(AK77&gt;0,ROUND(AK77,0),0)</f>
        <v>0</v>
      </c>
      <c r="R768" s="270">
        <f>IF(AK78&gt;0,ROUND(AK78,0),0)</f>
        <v>1091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1"/>
        <v>668352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" customHeight="1">
      <c r="A769" s="207" t="str">
        <f>RIGHT($C$83,3)&amp;"*"&amp;RIGHT($C$82,4)&amp;"*"&amp;AL$55&amp;"*"&amp;"A"</f>
        <v>142*2018*7320*A</v>
      </c>
      <c r="B769" s="270">
        <f>ROUND(AL59,0)</f>
        <v>3428</v>
      </c>
      <c r="C769" s="272">
        <f>ROUND(AL60,2)</f>
        <v>4.5999999999999996</v>
      </c>
      <c r="D769" s="270">
        <f>ROUND(AL61,0)</f>
        <v>436390</v>
      </c>
      <c r="E769" s="270">
        <f>ROUND(AL62,0)</f>
        <v>104253</v>
      </c>
      <c r="F769" s="270">
        <f>ROUND(AL63,0)</f>
        <v>0</v>
      </c>
      <c r="G769" s="270">
        <f>ROUND(AL64,0)</f>
        <v>5557</v>
      </c>
      <c r="H769" s="270">
        <f>ROUND(AL65,0)</f>
        <v>188</v>
      </c>
      <c r="I769" s="270">
        <f>ROUND(AL66,0)</f>
        <v>0</v>
      </c>
      <c r="J769" s="270">
        <f>ROUND(AL67,0)</f>
        <v>39267</v>
      </c>
      <c r="K769" s="270">
        <f>ROUND(AL68,0)</f>
        <v>57234</v>
      </c>
      <c r="L769" s="270">
        <f>ROUND(AL69,0)</f>
        <v>1677</v>
      </c>
      <c r="M769" s="270">
        <f>ROUND(AL70,0)</f>
        <v>0</v>
      </c>
      <c r="N769" s="270">
        <f>ROUND(AL75,0)</f>
        <v>3041641</v>
      </c>
      <c r="O769" s="270">
        <f>ROUND(AL73,0)</f>
        <v>1115435</v>
      </c>
      <c r="P769" s="270">
        <f>IF(AL76&gt;0,ROUND(AL76,0),0)</f>
        <v>1540</v>
      </c>
      <c r="Q769" s="270">
        <f>IF(AL77&gt;0,ROUND(AL77,0),0)</f>
        <v>0</v>
      </c>
      <c r="R769" s="270">
        <f>IF(AL78&gt;0,ROUND(AL78,0),0)</f>
        <v>359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1"/>
        <v>264119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" customHeight="1">
      <c r="A770" s="207" t="str">
        <f>RIGHT($C$83,3)&amp;"*"&amp;RIGHT($C$82,4)&amp;"*"&amp;AM$55&amp;"*"&amp;"A"</f>
        <v>142*2018*7330*A</v>
      </c>
      <c r="B770" s="270">
        <f>ROUND(AM59,0)</f>
        <v>0</v>
      </c>
      <c r="C770" s="272">
        <f>ROUND(AM60,2)</f>
        <v>0.01</v>
      </c>
      <c r="D770" s="270">
        <f>ROUND(AM61,0)</f>
        <v>-238</v>
      </c>
      <c r="E770" s="270">
        <f>ROUND(AM62,0)</f>
        <v>326</v>
      </c>
      <c r="F770" s="270">
        <f>ROUND(AM63,0)</f>
        <v>0</v>
      </c>
      <c r="G770" s="270">
        <f>ROUND(AM64,0)</f>
        <v>308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1151</v>
      </c>
      <c r="L770" s="270">
        <f>ROUND(AM69,0)</f>
        <v>394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1"/>
        <v>355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" customHeight="1">
      <c r="A771" s="207" t="str">
        <f>RIGHT($C$83,3)&amp;"*"&amp;RIGHT($C$82,4)&amp;"*"&amp;AN$55&amp;"*"&amp;"A"</f>
        <v>142*2018*7340*A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1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" customHeight="1">
      <c r="A772" s="207" t="str">
        <f>RIGHT($C$83,3)&amp;"*"&amp;RIGHT($C$82,4)&amp;"*"&amp;AO$55&amp;"*"&amp;"A"</f>
        <v>142*2018*7350*A</v>
      </c>
      <c r="B772" s="270">
        <f>ROUND(AO59,0)</f>
        <v>0</v>
      </c>
      <c r="C772" s="272">
        <f>ROUND(AO60,2)</f>
        <v>0</v>
      </c>
      <c r="D772" s="270">
        <f>ROUND(AO61,0)</f>
        <v>0</v>
      </c>
      <c r="E772" s="270">
        <f>ROUND(AO62,0)</f>
        <v>0</v>
      </c>
      <c r="F772" s="270">
        <f>ROUND(AO63,0)</f>
        <v>0</v>
      </c>
      <c r="G772" s="270">
        <f>ROUND(AO64,0)</f>
        <v>0</v>
      </c>
      <c r="H772" s="270">
        <f>ROUND(AO65,0)</f>
        <v>0</v>
      </c>
      <c r="I772" s="270">
        <f>ROUND(AO66,0)</f>
        <v>0</v>
      </c>
      <c r="J772" s="270">
        <f>ROUND(AO67,0)</f>
        <v>0</v>
      </c>
      <c r="K772" s="270">
        <f>ROUND(AO68,0)</f>
        <v>0</v>
      </c>
      <c r="L772" s="270">
        <f>ROUND(AO69,0)</f>
        <v>0</v>
      </c>
      <c r="M772" s="270">
        <f>ROUND(AO70,0)</f>
        <v>0</v>
      </c>
      <c r="N772" s="270">
        <f>ROUND(AO75,0)</f>
        <v>0</v>
      </c>
      <c r="O772" s="270">
        <f>ROUND(AO73,0)</f>
        <v>0</v>
      </c>
      <c r="P772" s="270">
        <f>IF(AO76&gt;0,ROUND(AO76,0),0)</f>
        <v>0</v>
      </c>
      <c r="Q772" s="270">
        <f>IF(AO77&gt;0,ROUND(AO77,0),0)</f>
        <v>0</v>
      </c>
      <c r="R772" s="270">
        <f>IF(AO78&gt;0,ROUND(AO78,0),0)</f>
        <v>0</v>
      </c>
      <c r="S772" s="270">
        <f>IF(AO79&gt;0,ROUND(AO79,0),0)</f>
        <v>0</v>
      </c>
      <c r="T772" s="272">
        <f>IF(AO80&gt;0,ROUND(AO80,2),0)</f>
        <v>0</v>
      </c>
      <c r="U772" s="270"/>
      <c r="V772" s="271"/>
      <c r="W772" s="270"/>
      <c r="X772" s="270"/>
      <c r="Y772" s="270">
        <f t="shared" si="21"/>
        <v>0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" customHeight="1">
      <c r="A773" s="207" t="str">
        <f>RIGHT($C$83,3)&amp;"*"&amp;RIGHT($C$82,4)&amp;"*"&amp;AP$55&amp;"*"&amp;"A"</f>
        <v>142*2018*7380*A</v>
      </c>
      <c r="B773" s="270">
        <f>ROUND(AP59,0)</f>
        <v>93275</v>
      </c>
      <c r="C773" s="272">
        <f>ROUND(AP60,2)</f>
        <v>108.69</v>
      </c>
      <c r="D773" s="270">
        <f>ROUND(AP61,0)</f>
        <v>7323455</v>
      </c>
      <c r="E773" s="270">
        <f>ROUND(AP62,0)</f>
        <v>2094050</v>
      </c>
      <c r="F773" s="270">
        <f>ROUND(AP63,0)</f>
        <v>39975</v>
      </c>
      <c r="G773" s="270">
        <f>ROUND(AP64,0)</f>
        <v>34115115</v>
      </c>
      <c r="H773" s="270">
        <f>ROUND(AP65,0)</f>
        <v>124795</v>
      </c>
      <c r="I773" s="270">
        <f>ROUND(AP66,0)</f>
        <v>1956192</v>
      </c>
      <c r="J773" s="270">
        <f>ROUND(AP67,0)</f>
        <v>4483333</v>
      </c>
      <c r="K773" s="270">
        <f>ROUND(AP68,0)</f>
        <v>670730</v>
      </c>
      <c r="L773" s="270">
        <f>ROUND(AP69,0)</f>
        <v>37597</v>
      </c>
      <c r="M773" s="270">
        <f>ROUND(AP70,0)</f>
        <v>528547</v>
      </c>
      <c r="N773" s="270">
        <f>ROUND(AP75,0)</f>
        <v>285445095</v>
      </c>
      <c r="O773" s="270">
        <f>ROUND(AP73,0)</f>
        <v>4125221</v>
      </c>
      <c r="P773" s="270">
        <f>IF(AP76&gt;0,ROUND(AP76,0),0)</f>
        <v>142342</v>
      </c>
      <c r="Q773" s="270">
        <f>IF(AP77&gt;0,ROUND(AP77,0),0)</f>
        <v>0</v>
      </c>
      <c r="R773" s="270">
        <f>IF(AP78&gt;0,ROUND(AP78,0),0)</f>
        <v>33171</v>
      </c>
      <c r="S773" s="270">
        <f>IF(AP79&gt;0,ROUND(AP79,0),0)</f>
        <v>0</v>
      </c>
      <c r="T773" s="272">
        <f>IF(AP80&gt;0,ROUND(AP80,2),0)</f>
        <v>38.68</v>
      </c>
      <c r="U773" s="270"/>
      <c r="V773" s="271"/>
      <c r="W773" s="270"/>
      <c r="X773" s="270"/>
      <c r="Y773" s="270">
        <f t="shared" si="21"/>
        <v>24323079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" customHeight="1">
      <c r="A774" s="207" t="str">
        <f>RIGHT($C$83,3)&amp;"*"&amp;RIGHT($C$82,4)&amp;"*"&amp;AQ$55&amp;"*"&amp;"A"</f>
        <v>142*2018*7390*A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1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" customHeight="1">
      <c r="A775" s="207" t="str">
        <f>RIGHT($C$83,3)&amp;"*"&amp;RIGHT($C$82,4)&amp;"*"&amp;AR$55&amp;"*"&amp;"A"</f>
        <v>142*2018*7400*A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412</v>
      </c>
      <c r="H775" s="270">
        <f>ROUND(AR65,0)</f>
        <v>0</v>
      </c>
      <c r="I775" s="270">
        <f>ROUND(AR66,0)</f>
        <v>2738</v>
      </c>
      <c r="J775" s="270">
        <f>ROUND(AR67,0)</f>
        <v>0</v>
      </c>
      <c r="K775" s="270">
        <f>ROUND(AR68,0)</f>
        <v>-749</v>
      </c>
      <c r="L775" s="270">
        <f>ROUND(AR69,0)</f>
        <v>403</v>
      </c>
      <c r="M775" s="270">
        <f>ROUND(AR70,0)</f>
        <v>-2841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1"/>
        <v>842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" customHeight="1">
      <c r="A776" s="207" t="str">
        <f>RIGHT($C$83,3)&amp;"*"&amp;RIGHT($C$82,4)&amp;"*"&amp;AS$55&amp;"*"&amp;"A"</f>
        <v>142*2018*7410*A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1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" customHeight="1">
      <c r="A777" s="207" t="str">
        <f>RIGHT($C$83,3)&amp;"*"&amp;RIGHT($C$82,4)&amp;"*"&amp;AT$55&amp;"*"&amp;"A"</f>
        <v>142*2018*7420*A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1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" customHeight="1">
      <c r="A778" s="207" t="str">
        <f>RIGHT($C$83,3)&amp;"*"&amp;RIGHT($C$82,4)&amp;"*"&amp;AU$55&amp;"*"&amp;"A"</f>
        <v>142*2018*7430*A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1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" customHeight="1">
      <c r="A779" s="207" t="str">
        <f>RIGHT($C$83,3)&amp;"*"&amp;RIGHT($C$82,4)&amp;"*"&amp;AV$55&amp;"*"&amp;"A"</f>
        <v>142*2018*7490*A</v>
      </c>
      <c r="B779" s="270"/>
      <c r="C779" s="272">
        <f>ROUND(AV60,2)</f>
        <v>5.98</v>
      </c>
      <c r="D779" s="270">
        <f>ROUND(AV61,0)</f>
        <v>502191</v>
      </c>
      <c r="E779" s="270">
        <f>ROUND(AV62,0)</f>
        <v>123906</v>
      </c>
      <c r="F779" s="270">
        <f>ROUND(AV63,0)</f>
        <v>1185749</v>
      </c>
      <c r="G779" s="270">
        <f>ROUND(AV64,0)</f>
        <v>28890</v>
      </c>
      <c r="H779" s="270">
        <f>ROUND(AV65,0)</f>
        <v>1995</v>
      </c>
      <c r="I779" s="270">
        <f>ROUND(AV66,0)</f>
        <v>2603894</v>
      </c>
      <c r="J779" s="270">
        <f>ROUND(AV67,0)</f>
        <v>80804</v>
      </c>
      <c r="K779" s="270">
        <f>ROUND(AV68,0)</f>
        <v>47463</v>
      </c>
      <c r="L779" s="270">
        <f>ROUND(AV69,0)</f>
        <v>12408</v>
      </c>
      <c r="M779" s="270">
        <f>ROUND(AV70,0)</f>
        <v>101266</v>
      </c>
      <c r="N779" s="270">
        <f>ROUND(AV75,0)</f>
        <v>4799869</v>
      </c>
      <c r="O779" s="270">
        <f>ROUND(AV73,0)</f>
        <v>880445</v>
      </c>
      <c r="P779" s="270">
        <f>IF(AV76&gt;0,ROUND(AV76,0),0)</f>
        <v>3169</v>
      </c>
      <c r="Q779" s="270">
        <f>IF(AV77&gt;0,ROUND(AV77,0),0)</f>
        <v>0</v>
      </c>
      <c r="R779" s="270">
        <f>IF(AV78&gt;0,ROUND(AV78,0),0)</f>
        <v>738</v>
      </c>
      <c r="S779" s="270">
        <f>IF(AV79&gt;0,ROUND(AV79,0),0)</f>
        <v>12153</v>
      </c>
      <c r="T779" s="272">
        <f>IF(AV80&gt;0,ROUND(AV80,2),0)</f>
        <v>0.59</v>
      </c>
      <c r="U779" s="270"/>
      <c r="V779" s="271"/>
      <c r="W779" s="270"/>
      <c r="X779" s="270"/>
      <c r="Y779" s="270">
        <f t="shared" si="21"/>
        <v>986969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" customHeight="1">
      <c r="A780" s="207" t="str">
        <f>RIGHT($C$83,3)&amp;"*"&amp;RIGHT($C$82,4)&amp;"*"&amp;AW$55&amp;"*"&amp;"A"</f>
        <v>142*2018*8200*A</v>
      </c>
      <c r="B780" s="270"/>
      <c r="C780" s="272">
        <f>ROUND(AW60,2)</f>
        <v>11.88</v>
      </c>
      <c r="D780" s="270">
        <f>ROUND(AW61,0)</f>
        <v>791315</v>
      </c>
      <c r="E780" s="270">
        <f>ROUND(AW62,0)</f>
        <v>229443</v>
      </c>
      <c r="F780" s="270">
        <f>ROUND(AW63,0)</f>
        <v>0</v>
      </c>
      <c r="G780" s="270">
        <f>ROUND(AW64,0)</f>
        <v>2251</v>
      </c>
      <c r="H780" s="270">
        <f>ROUND(AW65,0)</f>
        <v>0</v>
      </c>
      <c r="I780" s="270">
        <f>ROUND(AW66,0)</f>
        <v>153805</v>
      </c>
      <c r="J780" s="270">
        <f>ROUND(AW67,0)</f>
        <v>0</v>
      </c>
      <c r="K780" s="270">
        <f>ROUND(AW68,0)</f>
        <v>0</v>
      </c>
      <c r="L780" s="270">
        <f>ROUND(AW69,0)</f>
        <v>8640</v>
      </c>
      <c r="M780" s="270">
        <f>ROUND(AW70,0)</f>
        <v>276632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" customHeight="1">
      <c r="A781" s="207" t="str">
        <f>RIGHT($C$83,3)&amp;"*"&amp;RIGHT($C$82,4)&amp;"*"&amp;AX$55&amp;"*"&amp;"A"</f>
        <v>142*2018*8310*A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1483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" customHeight="1">
      <c r="A782" s="207" t="str">
        <f>RIGHT($C$83,3)&amp;"*"&amp;RIGHT($C$82,4)&amp;"*"&amp;AY$55&amp;"*"&amp;"A"</f>
        <v>142*2018*8320*A</v>
      </c>
      <c r="B782" s="270">
        <f>ROUND(AY59,0)</f>
        <v>224753</v>
      </c>
      <c r="C782" s="272">
        <f>ROUND(AY60,2)</f>
        <v>74.66</v>
      </c>
      <c r="D782" s="270">
        <f>ROUND(AY61,0)</f>
        <v>3208259</v>
      </c>
      <c r="E782" s="270">
        <f>ROUND(AY62,0)</f>
        <v>1232023</v>
      </c>
      <c r="F782" s="270">
        <f>ROUND(AY63,0)</f>
        <v>0</v>
      </c>
      <c r="G782" s="270">
        <f>ROUND(AY64,0)</f>
        <v>1581707</v>
      </c>
      <c r="H782" s="270">
        <f>ROUND(AY65,0)</f>
        <v>1339</v>
      </c>
      <c r="I782" s="270">
        <f>ROUND(AY66,0)</f>
        <v>1143816</v>
      </c>
      <c r="J782" s="270">
        <f>ROUND(AY67,0)</f>
        <v>297320</v>
      </c>
      <c r="K782" s="270">
        <f>ROUND(AY68,0)</f>
        <v>23132</v>
      </c>
      <c r="L782" s="270">
        <f>ROUND(AY69,0)</f>
        <v>65732</v>
      </c>
      <c r="M782" s="270">
        <f>ROUND(AY70,0)</f>
        <v>1784014</v>
      </c>
      <c r="N782" s="270"/>
      <c r="O782" s="270"/>
      <c r="P782" s="270">
        <f>IF(AY76&gt;0,ROUND(AY76,0),0)</f>
        <v>4119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" customHeight="1">
      <c r="A783" s="207" t="str">
        <f>RIGHT($C$83,3)&amp;"*"&amp;RIGHT($C$82,4)&amp;"*"&amp;AZ$55&amp;"*"&amp;"A"</f>
        <v>142*2018*8330*A</v>
      </c>
      <c r="B783" s="270">
        <f>ROUND(AZ59,0)</f>
        <v>870044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0</v>
      </c>
      <c r="J783" s="270">
        <f>ROUND(AZ67,0)</f>
        <v>383313</v>
      </c>
      <c r="K783" s="270">
        <f>ROUND(AZ68,0)</f>
        <v>0</v>
      </c>
      <c r="L783" s="270">
        <f>ROUND(AZ69,0)</f>
        <v>0</v>
      </c>
      <c r="M783" s="270">
        <f>ROUND(AZ70,0)</f>
        <v>0</v>
      </c>
      <c r="N783" s="270"/>
      <c r="O783" s="270"/>
      <c r="P783" s="270">
        <f>IF(AZ76&gt;0,ROUND(AZ76,0),0)</f>
        <v>15033</v>
      </c>
      <c r="Q783" s="270">
        <f>IF(AZ77&gt;0,ROUND(AZ77,0),0)</f>
        <v>0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" customHeight="1">
      <c r="A784" s="207" t="str">
        <f>RIGHT($C$83,3)&amp;"*"&amp;RIGHT($C$82,4)&amp;"*"&amp;BA$55&amp;"*"&amp;"A"</f>
        <v>142*2018*8350*A</v>
      </c>
      <c r="B784" s="270">
        <f>ROUND(BA59,0)</f>
        <v>0</v>
      </c>
      <c r="C784" s="272">
        <f>ROUND(BA60,2)</f>
        <v>2.79</v>
      </c>
      <c r="D784" s="270">
        <f>ROUND(BA61,0)</f>
        <v>113754</v>
      </c>
      <c r="E784" s="270">
        <f>ROUND(BA62,0)</f>
        <v>45251</v>
      </c>
      <c r="F784" s="270">
        <f>ROUND(BA63,0)</f>
        <v>0</v>
      </c>
      <c r="G784" s="270">
        <f>ROUND(BA64,0)</f>
        <v>197</v>
      </c>
      <c r="H784" s="270">
        <f>ROUND(BA65,0)</f>
        <v>0</v>
      </c>
      <c r="I784" s="270">
        <f>ROUND(BA66,0)</f>
        <v>-17000</v>
      </c>
      <c r="J784" s="270">
        <f>ROUND(BA67,0)</f>
        <v>94802</v>
      </c>
      <c r="K784" s="270">
        <f>ROUND(BA68,0)</f>
        <v>0</v>
      </c>
      <c r="L784" s="270">
        <f>ROUND(BA69,0)</f>
        <v>0</v>
      </c>
      <c r="M784" s="270">
        <f>ROUND(BA70,0)</f>
        <v>0</v>
      </c>
      <c r="N784" s="270"/>
      <c r="O784" s="270"/>
      <c r="P784" s="270">
        <f>IF(BA76&gt;0,ROUND(BA76,0),0)</f>
        <v>3718</v>
      </c>
      <c r="Q784" s="270">
        <f>IF(BA77&gt;0,ROUND(BA77,0),0)</f>
        <v>0</v>
      </c>
      <c r="R784" s="270">
        <f>IF(BA78&gt;0,ROUND(BA78,0),0)</f>
        <v>866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" customHeight="1">
      <c r="A785" s="207" t="str">
        <f>RIGHT($C$83,3)&amp;"*"&amp;RIGHT($C$82,4)&amp;"*"&amp;BB$55&amp;"*"&amp;"A"</f>
        <v>142*2018*8360*A</v>
      </c>
      <c r="B785" s="270"/>
      <c r="C785" s="272">
        <f>ROUND(BB60,2)</f>
        <v>0</v>
      </c>
      <c r="D785" s="270">
        <f>ROUND(BB61,0)</f>
        <v>172</v>
      </c>
      <c r="E785" s="270">
        <f>ROUND(BB62,0)</f>
        <v>13</v>
      </c>
      <c r="F785" s="270">
        <f>ROUND(BB63,0)</f>
        <v>0</v>
      </c>
      <c r="G785" s="270">
        <f>ROUND(BB64,0)</f>
        <v>1151</v>
      </c>
      <c r="H785" s="270">
        <f>ROUND(BB65,0)</f>
        <v>0</v>
      </c>
      <c r="I785" s="270">
        <f>ROUND(BB66,0)</f>
        <v>0</v>
      </c>
      <c r="J785" s="270">
        <f>ROUND(BB67,0)</f>
        <v>29170</v>
      </c>
      <c r="K785" s="270">
        <f>ROUND(BB68,0)</f>
        <v>11288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1144</v>
      </c>
      <c r="Q785" s="270">
        <f>IF(BB77&gt;0,ROUND(BB77,0),0)</f>
        <v>0</v>
      </c>
      <c r="R785" s="270">
        <f>IF(BB78&gt;0,ROUND(BB78,0),0)</f>
        <v>267</v>
      </c>
      <c r="S785" s="270">
        <f>IF(BB79&gt;0,ROUND(BB79,0),0)</f>
        <v>17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" customHeight="1">
      <c r="A786" s="207" t="str">
        <f>RIGHT($C$83,3)&amp;"*"&amp;RIGHT($C$82,4)&amp;"*"&amp;BC$55&amp;"*"&amp;"A"</f>
        <v>142*2018*8370*A</v>
      </c>
      <c r="B786" s="270"/>
      <c r="C786" s="272">
        <f>ROUND(BC60,2)</f>
        <v>18.739999999999998</v>
      </c>
      <c r="D786" s="270">
        <f>ROUND(BC61,0)</f>
        <v>739927</v>
      </c>
      <c r="E786" s="270">
        <f>ROUND(BC62,0)</f>
        <v>301644</v>
      </c>
      <c r="F786" s="270">
        <f>ROUND(BC63,0)</f>
        <v>0</v>
      </c>
      <c r="G786" s="270">
        <f>ROUND(BC64,0)</f>
        <v>18300</v>
      </c>
      <c r="H786" s="270">
        <f>ROUND(BC65,0)</f>
        <v>3059</v>
      </c>
      <c r="I786" s="270">
        <f>ROUND(BC66,0)</f>
        <v>318661</v>
      </c>
      <c r="J786" s="270">
        <f>ROUND(BC67,0)</f>
        <v>2349</v>
      </c>
      <c r="K786" s="270">
        <f>ROUND(BC68,0)</f>
        <v>1277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" customHeight="1">
      <c r="A787" s="207" t="str">
        <f>RIGHT($C$83,3)&amp;"*"&amp;RIGHT($C$82,4)&amp;"*"&amp;BD$55&amp;"*"&amp;"A"</f>
        <v>142*2018*8420*A</v>
      </c>
      <c r="B787" s="270"/>
      <c r="C787" s="272">
        <f>ROUND(BD60,2)</f>
        <v>0</v>
      </c>
      <c r="D787" s="270">
        <f>ROUND(BD61,0)</f>
        <v>0</v>
      </c>
      <c r="E787" s="270">
        <f>ROUND(BD62,0)</f>
        <v>0</v>
      </c>
      <c r="F787" s="270">
        <f>ROUND(BD63,0)</f>
        <v>0</v>
      </c>
      <c r="G787" s="270">
        <f>ROUND(BD64,0)</f>
        <v>0</v>
      </c>
      <c r="H787" s="270">
        <f>ROUND(BD65,0)</f>
        <v>0</v>
      </c>
      <c r="I787" s="270">
        <f>ROUND(BD66,0)</f>
        <v>0</v>
      </c>
      <c r="J787" s="270">
        <f>ROUND(BD67,0)</f>
        <v>1341558</v>
      </c>
      <c r="K787" s="270">
        <f>ROUND(BD68,0)</f>
        <v>0</v>
      </c>
      <c r="L787" s="270">
        <f>ROUND(BD69,0)</f>
        <v>0</v>
      </c>
      <c r="M787" s="270">
        <f>ROUND(BD70,0)</f>
        <v>0</v>
      </c>
      <c r="N787" s="270"/>
      <c r="O787" s="270"/>
      <c r="P787" s="270">
        <f>IF(BD76&gt;0,ROUND(BD76,0),0)</f>
        <v>52614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" customHeight="1">
      <c r="A788" s="207" t="str">
        <f>RIGHT($C$83,3)&amp;"*"&amp;RIGHT($C$82,4)&amp;"*"&amp;BE$55&amp;"*"&amp;"A"</f>
        <v>142*2018*8430*A</v>
      </c>
      <c r="B788" s="270">
        <f>ROUND(BE59,0)</f>
        <v>660133</v>
      </c>
      <c r="C788" s="272">
        <f>ROUND(BE60,2)</f>
        <v>21.08</v>
      </c>
      <c r="D788" s="270">
        <f>ROUND(BE61,0)</f>
        <v>1536075</v>
      </c>
      <c r="E788" s="270">
        <f>ROUND(BE62,0)</f>
        <v>434230</v>
      </c>
      <c r="F788" s="270">
        <f>ROUND(BE63,0)</f>
        <v>0</v>
      </c>
      <c r="G788" s="270">
        <f>ROUND(BE64,0)</f>
        <v>138142</v>
      </c>
      <c r="H788" s="270">
        <f>ROUND(BE65,0)</f>
        <v>2680041</v>
      </c>
      <c r="I788" s="270">
        <f>ROUND(BE66,0)</f>
        <v>10726840</v>
      </c>
      <c r="J788" s="270">
        <f>ROUND(BE67,0)</f>
        <v>2956393</v>
      </c>
      <c r="K788" s="270">
        <f>ROUND(BE68,0)</f>
        <v>683375</v>
      </c>
      <c r="L788" s="270">
        <f>ROUND(BE69,0)</f>
        <v>162591</v>
      </c>
      <c r="M788" s="270">
        <f>ROUND(BE70,0)</f>
        <v>9</v>
      </c>
      <c r="N788" s="270"/>
      <c r="O788" s="270"/>
      <c r="P788" s="270">
        <f>IF(BE76&gt;0,ROUND(BE76,0),0)</f>
        <v>92151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" customHeight="1">
      <c r="A789" s="207" t="str">
        <f>RIGHT($C$83,3)&amp;"*"&amp;RIGHT($C$82,4)&amp;"*"&amp;BF$55&amp;"*"&amp;"A"</f>
        <v>142*2018*8460*A</v>
      </c>
      <c r="B789" s="270"/>
      <c r="C789" s="272">
        <f>ROUND(BF60,2)</f>
        <v>70.69</v>
      </c>
      <c r="D789" s="270">
        <f>ROUND(BF61,0)</f>
        <v>2952808</v>
      </c>
      <c r="E789" s="270">
        <f>ROUND(BF62,0)</f>
        <v>1152554</v>
      </c>
      <c r="F789" s="270">
        <f>ROUND(BF63,0)</f>
        <v>0</v>
      </c>
      <c r="G789" s="270">
        <f>ROUND(BF64,0)</f>
        <v>177946</v>
      </c>
      <c r="H789" s="270">
        <f>ROUND(BF65,0)</f>
        <v>134746</v>
      </c>
      <c r="I789" s="270">
        <f>ROUND(BF66,0)</f>
        <v>639020</v>
      </c>
      <c r="J789" s="270">
        <f>ROUND(BF67,0)</f>
        <v>280196</v>
      </c>
      <c r="K789" s="270">
        <f>ROUND(BF68,0)</f>
        <v>6483</v>
      </c>
      <c r="L789" s="270">
        <f>ROUND(BF69,0)</f>
        <v>9185</v>
      </c>
      <c r="M789" s="270">
        <f>ROUND(BF70,0)</f>
        <v>0</v>
      </c>
      <c r="N789" s="270"/>
      <c r="O789" s="270"/>
      <c r="P789" s="270">
        <f>IF(BF76&gt;0,ROUND(BF76,0),0)</f>
        <v>10852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" customHeight="1">
      <c r="A790" s="207" t="str">
        <f>RIGHT($C$83,3)&amp;"*"&amp;RIGHT($C$82,4)&amp;"*"&amp;BG$55&amp;"*"&amp;"A"</f>
        <v>142*2018*8470*A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0</v>
      </c>
      <c r="H790" s="270">
        <f>ROUND(BG65,0)</f>
        <v>288312</v>
      </c>
      <c r="I790" s="270">
        <f>ROUND(BG66,0)</f>
        <v>71691</v>
      </c>
      <c r="J790" s="270">
        <f>ROUND(BG67,0)</f>
        <v>146088</v>
      </c>
      <c r="K790" s="270">
        <f>ROUND(BG68,0)</f>
        <v>1815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" customHeight="1">
      <c r="A791" s="207" t="str">
        <f>RIGHT($C$83,3)&amp;"*"&amp;RIGHT($C$82,4)&amp;"*"&amp;BH$55&amp;"*"&amp;"A"</f>
        <v>142*2018*8480*A</v>
      </c>
      <c r="B791" s="270"/>
      <c r="C791" s="272">
        <f>ROUND(BH60,2)</f>
        <v>0</v>
      </c>
      <c r="D791" s="270">
        <f>ROUND(BH61,0)</f>
        <v>0</v>
      </c>
      <c r="E791" s="270">
        <f>ROUND(BH62,0)</f>
        <v>0</v>
      </c>
      <c r="F791" s="270">
        <f>ROUND(BH63,0)</f>
        <v>0</v>
      </c>
      <c r="G791" s="270">
        <f>ROUND(BH64,0)</f>
        <v>0</v>
      </c>
      <c r="H791" s="270">
        <f>ROUND(BH65,0)</f>
        <v>0</v>
      </c>
      <c r="I791" s="270">
        <f>ROUND(BH66,0)</f>
        <v>485816</v>
      </c>
      <c r="J791" s="270">
        <f>ROUND(BH67,0)</f>
        <v>0</v>
      </c>
      <c r="K791" s="270">
        <f>ROUND(BH68,0)</f>
        <v>0</v>
      </c>
      <c r="L791" s="270">
        <f>ROUND(BH69,0)</f>
        <v>0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0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" customHeight="1">
      <c r="A792" s="207" t="str">
        <f>RIGHT($C$83,3)&amp;"*"&amp;RIGHT($C$82,4)&amp;"*"&amp;BI$55&amp;"*"&amp;"A"</f>
        <v>142*2018*8490*A</v>
      </c>
      <c r="B792" s="270"/>
      <c r="C792" s="272">
        <f>ROUND(BI60,2)</f>
        <v>0.57999999999999996</v>
      </c>
      <c r="D792" s="270">
        <f>ROUND(BI61,0)</f>
        <v>0</v>
      </c>
      <c r="E792" s="270">
        <f>ROUND(BI62,0)</f>
        <v>0</v>
      </c>
      <c r="F792" s="270">
        <f>ROUND(BI63,0)</f>
        <v>0</v>
      </c>
      <c r="G792" s="270">
        <f>ROUND(BI64,0)</f>
        <v>0</v>
      </c>
      <c r="H792" s="270">
        <f>ROUND(BI65,0)</f>
        <v>0</v>
      </c>
      <c r="I792" s="270">
        <f>ROUND(BI66,0)</f>
        <v>0</v>
      </c>
      <c r="J792" s="270">
        <f>ROUND(BI67,0)</f>
        <v>0</v>
      </c>
      <c r="K792" s="270">
        <f>ROUND(BI68,0)</f>
        <v>0</v>
      </c>
      <c r="L792" s="270">
        <f>ROUND(BI69,0)</f>
        <v>0</v>
      </c>
      <c r="M792" s="270">
        <f>ROUND(BI70,0)</f>
        <v>0</v>
      </c>
      <c r="N792" s="270"/>
      <c r="O792" s="270"/>
      <c r="P792" s="270">
        <f>IF(BI76&gt;0,ROUND(BI76,0),0)</f>
        <v>0</v>
      </c>
      <c r="Q792" s="270">
        <f>IF(BI77&gt;0,ROUND(BI77,0),0)</f>
        <v>0</v>
      </c>
      <c r="R792" s="270">
        <f>IF(BI78&gt;0,ROUND(BI78,0),0)</f>
        <v>0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" customHeight="1">
      <c r="A793" s="207" t="str">
        <f>RIGHT($C$83,3)&amp;"*"&amp;RIGHT($C$82,4)&amp;"*"&amp;BJ$55&amp;"*"&amp;"A"</f>
        <v>142*2018*8510*A</v>
      </c>
      <c r="B793" s="270"/>
      <c r="C793" s="272">
        <f>ROUND(BJ60,2)</f>
        <v>0</v>
      </c>
      <c r="D793" s="270">
        <f>ROUND(BJ61,0)</f>
        <v>0</v>
      </c>
      <c r="E793" s="270">
        <f>ROUND(BJ62,0)</f>
        <v>0</v>
      </c>
      <c r="F793" s="270">
        <f>ROUND(BJ63,0)</f>
        <v>0</v>
      </c>
      <c r="G793" s="270">
        <f>ROUND(BJ64,0)</f>
        <v>0</v>
      </c>
      <c r="H793" s="270">
        <f>ROUND(BJ65,0)</f>
        <v>0</v>
      </c>
      <c r="I793" s="270">
        <f>ROUND(BJ66,0)</f>
        <v>1257081</v>
      </c>
      <c r="J793" s="270">
        <f>ROUND(BJ67,0)</f>
        <v>0</v>
      </c>
      <c r="K793" s="270">
        <f>ROUND(BJ68,0)</f>
        <v>0</v>
      </c>
      <c r="L793" s="270">
        <f>ROUND(BJ69,0)</f>
        <v>0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" customHeight="1">
      <c r="A794" s="207" t="str">
        <f>RIGHT($C$83,3)&amp;"*"&amp;RIGHT($C$82,4)&amp;"*"&amp;BK$55&amp;"*"&amp;"A"</f>
        <v>142*2018*8530*A</v>
      </c>
      <c r="B794" s="270"/>
      <c r="C794" s="272">
        <f>ROUND(BK60,2)</f>
        <v>1</v>
      </c>
      <c r="D794" s="270">
        <f>ROUND(BK61,0)</f>
        <v>0</v>
      </c>
      <c r="E794" s="270">
        <f>ROUND(BK62,0)</f>
        <v>0</v>
      </c>
      <c r="F794" s="270">
        <f>ROUND(BK63,0)</f>
        <v>0</v>
      </c>
      <c r="G794" s="270">
        <f>ROUND(BK64,0)</f>
        <v>1629</v>
      </c>
      <c r="H794" s="270">
        <f>ROUND(BK65,0)</f>
        <v>0</v>
      </c>
      <c r="I794" s="270">
        <f>ROUND(BK66,0)</f>
        <v>7562452</v>
      </c>
      <c r="J794" s="270">
        <f>ROUND(BK67,0)</f>
        <v>8345</v>
      </c>
      <c r="K794" s="270">
        <f>ROUND(BK68,0)</f>
        <v>30003</v>
      </c>
      <c r="L794" s="270">
        <f>ROUND(BK69,0)</f>
        <v>0</v>
      </c>
      <c r="M794" s="270">
        <f>ROUND(BK70,0)</f>
        <v>0</v>
      </c>
      <c r="N794" s="270"/>
      <c r="O794" s="270"/>
      <c r="P794" s="270">
        <f>IF(BK76&gt;0,ROUND(BK76,0),0)</f>
        <v>0</v>
      </c>
      <c r="Q794" s="270">
        <f>IF(BK77&gt;0,ROUND(BK77,0),0)</f>
        <v>0</v>
      </c>
      <c r="R794" s="270">
        <f>IF(BK78&gt;0,ROUND(BK78,0),0)</f>
        <v>0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" customHeight="1">
      <c r="A795" s="207" t="str">
        <f>RIGHT($C$83,3)&amp;"*"&amp;RIGHT($C$82,4)&amp;"*"&amp;BL$55&amp;"*"&amp;"A"</f>
        <v>142*2018*8560*A</v>
      </c>
      <c r="B795" s="270"/>
      <c r="C795" s="272">
        <f>ROUND(BL60,2)</f>
        <v>0</v>
      </c>
      <c r="D795" s="270">
        <f>ROUND(BL61,0)</f>
        <v>0</v>
      </c>
      <c r="E795" s="270">
        <f>ROUND(BL62,0)</f>
        <v>0</v>
      </c>
      <c r="F795" s="270">
        <f>ROUND(BL63,0)</f>
        <v>0</v>
      </c>
      <c r="G795" s="270">
        <f>ROUND(BL64,0)</f>
        <v>17475</v>
      </c>
      <c r="H795" s="270">
        <f>ROUND(BL65,0)</f>
        <v>0</v>
      </c>
      <c r="I795" s="270">
        <f>ROUND(BL66,0)</f>
        <v>2802027</v>
      </c>
      <c r="J795" s="270">
        <f>ROUND(BL67,0)</f>
        <v>0</v>
      </c>
      <c r="K795" s="270">
        <f>ROUND(BL68,0)</f>
        <v>9555</v>
      </c>
      <c r="L795" s="270">
        <f>ROUND(BL69,0)</f>
        <v>4837</v>
      </c>
      <c r="M795" s="270">
        <f>ROUND(BL70,0)</f>
        <v>0</v>
      </c>
      <c r="N795" s="270"/>
      <c r="O795" s="270"/>
      <c r="P795" s="270">
        <f>IF(BL76&gt;0,ROUND(BL76,0),0)</f>
        <v>0</v>
      </c>
      <c r="Q795" s="270">
        <f>IF(BL77&gt;0,ROUND(BL77,0),0)</f>
        <v>0</v>
      </c>
      <c r="R795" s="270">
        <f>IF(BL78&gt;0,ROUND(BL78,0),0)</f>
        <v>0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" customHeight="1">
      <c r="A796" s="207" t="str">
        <f>RIGHT($C$83,3)&amp;"*"&amp;RIGHT($C$82,4)&amp;"*"&amp;BM$55&amp;"*"&amp;"A"</f>
        <v>142*2018*8590*A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" customHeight="1">
      <c r="A797" s="207" t="str">
        <f>RIGHT($C$83,3)&amp;"*"&amp;RIGHT($C$82,4)&amp;"*"&amp;BN$55&amp;"*"&amp;"A"</f>
        <v>142*2018*8610*A</v>
      </c>
      <c r="B797" s="270"/>
      <c r="C797" s="272">
        <f>ROUND(BN60,2)</f>
        <v>34.729999999999997</v>
      </c>
      <c r="D797" s="270">
        <f>ROUND(BN61,0)</f>
        <v>4245163</v>
      </c>
      <c r="E797" s="270">
        <f>ROUND(BN62,0)</f>
        <v>823535</v>
      </c>
      <c r="F797" s="270">
        <f>ROUND(BN63,0)</f>
        <v>155</v>
      </c>
      <c r="G797" s="270">
        <f>ROUND(BN64,0)</f>
        <v>478820</v>
      </c>
      <c r="H797" s="270">
        <f>ROUND(BN65,0)</f>
        <v>31471</v>
      </c>
      <c r="I797" s="270">
        <f>ROUND(BN66,0)</f>
        <v>8783324</v>
      </c>
      <c r="J797" s="270">
        <f>ROUND(BN67,0)</f>
        <v>97868</v>
      </c>
      <c r="K797" s="270">
        <f>ROUND(BN68,0)</f>
        <v>557907</v>
      </c>
      <c r="L797" s="270">
        <f>ROUND(BN69,0)</f>
        <v>546686</v>
      </c>
      <c r="M797" s="270">
        <f>ROUND(BN70,0)</f>
        <v>1419940</v>
      </c>
      <c r="N797" s="270"/>
      <c r="O797" s="270"/>
      <c r="P797" s="270">
        <f>IF(BN76&gt;0,ROUND(BN76,0),0)</f>
        <v>0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" customHeight="1">
      <c r="A798" s="207" t="str">
        <f>RIGHT($C$83,3)&amp;"*"&amp;RIGHT($C$82,4)&amp;"*"&amp;BO$55&amp;"*"&amp;"A"</f>
        <v>142*2018*8620*A</v>
      </c>
      <c r="B798" s="270"/>
      <c r="C798" s="272">
        <f>ROUND(BO60,2)</f>
        <v>0</v>
      </c>
      <c r="D798" s="270">
        <f>ROUND(BO61,0)</f>
        <v>0</v>
      </c>
      <c r="E798" s="270">
        <f>ROUND(BO62,0)</f>
        <v>0</v>
      </c>
      <c r="F798" s="270">
        <f>ROUND(BO63,0)</f>
        <v>0</v>
      </c>
      <c r="G798" s="270">
        <f>ROUND(BO64,0)</f>
        <v>0</v>
      </c>
      <c r="H798" s="270">
        <f>ROUND(BO65,0)</f>
        <v>0</v>
      </c>
      <c r="I798" s="270">
        <f>ROUND(BO66,0)</f>
        <v>692287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" customHeight="1">
      <c r="A799" s="207" t="str">
        <f>RIGHT($C$83,3)&amp;"*"&amp;RIGHT($C$82,4)&amp;"*"&amp;BP$55&amp;"*"&amp;"A"</f>
        <v>142*2018*8630*A</v>
      </c>
      <c r="B799" s="270"/>
      <c r="C799" s="272">
        <f>ROUND(BP60,2)</f>
        <v>0</v>
      </c>
      <c r="D799" s="270">
        <f>ROUND(BP61,0)</f>
        <v>0</v>
      </c>
      <c r="E799" s="270">
        <f>ROUND(BP62,0)</f>
        <v>0</v>
      </c>
      <c r="F799" s="270">
        <f>ROUND(BP63,0)</f>
        <v>0</v>
      </c>
      <c r="G799" s="270">
        <f>ROUND(BP64,0)</f>
        <v>0</v>
      </c>
      <c r="H799" s="270">
        <f>ROUND(BP65,0)</f>
        <v>0</v>
      </c>
      <c r="I799" s="270">
        <f>ROUND(BP66,0)</f>
        <v>907530</v>
      </c>
      <c r="J799" s="270">
        <f>ROUND(BP67,0)</f>
        <v>0</v>
      </c>
      <c r="K799" s="270">
        <f>ROUND(BP68,0)</f>
        <v>0</v>
      </c>
      <c r="L799" s="270">
        <f>ROUND(BP69,0)</f>
        <v>0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" customHeight="1">
      <c r="A800" s="207" t="str">
        <f>RIGHT($C$83,3)&amp;"*"&amp;RIGHT($C$82,4)&amp;"*"&amp;BQ$55&amp;"*"&amp;"A"</f>
        <v>142*2018*8640*A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" customHeight="1">
      <c r="A801" s="207" t="str">
        <f>RIGHT($C$83,3)&amp;"*"&amp;RIGHT($C$82,4)&amp;"*"&amp;BR$55&amp;"*"&amp;"A"</f>
        <v>142*2018*8650*A</v>
      </c>
      <c r="B801" s="270"/>
      <c r="C801" s="272">
        <f>ROUND(BR60,2)</f>
        <v>0</v>
      </c>
      <c r="D801" s="270">
        <f>ROUND(BR61,0)</f>
        <v>-218</v>
      </c>
      <c r="E801" s="270">
        <f>ROUND(BR62,0)</f>
        <v>857</v>
      </c>
      <c r="F801" s="270">
        <f>ROUND(BR63,0)</f>
        <v>0</v>
      </c>
      <c r="G801" s="270">
        <f>ROUND(BR64,0)</f>
        <v>30286</v>
      </c>
      <c r="H801" s="270">
        <f>ROUND(BR65,0)</f>
        <v>0</v>
      </c>
      <c r="I801" s="270">
        <f>ROUND(BR66,0)</f>
        <v>2727702</v>
      </c>
      <c r="J801" s="270">
        <f>ROUND(BR67,0)</f>
        <v>111073</v>
      </c>
      <c r="K801" s="270">
        <f>ROUND(BR68,0)</f>
        <v>11242</v>
      </c>
      <c r="L801" s="270">
        <f>ROUND(BR69,0)</f>
        <v>-69037</v>
      </c>
      <c r="M801" s="270">
        <f>ROUND(BR70,0)</f>
        <v>0</v>
      </c>
      <c r="N801" s="270"/>
      <c r="O801" s="270"/>
      <c r="P801" s="270">
        <f>IF(BR76&gt;0,ROUND(BR76,0),0)</f>
        <v>3982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" customHeight="1">
      <c r="A802" s="207" t="str">
        <f>RIGHT($C$83,3)&amp;"*"&amp;RIGHT($C$82,4)&amp;"*"&amp;BS$55&amp;"*"&amp;"A"</f>
        <v>142*2018*8660*A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34</v>
      </c>
      <c r="J802" s="270">
        <f>ROUND(BS67,0)</f>
        <v>108393</v>
      </c>
      <c r="K802" s="270">
        <f>ROUND(BS68,0)</f>
        <v>0</v>
      </c>
      <c r="L802" s="270">
        <f>ROUND(BS69,0)</f>
        <v>0</v>
      </c>
      <c r="M802" s="270">
        <f>ROUND(BS70,0)</f>
        <v>0</v>
      </c>
      <c r="N802" s="270"/>
      <c r="O802" s="270"/>
      <c r="P802" s="270">
        <f>IF(BS76&gt;0,ROUND(BS76,0),0)</f>
        <v>4251</v>
      </c>
      <c r="Q802" s="270">
        <f>IF(BS77&gt;0,ROUND(BS77,0),0)</f>
        <v>0</v>
      </c>
      <c r="R802" s="270">
        <f>IF(BS78&gt;0,ROUND(BS78,0),0)</f>
        <v>991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" customHeight="1">
      <c r="A803" s="207" t="str">
        <f>RIGHT($C$83,3)&amp;"*"&amp;RIGHT($C$82,4)&amp;"*"&amp;BT$55&amp;"*"&amp;"A"</f>
        <v>142*2018*8670*A</v>
      </c>
      <c r="B803" s="270"/>
      <c r="C803" s="272">
        <f>ROUND(BT60,2)</f>
        <v>0</v>
      </c>
      <c r="D803" s="270">
        <f>ROUND(BT61,0)</f>
        <v>0</v>
      </c>
      <c r="E803" s="270">
        <f>ROUND(BT62,0)</f>
        <v>0</v>
      </c>
      <c r="F803" s="270">
        <f>ROUND(BT63,0)</f>
        <v>0</v>
      </c>
      <c r="G803" s="270">
        <f>ROUND(BT64,0)</f>
        <v>2</v>
      </c>
      <c r="H803" s="270">
        <f>ROUND(BT65,0)</f>
        <v>97</v>
      </c>
      <c r="I803" s="270">
        <f>ROUND(BT66,0)</f>
        <v>50390</v>
      </c>
      <c r="J803" s="270">
        <f>ROUND(BT67,0)</f>
        <v>0</v>
      </c>
      <c r="K803" s="270">
        <f>ROUND(BT68,0)</f>
        <v>0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" customHeight="1">
      <c r="A804" s="207" t="str">
        <f>RIGHT($C$83,3)&amp;"*"&amp;RIGHT($C$82,4)&amp;"*"&amp;BU$55&amp;"*"&amp;"A"</f>
        <v>142*2018*8680*A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81325</v>
      </c>
      <c r="J804" s="270">
        <f>ROUND(BU67,0)</f>
        <v>68539</v>
      </c>
      <c r="K804" s="270">
        <f>ROUND(BU68,0)</f>
        <v>-45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2688</v>
      </c>
      <c r="Q804" s="270">
        <f>IF(BU77&gt;0,ROUND(BU77,0),0)</f>
        <v>0</v>
      </c>
      <c r="R804" s="270">
        <f>IF(BU78&gt;0,ROUND(BU78,0),0)</f>
        <v>626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" customHeight="1">
      <c r="A805" s="207" t="str">
        <f>RIGHT($C$83,3)&amp;"*"&amp;RIGHT($C$82,4)&amp;"*"&amp;BV$55&amp;"*"&amp;"A"</f>
        <v>142*2018*8690*A</v>
      </c>
      <c r="B805" s="270"/>
      <c r="C805" s="272">
        <f>ROUND(BV60,2)</f>
        <v>0</v>
      </c>
      <c r="D805" s="270">
        <f>ROUND(BV61,0)</f>
        <v>0</v>
      </c>
      <c r="E805" s="270">
        <f>ROUND(BV62,0)</f>
        <v>0</v>
      </c>
      <c r="F805" s="270">
        <f>ROUND(BV63,0)</f>
        <v>0</v>
      </c>
      <c r="G805" s="270">
        <f>ROUND(BV64,0)</f>
        <v>5016</v>
      </c>
      <c r="H805" s="270">
        <f>ROUND(BV65,0)</f>
        <v>0</v>
      </c>
      <c r="I805" s="270">
        <f>ROUND(BV66,0)</f>
        <v>3867478</v>
      </c>
      <c r="J805" s="270">
        <f>ROUND(BV67,0)</f>
        <v>204459</v>
      </c>
      <c r="K805" s="270">
        <f>ROUND(BV68,0)</f>
        <v>12186</v>
      </c>
      <c r="L805" s="270">
        <f>ROUND(BV69,0)</f>
        <v>0</v>
      </c>
      <c r="M805" s="270">
        <f>ROUND(BV70,0)</f>
        <v>9309</v>
      </c>
      <c r="N805" s="270"/>
      <c r="O805" s="270"/>
      <c r="P805" s="270">
        <f>IF(BV76&gt;0,ROUND(BV76,0),0)</f>
        <v>7535</v>
      </c>
      <c r="Q805" s="270">
        <f>IF(BV77&gt;0,ROUND(BV77,0),0)</f>
        <v>0</v>
      </c>
      <c r="R805" s="270">
        <f>IF(BV78&gt;0,ROUND(BV78,0),0)</f>
        <v>1756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" customHeight="1">
      <c r="A806" s="207" t="str">
        <f>RIGHT($C$83,3)&amp;"*"&amp;RIGHT($C$82,4)&amp;"*"&amp;BW$55&amp;"*"&amp;"A"</f>
        <v>142*2018*8700*A</v>
      </c>
      <c r="B806" s="270"/>
      <c r="C806" s="272">
        <f>ROUND(BW60,2)</f>
        <v>0</v>
      </c>
      <c r="D806" s="270">
        <f>ROUND(BW61,0)</f>
        <v>0</v>
      </c>
      <c r="E806" s="270">
        <f>ROUND(BW62,0)</f>
        <v>0</v>
      </c>
      <c r="F806" s="270">
        <f>ROUND(BW63,0)</f>
        <v>0</v>
      </c>
      <c r="G806" s="270">
        <f>ROUND(BW64,0)</f>
        <v>0</v>
      </c>
      <c r="H806" s="270">
        <f>ROUND(BW65,0)</f>
        <v>0</v>
      </c>
      <c r="I806" s="270">
        <f>ROUND(BW66,0)</f>
        <v>843809</v>
      </c>
      <c r="J806" s="270">
        <f>ROUND(BW67,0)</f>
        <v>79</v>
      </c>
      <c r="K806" s="270">
        <f>ROUND(BW68,0)</f>
        <v>0</v>
      </c>
      <c r="L806" s="270">
        <f>ROUND(BW69,0)</f>
        <v>0</v>
      </c>
      <c r="M806" s="270">
        <f>ROUND(BW70,0)</f>
        <v>0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" customHeight="1">
      <c r="A807" s="207" t="str">
        <f>RIGHT($C$83,3)&amp;"*"&amp;RIGHT($C$82,4)&amp;"*"&amp;BX$55&amp;"*"&amp;"A"</f>
        <v>142*2018*8710*A</v>
      </c>
      <c r="B807" s="270"/>
      <c r="C807" s="272">
        <f>ROUND(BX60,2)</f>
        <v>0.01</v>
      </c>
      <c r="D807" s="270">
        <f>ROUND(BX61,0)</f>
        <v>427</v>
      </c>
      <c r="E807" s="270">
        <f>ROUND(BX62,0)</f>
        <v>33</v>
      </c>
      <c r="F807" s="270">
        <f>ROUND(BX63,0)</f>
        <v>37755</v>
      </c>
      <c r="G807" s="270">
        <f>ROUND(BX64,0)</f>
        <v>0</v>
      </c>
      <c r="H807" s="270">
        <f>ROUND(BX65,0)</f>
        <v>0</v>
      </c>
      <c r="I807" s="270">
        <f>ROUND(BX66,0)</f>
        <v>3478245</v>
      </c>
      <c r="J807" s="270">
        <f>ROUND(BX67,0)</f>
        <v>0</v>
      </c>
      <c r="K807" s="270">
        <f>ROUND(BX68,0)</f>
        <v>1091</v>
      </c>
      <c r="L807" s="270">
        <f>ROUND(BX69,0)</f>
        <v>0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0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" customHeight="1">
      <c r="A808" s="207" t="str">
        <f>RIGHT($C$83,3)&amp;"*"&amp;RIGHT($C$82,4)&amp;"*"&amp;BY$55&amp;"*"&amp;"A"</f>
        <v>142*2018*8720*A</v>
      </c>
      <c r="B808" s="270"/>
      <c r="C808" s="272">
        <f>ROUND(BY60,2)</f>
        <v>30.27</v>
      </c>
      <c r="D808" s="270">
        <f>ROUND(BY61,0)</f>
        <v>2914094</v>
      </c>
      <c r="E808" s="270">
        <f>ROUND(BY62,0)</f>
        <v>686717</v>
      </c>
      <c r="F808" s="270">
        <f>ROUND(BY63,0)</f>
        <v>0</v>
      </c>
      <c r="G808" s="270">
        <f>ROUND(BY64,0)</f>
        <v>26281</v>
      </c>
      <c r="H808" s="270">
        <f>ROUND(BY65,0)</f>
        <v>1386</v>
      </c>
      <c r="I808" s="270">
        <f>ROUND(BY66,0)</f>
        <v>1294488</v>
      </c>
      <c r="J808" s="270">
        <f>ROUND(BY67,0)</f>
        <v>343399</v>
      </c>
      <c r="K808" s="270">
        <f>ROUND(BY68,0)</f>
        <v>36373</v>
      </c>
      <c r="L808" s="270">
        <f>ROUND(BY69,0)</f>
        <v>49537</v>
      </c>
      <c r="M808" s="270">
        <f>ROUND(BY70,0)</f>
        <v>5494</v>
      </c>
      <c r="N808" s="270"/>
      <c r="O808" s="270"/>
      <c r="P808" s="270">
        <f>IF(BY76&gt;0,ROUND(BY76,0),0)</f>
        <v>2637</v>
      </c>
      <c r="Q808" s="270">
        <f>IF(BY77&gt;0,ROUND(BY77,0),0)</f>
        <v>0</v>
      </c>
      <c r="R808" s="270">
        <f>IF(BY78&gt;0,ROUND(BY78,0),0)</f>
        <v>615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" customHeight="1">
      <c r="A809" s="207" t="str">
        <f>RIGHT($C$83,3)&amp;"*"&amp;RIGHT($C$82,4)&amp;"*"&amp;BZ$55&amp;"*"&amp;"A"</f>
        <v>142*2018*8730*A</v>
      </c>
      <c r="B809" s="270"/>
      <c r="C809" s="272">
        <f>ROUND(BZ60,2)</f>
        <v>0</v>
      </c>
      <c r="D809" s="270">
        <f>ROUND(BZ61,0)</f>
        <v>0</v>
      </c>
      <c r="E809" s="270">
        <f>ROUND(BZ62,0)</f>
        <v>0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0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" customHeight="1">
      <c r="A810" s="207" t="str">
        <f>RIGHT($C$83,3)&amp;"*"&amp;RIGHT($C$82,4)&amp;"*"&amp;CA$55&amp;"*"&amp;"A"</f>
        <v>142*2018*8740*A</v>
      </c>
      <c r="B810" s="270"/>
      <c r="C810" s="272">
        <f>ROUND(CA60,2)</f>
        <v>10.09</v>
      </c>
      <c r="D810" s="270">
        <f>ROUND(CA61,0)</f>
        <v>951524</v>
      </c>
      <c r="E810" s="270">
        <f>ROUND(CA62,0)</f>
        <v>226623</v>
      </c>
      <c r="F810" s="270">
        <f>ROUND(CA63,0)</f>
        <v>0</v>
      </c>
      <c r="G810" s="270">
        <f>ROUND(CA64,0)</f>
        <v>24859</v>
      </c>
      <c r="H810" s="270">
        <f>ROUND(CA65,0)</f>
        <v>0</v>
      </c>
      <c r="I810" s="270">
        <f>ROUND(CA66,0)</f>
        <v>1116973</v>
      </c>
      <c r="J810" s="270">
        <f>ROUND(CA67,0)</f>
        <v>50703</v>
      </c>
      <c r="K810" s="270">
        <f>ROUND(CA68,0)</f>
        <v>44187</v>
      </c>
      <c r="L810" s="270">
        <f>ROUND(CA69,0)</f>
        <v>16111</v>
      </c>
      <c r="M810" s="270">
        <f>ROUND(CA70,0)</f>
        <v>5387</v>
      </c>
      <c r="N810" s="270"/>
      <c r="O810" s="270"/>
      <c r="P810" s="270">
        <f>IF(CA76&gt;0,ROUND(CA76,0),0)</f>
        <v>1853</v>
      </c>
      <c r="Q810" s="270">
        <f>IF(CA77&gt;0,ROUND(CA77,0),0)</f>
        <v>0</v>
      </c>
      <c r="R810" s="270">
        <f>IF(CA78&gt;0,ROUND(CA78,0),0)</f>
        <v>432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" customHeight="1">
      <c r="A811" s="207" t="str">
        <f>RIGHT($C$83,3)&amp;"*"&amp;RIGHT($C$82,4)&amp;"*"&amp;CB$55&amp;"*"&amp;"A"</f>
        <v>142*2018*8770*A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100498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" customHeight="1">
      <c r="A812" s="207" t="str">
        <f>RIGHT($C$83,3)&amp;"*"&amp;RIGHT($C$82,4)&amp;"*"&amp;CC$55&amp;"*"&amp;"A"</f>
        <v>142*2018*8790*A</v>
      </c>
      <c r="B812" s="270"/>
      <c r="C812" s="272">
        <f>ROUND(CC60,2)</f>
        <v>0.01</v>
      </c>
      <c r="D812" s="270">
        <f>ROUND(CC61,0)</f>
        <v>879160</v>
      </c>
      <c r="E812" s="270">
        <f>ROUND(CC62,0)</f>
        <v>11903</v>
      </c>
      <c r="F812" s="270">
        <f>ROUND(CC63,0)</f>
        <v>0</v>
      </c>
      <c r="G812" s="270">
        <f>ROUND(CC64,0)</f>
        <v>-149302</v>
      </c>
      <c r="H812" s="270">
        <f>ROUND(CC65,0)</f>
        <v>13826</v>
      </c>
      <c r="I812" s="270">
        <f>ROUND(CC66,0)</f>
        <v>34739944</v>
      </c>
      <c r="J812" s="270">
        <f>ROUND(CC67,0)</f>
        <v>0</v>
      </c>
      <c r="K812" s="270">
        <f>ROUND(CC68,0)</f>
        <v>415417</v>
      </c>
      <c r="L812" s="270">
        <f>ROUND(CC69,0)</f>
        <v>31</v>
      </c>
      <c r="M812" s="270">
        <f>ROUND(CC70,0)</f>
        <v>0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" customHeight="1">
      <c r="A813" s="207" t="str">
        <f>RIGHT($C$83,3)&amp;"*"&amp;RIGHT($C$82,4)&amp;"*"&amp;"9000"&amp;"*"&amp;"A"</f>
        <v>142*2018*9000*A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16843624</v>
      </c>
      <c r="V813" s="271">
        <f>ROUND(CD70,0)</f>
        <v>6759093</v>
      </c>
      <c r="W813" s="270">
        <f>ROUND(CE72,0)</f>
        <v>0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" customHeight="1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" customHeight="1">
      <c r="B815" s="274" t="s">
        <v>1004</v>
      </c>
      <c r="C815" s="275">
        <f t="shared" ref="C815:K815" si="22">SUM(C734:C813)</f>
        <v>1542.73</v>
      </c>
      <c r="D815" s="271">
        <f t="shared" si="22"/>
        <v>129272469</v>
      </c>
      <c r="E815" s="271">
        <f t="shared" si="22"/>
        <v>31511250</v>
      </c>
      <c r="F815" s="271">
        <f t="shared" si="22"/>
        <v>16046861</v>
      </c>
      <c r="G815" s="271">
        <f t="shared" si="22"/>
        <v>92220849</v>
      </c>
      <c r="H815" s="271">
        <f t="shared" si="22"/>
        <v>3582555</v>
      </c>
      <c r="I815" s="271">
        <f t="shared" si="22"/>
        <v>104017920</v>
      </c>
      <c r="J815" s="271">
        <f t="shared" si="22"/>
        <v>26862842</v>
      </c>
      <c r="K815" s="271">
        <f t="shared" si="22"/>
        <v>5703779</v>
      </c>
      <c r="L815" s="271">
        <f>SUM(L734:L813)+SUM(U734:U813)</f>
        <v>18091164</v>
      </c>
      <c r="M815" s="271">
        <f>SUM(M734:M813)+SUM(V734:V813)</f>
        <v>11070294</v>
      </c>
      <c r="N815" s="271">
        <f t="shared" ref="N815:Y815" si="23">SUM(N734:N813)</f>
        <v>2118510698</v>
      </c>
      <c r="O815" s="271">
        <f t="shared" si="23"/>
        <v>939310708</v>
      </c>
      <c r="P815" s="271">
        <f t="shared" si="23"/>
        <v>660133</v>
      </c>
      <c r="Q815" s="271">
        <f t="shared" si="23"/>
        <v>224753</v>
      </c>
      <c r="R815" s="271">
        <f t="shared" si="23"/>
        <v>112182</v>
      </c>
      <c r="S815" s="271">
        <f t="shared" si="23"/>
        <v>1721323</v>
      </c>
      <c r="T815" s="275">
        <f t="shared" si="23"/>
        <v>484.71000000000004</v>
      </c>
      <c r="U815" s="271">
        <f t="shared" si="23"/>
        <v>16843624</v>
      </c>
      <c r="V815" s="271">
        <f t="shared" si="23"/>
        <v>6759093</v>
      </c>
      <c r="W815" s="271">
        <f t="shared" si="23"/>
        <v>0</v>
      </c>
      <c r="X815" s="271">
        <f t="shared" si="23"/>
        <v>0</v>
      </c>
      <c r="Y815" s="271">
        <f t="shared" si="23"/>
        <v>128601340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" customHeight="1">
      <c r="B816" s="271" t="s">
        <v>1005</v>
      </c>
      <c r="C816" s="275">
        <f>CE60</f>
        <v>1542.7233509615385</v>
      </c>
      <c r="D816" s="271">
        <f>CE61</f>
        <v>129272472.47999997</v>
      </c>
      <c r="E816" s="271">
        <f>CE62</f>
        <v>31511250</v>
      </c>
      <c r="F816" s="271">
        <f>CE63</f>
        <v>16046859.68</v>
      </c>
      <c r="G816" s="271">
        <f>CE64</f>
        <v>92220846.5</v>
      </c>
      <c r="H816" s="274">
        <f>CE65</f>
        <v>3582557.49</v>
      </c>
      <c r="I816" s="274">
        <f>CE66</f>
        <v>104017916.98789704</v>
      </c>
      <c r="J816" s="274">
        <f>CE67</f>
        <v>26862842</v>
      </c>
      <c r="K816" s="274">
        <f>CE68</f>
        <v>5703776.6399999997</v>
      </c>
      <c r="L816" s="274">
        <f>CE69</f>
        <v>18091164.52</v>
      </c>
      <c r="M816" s="274">
        <f>CE70</f>
        <v>11070294.450000001</v>
      </c>
      <c r="N816" s="271">
        <f>CE75</f>
        <v>2118510698.9199998</v>
      </c>
      <c r="O816" s="271">
        <f>CE73</f>
        <v>939310706.08999991</v>
      </c>
      <c r="P816" s="271">
        <f>CE76</f>
        <v>660133</v>
      </c>
      <c r="Q816" s="271">
        <f>CE77</f>
        <v>224753</v>
      </c>
      <c r="R816" s="271">
        <f>CE78</f>
        <v>112179.03999999998</v>
      </c>
      <c r="S816" s="271">
        <f>CE79</f>
        <v>1721323</v>
      </c>
      <c r="T816" s="275">
        <f>CE80</f>
        <v>484.70158173076919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128601340.60251279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" customHeight="1">
      <c r="B817" s="180" t="s">
        <v>471</v>
      </c>
      <c r="C817" s="197" t="s">
        <v>1007</v>
      </c>
      <c r="D817" s="180">
        <f>C378</f>
        <v>129272472.48</v>
      </c>
      <c r="E817" s="180">
        <f>C379</f>
        <v>31511248.800000001</v>
      </c>
      <c r="F817" s="180">
        <f>C380</f>
        <v>16046859.68</v>
      </c>
      <c r="G817" s="235">
        <f>C381</f>
        <v>92220846.5</v>
      </c>
      <c r="H817" s="235">
        <f>C382</f>
        <v>3582557.49</v>
      </c>
      <c r="I817" s="235">
        <f>C383</f>
        <v>104017917.02</v>
      </c>
      <c r="J817" s="235">
        <f>C384</f>
        <v>26862842.140000001</v>
      </c>
      <c r="K817" s="235">
        <f>C385</f>
        <v>5703776.6399999997</v>
      </c>
      <c r="L817" s="235">
        <f>C386+C387+C388+C389</f>
        <v>18091164.52</v>
      </c>
      <c r="M817" s="235">
        <f>C370</f>
        <v>11070294.449999999</v>
      </c>
      <c r="N817" s="180">
        <f>D361</f>
        <v>2118510698.9200001</v>
      </c>
      <c r="O817" s="180">
        <f>C359</f>
        <v>939310706.09000003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data</vt:lpstr>
      <vt:lpstr>HR DATA</vt:lpstr>
      <vt:lpstr>Sheet1</vt:lpstr>
      <vt:lpstr>orig data 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Harrison Medical Center Year End Report</dc:title>
  <dc:subject>2019 Harrison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2019-10-25T19:01:19Z</cp:lastPrinted>
  <dcterms:created xsi:type="dcterms:W3CDTF">1999-06-02T22:01:56Z</dcterms:created>
  <dcterms:modified xsi:type="dcterms:W3CDTF">2019-10-31T18:33:06Z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