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data!$DR$822:$DR$867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E69" i="1" l="1"/>
  <c r="E66" i="1"/>
  <c r="E68" i="1"/>
  <c r="E64" i="1"/>
  <c r="E63" i="1"/>
  <c r="E51" i="1"/>
  <c r="E61" i="1"/>
  <c r="E47" i="1"/>
  <c r="D142" i="1"/>
  <c r="C394" i="1" l="1"/>
  <c r="C392" i="1"/>
  <c r="CD69" i="1"/>
  <c r="BE66" i="1"/>
  <c r="BE65" i="1"/>
  <c r="BE64" i="1"/>
  <c r="U74" i="1"/>
  <c r="U73" i="1"/>
  <c r="U69" i="1"/>
  <c r="U64" i="1"/>
  <c r="U61" i="1"/>
  <c r="U47" i="1"/>
  <c r="E74" i="1"/>
  <c r="E73" i="1"/>
  <c r="C389" i="1"/>
  <c r="D140" i="1"/>
  <c r="C140" i="1"/>
  <c r="B140" i="1"/>
  <c r="C324" i="1"/>
  <c r="C323" i="1"/>
  <c r="C306" i="1"/>
  <c r="C313" i="1"/>
  <c r="BE51" i="1"/>
  <c r="D213" i="1"/>
  <c r="C203" i="1"/>
  <c r="C279" i="1"/>
  <c r="C262" i="1"/>
  <c r="C255" i="1"/>
  <c r="C252" i="1"/>
  <c r="E78" i="1"/>
  <c r="AG78" i="1"/>
  <c r="CA76" i="1"/>
  <c r="BN76" i="1"/>
  <c r="BK76" i="1"/>
  <c r="BJ76" i="1"/>
  <c r="BH76" i="1"/>
  <c r="AY76" i="1"/>
  <c r="BF76" i="1"/>
  <c r="BE76" i="1"/>
  <c r="E76" i="1"/>
  <c r="O817" i="10" l="1"/>
  <c r="M817" i="10"/>
  <c r="K817" i="10"/>
  <c r="J817" i="10"/>
  <c r="I817" i="10"/>
  <c r="H817" i="10"/>
  <c r="G817" i="10"/>
  <c r="F817" i="10"/>
  <c r="E817" i="10"/>
  <c r="D817" i="10"/>
  <c r="X815" i="10"/>
  <c r="X813" i="10"/>
  <c r="W813" i="10"/>
  <c r="W815" i="10" s="1"/>
  <c r="A813" i="10"/>
  <c r="T812" i="10"/>
  <c r="S812" i="10"/>
  <c r="R812" i="10"/>
  <c r="Q812" i="10"/>
  <c r="P812" i="10"/>
  <c r="M812" i="10"/>
  <c r="L812" i="10"/>
  <c r="K812" i="10"/>
  <c r="I812" i="10"/>
  <c r="H812" i="10"/>
  <c r="G812" i="10"/>
  <c r="F812" i="10"/>
  <c r="D812" i="10"/>
  <c r="C812" i="10"/>
  <c r="A812" i="10"/>
  <c r="T811" i="10"/>
  <c r="S811" i="10"/>
  <c r="R811" i="10"/>
  <c r="Q811" i="10"/>
  <c r="P811" i="10"/>
  <c r="M811" i="10"/>
  <c r="L811" i="10"/>
  <c r="K811" i="10"/>
  <c r="I811" i="10"/>
  <c r="H811" i="10"/>
  <c r="G811" i="10"/>
  <c r="F811" i="10"/>
  <c r="D811" i="10"/>
  <c r="C811" i="10"/>
  <c r="A811" i="10"/>
  <c r="T810" i="10"/>
  <c r="S810" i="10"/>
  <c r="R810" i="10"/>
  <c r="Q810" i="10"/>
  <c r="M810" i="10"/>
  <c r="L810" i="10"/>
  <c r="K810" i="10"/>
  <c r="I810" i="10"/>
  <c r="H810" i="10"/>
  <c r="G810" i="10"/>
  <c r="F810" i="10"/>
  <c r="D810" i="10"/>
  <c r="A810" i="10"/>
  <c r="T809" i="10"/>
  <c r="S809" i="10"/>
  <c r="R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R808" i="10"/>
  <c r="Q808" i="10"/>
  <c r="P808" i="10"/>
  <c r="M808" i="10"/>
  <c r="L808" i="10"/>
  <c r="K808" i="10"/>
  <c r="I808" i="10"/>
  <c r="H808" i="10"/>
  <c r="G808" i="10"/>
  <c r="F808" i="10"/>
  <c r="D808" i="10"/>
  <c r="C808" i="10"/>
  <c r="A808" i="10"/>
  <c r="T807" i="10"/>
  <c r="S807" i="10"/>
  <c r="R807" i="10"/>
  <c r="Q807" i="10"/>
  <c r="P807" i="10"/>
  <c r="M807" i="10"/>
  <c r="L807" i="10"/>
  <c r="K807" i="10"/>
  <c r="I807" i="10"/>
  <c r="H807" i="10"/>
  <c r="G807" i="10"/>
  <c r="F807" i="10"/>
  <c r="D807" i="10"/>
  <c r="C807" i="10"/>
  <c r="A807" i="10"/>
  <c r="T806" i="10"/>
  <c r="S806" i="10"/>
  <c r="R806" i="10"/>
  <c r="Q806" i="10"/>
  <c r="P806" i="10"/>
  <c r="M806" i="10"/>
  <c r="L806" i="10"/>
  <c r="K806" i="10"/>
  <c r="I806" i="10"/>
  <c r="H806" i="10"/>
  <c r="G806" i="10"/>
  <c r="F806" i="10"/>
  <c r="D806" i="10"/>
  <c r="C806" i="10"/>
  <c r="A806" i="10"/>
  <c r="T805" i="10"/>
  <c r="S805" i="10"/>
  <c r="R805" i="10"/>
  <c r="Q805" i="10"/>
  <c r="P805" i="10"/>
  <c r="M805" i="10"/>
  <c r="L805" i="10"/>
  <c r="K805" i="10"/>
  <c r="I805" i="10"/>
  <c r="H805" i="10"/>
  <c r="G805" i="10"/>
  <c r="F805" i="10"/>
  <c r="C805" i="10"/>
  <c r="A805" i="10"/>
  <c r="T804" i="10"/>
  <c r="S804" i="10"/>
  <c r="R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R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R802" i="10"/>
  <c r="Q802" i="10"/>
  <c r="P802" i="10"/>
  <c r="M802" i="10"/>
  <c r="L802" i="10"/>
  <c r="K802" i="10"/>
  <c r="I802" i="10"/>
  <c r="H802" i="10"/>
  <c r="G802" i="10"/>
  <c r="F802" i="10"/>
  <c r="D802" i="10"/>
  <c r="C802" i="10"/>
  <c r="A802" i="10"/>
  <c r="T801" i="10"/>
  <c r="S801" i="10"/>
  <c r="R801" i="10"/>
  <c r="Q801" i="10"/>
  <c r="P801" i="10"/>
  <c r="M801" i="10"/>
  <c r="L801" i="10"/>
  <c r="K801" i="10"/>
  <c r="I801" i="10"/>
  <c r="H801" i="10"/>
  <c r="G801" i="10"/>
  <c r="F801" i="10"/>
  <c r="D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G797" i="10"/>
  <c r="F797" i="10"/>
  <c r="D797" i="10"/>
  <c r="C797" i="10"/>
  <c r="A797" i="10"/>
  <c r="T796" i="10"/>
  <c r="S796" i="10"/>
  <c r="R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R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R794" i="10"/>
  <c r="Q794" i="10"/>
  <c r="M794" i="10"/>
  <c r="K794" i="10"/>
  <c r="I794" i="10"/>
  <c r="H794" i="10"/>
  <c r="G794" i="10"/>
  <c r="F794" i="10"/>
  <c r="D794" i="10"/>
  <c r="C794" i="10"/>
  <c r="A794" i="10"/>
  <c r="T793" i="10"/>
  <c r="S793" i="10"/>
  <c r="R793" i="10"/>
  <c r="Q793" i="10"/>
  <c r="M793" i="10"/>
  <c r="L793" i="10"/>
  <c r="K793" i="10"/>
  <c r="I793" i="10"/>
  <c r="H793" i="10"/>
  <c r="G793" i="10"/>
  <c r="F793" i="10"/>
  <c r="D793" i="10"/>
  <c r="C793" i="10"/>
  <c r="A793" i="10"/>
  <c r="T792" i="10"/>
  <c r="S792" i="10"/>
  <c r="R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R791" i="10"/>
  <c r="Q791" i="10"/>
  <c r="M791" i="10"/>
  <c r="L791" i="10"/>
  <c r="K791" i="10"/>
  <c r="I791" i="10"/>
  <c r="H791" i="10"/>
  <c r="G791" i="10"/>
  <c r="F791" i="10"/>
  <c r="D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D790" i="10"/>
  <c r="C790" i="10"/>
  <c r="A790" i="10"/>
  <c r="T789" i="10"/>
  <c r="S789" i="10"/>
  <c r="R789" i="10"/>
  <c r="Q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M788" i="10"/>
  <c r="L788" i="10"/>
  <c r="K788" i="10"/>
  <c r="F788" i="10"/>
  <c r="D788" i="10"/>
  <c r="C788" i="10"/>
  <c r="B788" i="10"/>
  <c r="A788" i="10"/>
  <c r="T787" i="10"/>
  <c r="S787" i="10"/>
  <c r="R787" i="10"/>
  <c r="Q787" i="10"/>
  <c r="P787" i="10"/>
  <c r="M787" i="10"/>
  <c r="L787" i="10"/>
  <c r="K787" i="10"/>
  <c r="I787" i="10"/>
  <c r="H787" i="10"/>
  <c r="G787" i="10"/>
  <c r="F787" i="10"/>
  <c r="D787" i="10"/>
  <c r="C787" i="10"/>
  <c r="A787" i="10"/>
  <c r="T786" i="10"/>
  <c r="S786" i="10"/>
  <c r="R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R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R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Q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R780" i="10"/>
  <c r="Q780" i="10"/>
  <c r="P780" i="10"/>
  <c r="M780" i="10"/>
  <c r="L780" i="10"/>
  <c r="K780" i="10"/>
  <c r="I780" i="10"/>
  <c r="H780" i="10"/>
  <c r="G780" i="10"/>
  <c r="F780" i="10"/>
  <c r="D780" i="10"/>
  <c r="C780" i="10"/>
  <c r="A780" i="10"/>
  <c r="T779" i="10"/>
  <c r="S779" i="10"/>
  <c r="R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R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R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R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R775" i="10"/>
  <c r="Q775" i="10"/>
  <c r="P775" i="10"/>
  <c r="O775" i="10"/>
  <c r="M775" i="10"/>
  <c r="L775" i="10"/>
  <c r="K775" i="10"/>
  <c r="I775" i="10"/>
  <c r="H775" i="10"/>
  <c r="G775" i="10"/>
  <c r="F775" i="10"/>
  <c r="D775" i="10"/>
  <c r="C775" i="10"/>
  <c r="B775" i="10"/>
  <c r="A775" i="10"/>
  <c r="T774" i="10"/>
  <c r="S774" i="10"/>
  <c r="R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T773" i="10"/>
  <c r="S773" i="10"/>
  <c r="R773" i="10"/>
  <c r="Q773" i="10"/>
  <c r="P773" i="10"/>
  <c r="O773" i="10"/>
  <c r="M773" i="10"/>
  <c r="K773" i="10"/>
  <c r="I773" i="10"/>
  <c r="H773" i="10"/>
  <c r="G773" i="10"/>
  <c r="F773" i="10"/>
  <c r="D773" i="10"/>
  <c r="C773" i="10"/>
  <c r="B773" i="10"/>
  <c r="A773" i="10"/>
  <c r="T772" i="10"/>
  <c r="S772" i="10"/>
  <c r="R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R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R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R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R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T767" i="10"/>
  <c r="S767" i="10"/>
  <c r="R767" i="10"/>
  <c r="Q767" i="10"/>
  <c r="P767" i="10"/>
  <c r="O767" i="10"/>
  <c r="M767" i="10"/>
  <c r="L767" i="10"/>
  <c r="K767" i="10"/>
  <c r="I767" i="10"/>
  <c r="H767" i="10"/>
  <c r="G767" i="10"/>
  <c r="F767" i="10"/>
  <c r="D767" i="10"/>
  <c r="C767" i="10"/>
  <c r="B767" i="10"/>
  <c r="A767" i="10"/>
  <c r="T766" i="10"/>
  <c r="S766" i="10"/>
  <c r="R766" i="10"/>
  <c r="Q766" i="10"/>
  <c r="P766" i="10"/>
  <c r="O766" i="10"/>
  <c r="M766" i="10"/>
  <c r="L766" i="10"/>
  <c r="K766" i="10"/>
  <c r="I766" i="10"/>
  <c r="H766" i="10"/>
  <c r="G766" i="10"/>
  <c r="F766" i="10"/>
  <c r="D766" i="10"/>
  <c r="C766" i="10"/>
  <c r="B766" i="10"/>
  <c r="A766" i="10"/>
  <c r="T765" i="10"/>
  <c r="S765" i="10"/>
  <c r="R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R764" i="10"/>
  <c r="Q764" i="10"/>
  <c r="P764" i="10"/>
  <c r="O764" i="10"/>
  <c r="M764" i="10"/>
  <c r="K764" i="10"/>
  <c r="I764" i="10"/>
  <c r="H764" i="10"/>
  <c r="G764" i="10"/>
  <c r="F764" i="10"/>
  <c r="D764" i="10"/>
  <c r="C764" i="10"/>
  <c r="B764" i="10"/>
  <c r="A764" i="10"/>
  <c r="T763" i="10"/>
  <c r="S763" i="10"/>
  <c r="R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R762" i="10"/>
  <c r="Q762" i="10"/>
  <c r="P762" i="10"/>
  <c r="O762" i="10"/>
  <c r="M762" i="10"/>
  <c r="K762" i="10"/>
  <c r="I762" i="10"/>
  <c r="H762" i="10"/>
  <c r="G762" i="10"/>
  <c r="F762" i="10"/>
  <c r="D762" i="10"/>
  <c r="C762" i="10"/>
  <c r="B762" i="10"/>
  <c r="A762" i="10"/>
  <c r="T761" i="10"/>
  <c r="S761" i="10"/>
  <c r="R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R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R759" i="10"/>
  <c r="Q759" i="10"/>
  <c r="P759" i="10"/>
  <c r="O759" i="10"/>
  <c r="M759" i="10"/>
  <c r="L759" i="10"/>
  <c r="K759" i="10"/>
  <c r="I759" i="10"/>
  <c r="H759" i="10"/>
  <c r="G759" i="10"/>
  <c r="F759" i="10"/>
  <c r="D759" i="10"/>
  <c r="C759" i="10"/>
  <c r="A759" i="10"/>
  <c r="T758" i="10"/>
  <c r="S758" i="10"/>
  <c r="R758" i="10"/>
  <c r="Q758" i="10"/>
  <c r="P758" i="10"/>
  <c r="O758" i="10"/>
  <c r="M758" i="10"/>
  <c r="L758" i="10"/>
  <c r="K758" i="10"/>
  <c r="I758" i="10"/>
  <c r="H758" i="10"/>
  <c r="G758" i="10"/>
  <c r="F758" i="10"/>
  <c r="D758" i="10"/>
  <c r="C758" i="10"/>
  <c r="B758" i="10"/>
  <c r="A758" i="10"/>
  <c r="T757" i="10"/>
  <c r="S757" i="10"/>
  <c r="R757" i="10"/>
  <c r="Q757" i="10"/>
  <c r="P757" i="10"/>
  <c r="O757" i="10"/>
  <c r="M757" i="10"/>
  <c r="L757" i="10"/>
  <c r="K757" i="10"/>
  <c r="I757" i="10"/>
  <c r="H757" i="10"/>
  <c r="G757" i="10"/>
  <c r="F757" i="10"/>
  <c r="D757" i="10"/>
  <c r="C757" i="10"/>
  <c r="B757" i="10"/>
  <c r="A757" i="10"/>
  <c r="T756" i="10"/>
  <c r="S756" i="10"/>
  <c r="R756" i="10"/>
  <c r="Q756" i="10"/>
  <c r="P756" i="10"/>
  <c r="O756" i="10"/>
  <c r="M756" i="10"/>
  <c r="K756" i="10"/>
  <c r="I756" i="10"/>
  <c r="H756" i="10"/>
  <c r="G756" i="10"/>
  <c r="F756" i="10"/>
  <c r="D756" i="10"/>
  <c r="C756" i="10"/>
  <c r="B756" i="10"/>
  <c r="A756" i="10"/>
  <c r="T755" i="10"/>
  <c r="S755" i="10"/>
  <c r="R755" i="10"/>
  <c r="Q755" i="10"/>
  <c r="P755" i="10"/>
  <c r="O755" i="10"/>
  <c r="M755" i="10"/>
  <c r="L755" i="10"/>
  <c r="K755" i="10"/>
  <c r="I755" i="10"/>
  <c r="H755" i="10"/>
  <c r="G755" i="10"/>
  <c r="F755" i="10"/>
  <c r="D755" i="10"/>
  <c r="C755" i="10"/>
  <c r="B755" i="10"/>
  <c r="A755" i="10"/>
  <c r="T754" i="10"/>
  <c r="S754" i="10"/>
  <c r="R754" i="10"/>
  <c r="Q754" i="10"/>
  <c r="P754" i="10"/>
  <c r="O754" i="10"/>
  <c r="M754" i="10"/>
  <c r="L754" i="10"/>
  <c r="K754" i="10"/>
  <c r="I754" i="10"/>
  <c r="H754" i="10"/>
  <c r="G754" i="10"/>
  <c r="F754" i="10"/>
  <c r="D754" i="10"/>
  <c r="C754" i="10"/>
  <c r="B754" i="10"/>
  <c r="A754" i="10"/>
  <c r="T753" i="10"/>
  <c r="S753" i="10"/>
  <c r="R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R752" i="10"/>
  <c r="Q752" i="10"/>
  <c r="P752" i="10"/>
  <c r="M752" i="10"/>
  <c r="L752" i="10"/>
  <c r="K752" i="10"/>
  <c r="I752" i="10"/>
  <c r="H752" i="10"/>
  <c r="F752" i="10"/>
  <c r="D752" i="10"/>
  <c r="C752" i="10"/>
  <c r="B752" i="10"/>
  <c r="A752" i="10"/>
  <c r="T751" i="10"/>
  <c r="S751" i="10"/>
  <c r="R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R750" i="10"/>
  <c r="Q750" i="10"/>
  <c r="P750" i="10"/>
  <c r="O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R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R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S747" i="10"/>
  <c r="R747" i="10"/>
  <c r="Q747" i="10"/>
  <c r="P747" i="10"/>
  <c r="O747" i="10"/>
  <c r="M747" i="10"/>
  <c r="L747" i="10"/>
  <c r="K747" i="10"/>
  <c r="I747" i="10"/>
  <c r="H747" i="10"/>
  <c r="G747" i="10"/>
  <c r="F747" i="10"/>
  <c r="D747" i="10"/>
  <c r="C747" i="10"/>
  <c r="B747" i="10"/>
  <c r="A747" i="10"/>
  <c r="T746" i="10"/>
  <c r="S746" i="10"/>
  <c r="R746" i="10"/>
  <c r="Q746" i="10"/>
  <c r="P746" i="10"/>
  <c r="O746" i="10"/>
  <c r="M746" i="10"/>
  <c r="K746" i="10"/>
  <c r="I746" i="10"/>
  <c r="H746" i="10"/>
  <c r="G746" i="10"/>
  <c r="F746" i="10"/>
  <c r="D746" i="10"/>
  <c r="C746" i="10"/>
  <c r="B746" i="10"/>
  <c r="A746" i="10"/>
  <c r="T745" i="10"/>
  <c r="S745" i="10"/>
  <c r="R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R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R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R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R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R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R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R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R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T736" i="10"/>
  <c r="S736" i="10"/>
  <c r="R736" i="10"/>
  <c r="Q736" i="10"/>
  <c r="M736" i="10"/>
  <c r="H736" i="10"/>
  <c r="C736" i="10"/>
  <c r="B736" i="10"/>
  <c r="A736" i="10"/>
  <c r="T735" i="10"/>
  <c r="S735" i="10"/>
  <c r="R735" i="10"/>
  <c r="Q735" i="10"/>
  <c r="P735" i="10"/>
  <c r="O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R734" i="10"/>
  <c r="Q734" i="10"/>
  <c r="P734" i="10"/>
  <c r="O734" i="10"/>
  <c r="M734" i="10"/>
  <c r="L734" i="10"/>
  <c r="K734" i="10"/>
  <c r="I734" i="10"/>
  <c r="H734" i="10"/>
  <c r="G734" i="10"/>
  <c r="F734" i="10"/>
  <c r="D734" i="10"/>
  <c r="C734" i="10"/>
  <c r="B734" i="10"/>
  <c r="A734" i="10"/>
  <c r="CF730" i="10"/>
  <c r="CE730" i="10"/>
  <c r="CB730" i="10"/>
  <c r="CA730" i="10"/>
  <c r="BZ730" i="10"/>
  <c r="BY730" i="10"/>
  <c r="BX730" i="10"/>
  <c r="BW730" i="10"/>
  <c r="BV730" i="10"/>
  <c r="BU730" i="10"/>
  <c r="BT730" i="10"/>
  <c r="BS730" i="10"/>
  <c r="BR730" i="10"/>
  <c r="BQ730" i="10"/>
  <c r="BP730" i="10"/>
  <c r="BO730" i="10"/>
  <c r="BN730" i="10"/>
  <c r="BM730" i="10"/>
  <c r="BL730" i="10"/>
  <c r="BK730" i="10"/>
  <c r="BJ730" i="10"/>
  <c r="BF730" i="10"/>
  <c r="BE730" i="10"/>
  <c r="BA730" i="10"/>
  <c r="AZ730" i="10"/>
  <c r="AY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V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E730" i="10"/>
  <c r="D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I726" i="10"/>
  <c r="AH726" i="10"/>
  <c r="AG726" i="10"/>
  <c r="AF726" i="10"/>
  <c r="AD726" i="10"/>
  <c r="AC726" i="10"/>
  <c r="AB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Z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Q722" i="10"/>
  <c r="AP722" i="10"/>
  <c r="AO722" i="10"/>
  <c r="AN722" i="10"/>
  <c r="AM722" i="10"/>
  <c r="AL722" i="10"/>
  <c r="AK722" i="10"/>
  <c r="AJ722" i="10"/>
  <c r="AI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Q722" i="10"/>
  <c r="P722" i="10"/>
  <c r="O722" i="10"/>
  <c r="N722" i="10"/>
  <c r="M722" i="10"/>
  <c r="L722" i="10"/>
  <c r="K722" i="10"/>
  <c r="J722" i="10"/>
  <c r="I722" i="10"/>
  <c r="H722" i="10"/>
  <c r="G722" i="10"/>
  <c r="F722" i="10"/>
  <c r="E722" i="10"/>
  <c r="D722" i="10"/>
  <c r="C722" i="10"/>
  <c r="B722" i="10"/>
  <c r="A722" i="10"/>
  <c r="I612" i="10"/>
  <c r="F550" i="10"/>
  <c r="E550" i="10"/>
  <c r="F546" i="10"/>
  <c r="E546" i="10"/>
  <c r="E545" i="10"/>
  <c r="E544" i="10"/>
  <c r="F540" i="10"/>
  <c r="E540" i="10"/>
  <c r="H540" i="10"/>
  <c r="E539" i="10"/>
  <c r="E538" i="10"/>
  <c r="E537" i="10"/>
  <c r="H536" i="10"/>
  <c r="E536" i="10"/>
  <c r="F536" i="10"/>
  <c r="F535" i="10"/>
  <c r="E535" i="10"/>
  <c r="H534" i="10"/>
  <c r="F534" i="10"/>
  <c r="E534" i="10"/>
  <c r="H533" i="10"/>
  <c r="F533" i="10"/>
  <c r="E533" i="10"/>
  <c r="F532" i="10"/>
  <c r="E532" i="10"/>
  <c r="H532" i="10"/>
  <c r="F531" i="10"/>
  <c r="E531" i="10"/>
  <c r="H531" i="10"/>
  <c r="E530" i="10"/>
  <c r="H529" i="10"/>
  <c r="E529" i="10"/>
  <c r="F529" i="10"/>
  <c r="E528" i="10"/>
  <c r="F528" i="10"/>
  <c r="F527" i="10"/>
  <c r="E527" i="10"/>
  <c r="H527" i="10"/>
  <c r="F526" i="10"/>
  <c r="E526" i="10"/>
  <c r="H525" i="10"/>
  <c r="F525" i="10"/>
  <c r="E525" i="10"/>
  <c r="E524" i="10"/>
  <c r="F524" i="10"/>
  <c r="E523" i="10"/>
  <c r="E522" i="10"/>
  <c r="H520" i="10"/>
  <c r="F520" i="10"/>
  <c r="E520" i="10"/>
  <c r="H519" i="10"/>
  <c r="F519" i="10"/>
  <c r="E519" i="10"/>
  <c r="E518" i="10"/>
  <c r="F518" i="10"/>
  <c r="F517" i="10"/>
  <c r="E517" i="10"/>
  <c r="H517" i="10"/>
  <c r="E516" i="10"/>
  <c r="E515" i="10"/>
  <c r="F515" i="10"/>
  <c r="E514" i="10"/>
  <c r="F514" i="10"/>
  <c r="H513" i="10"/>
  <c r="F513" i="10"/>
  <c r="F512" i="10"/>
  <c r="E511" i="10"/>
  <c r="E510" i="10"/>
  <c r="F510" i="10"/>
  <c r="F509" i="10"/>
  <c r="E509" i="10"/>
  <c r="F508" i="10"/>
  <c r="E508" i="10"/>
  <c r="H507" i="10"/>
  <c r="F507" i="10"/>
  <c r="E507" i="10"/>
  <c r="F506" i="10"/>
  <c r="E506" i="10"/>
  <c r="H506" i="10"/>
  <c r="F505" i="10"/>
  <c r="E505" i="10"/>
  <c r="E504" i="10"/>
  <c r="E503" i="10"/>
  <c r="E502" i="10"/>
  <c r="F502" i="10"/>
  <c r="E501" i="10"/>
  <c r="H501" i="10"/>
  <c r="H500" i="10"/>
  <c r="F500" i="10"/>
  <c r="E500" i="10"/>
  <c r="H499" i="10"/>
  <c r="F499" i="10"/>
  <c r="E499" i="10"/>
  <c r="E498" i="10"/>
  <c r="F498" i="10"/>
  <c r="E497" i="10"/>
  <c r="E496" i="10"/>
  <c r="G493" i="10"/>
  <c r="E493" i="10"/>
  <c r="C493" i="10"/>
  <c r="A493" i="10"/>
  <c r="B478" i="10"/>
  <c r="B475" i="10"/>
  <c r="C474" i="10"/>
  <c r="B474" i="10"/>
  <c r="B473" i="10"/>
  <c r="B472" i="10"/>
  <c r="B471" i="10"/>
  <c r="B470" i="10"/>
  <c r="B469" i="10"/>
  <c r="B468" i="10"/>
  <c r="B464" i="10"/>
  <c r="C463" i="10"/>
  <c r="B463" i="10"/>
  <c r="C459" i="10"/>
  <c r="B459" i="10"/>
  <c r="B458" i="10"/>
  <c r="B455" i="10"/>
  <c r="B454" i="10"/>
  <c r="B453" i="10"/>
  <c r="C448" i="10"/>
  <c r="B448" i="10"/>
  <c r="C447" i="10"/>
  <c r="B447" i="10"/>
  <c r="C446" i="10"/>
  <c r="C445" i="10"/>
  <c r="B445" i="10"/>
  <c r="C444" i="10"/>
  <c r="B444" i="10"/>
  <c r="B439" i="10"/>
  <c r="B438" i="10"/>
  <c r="B440" i="10" s="1"/>
  <c r="D437" i="10"/>
  <c r="B437" i="10"/>
  <c r="B436" i="10"/>
  <c r="B435" i="10"/>
  <c r="D434" i="10"/>
  <c r="B434" i="10"/>
  <c r="B433" i="10"/>
  <c r="B432" i="10"/>
  <c r="B431" i="10"/>
  <c r="B430" i="10"/>
  <c r="B429" i="10"/>
  <c r="B428" i="10"/>
  <c r="B427" i="10"/>
  <c r="D424" i="10"/>
  <c r="B424" i="10"/>
  <c r="B423" i="10"/>
  <c r="D421" i="10"/>
  <c r="C421" i="10"/>
  <c r="B421" i="10"/>
  <c r="C420" i="10"/>
  <c r="B420" i="10"/>
  <c r="D418" i="10"/>
  <c r="B418" i="10"/>
  <c r="C417" i="10"/>
  <c r="B417" i="10"/>
  <c r="D415" i="10"/>
  <c r="C415" i="10"/>
  <c r="B415" i="10"/>
  <c r="B414" i="10"/>
  <c r="A412" i="10"/>
  <c r="C392" i="10"/>
  <c r="CD730" i="10" s="1"/>
  <c r="D390" i="10"/>
  <c r="B441" i="10" s="1"/>
  <c r="C389" i="10"/>
  <c r="CC730" i="10" s="1"/>
  <c r="D372" i="10"/>
  <c r="D368" i="10"/>
  <c r="D373" i="10" s="1"/>
  <c r="D391" i="10" s="1"/>
  <c r="D393" i="10" s="1"/>
  <c r="D396" i="10" s="1"/>
  <c r="D367" i="10"/>
  <c r="D361" i="10"/>
  <c r="N817" i="10" s="1"/>
  <c r="C332" i="10"/>
  <c r="BB730" i="10" s="1"/>
  <c r="D329" i="10"/>
  <c r="C325" i="10"/>
  <c r="D319" i="10"/>
  <c r="D314" i="10"/>
  <c r="D292" i="10"/>
  <c r="D341" i="10" s="1"/>
  <c r="C481" i="10" s="1"/>
  <c r="D290" i="10"/>
  <c r="D283" i="10"/>
  <c r="D275" i="10"/>
  <c r="D277" i="10" s="1"/>
  <c r="D265" i="10"/>
  <c r="D260" i="10"/>
  <c r="C250" i="10"/>
  <c r="B730" i="10" s="1"/>
  <c r="D242" i="10"/>
  <c r="D240" i="10"/>
  <c r="D236" i="10"/>
  <c r="B446" i="10" s="1"/>
  <c r="D229" i="10"/>
  <c r="D221" i="10"/>
  <c r="CD722" i="10" s="1"/>
  <c r="D217" i="10"/>
  <c r="C217" i="10"/>
  <c r="D433" i="10" s="1"/>
  <c r="B217" i="10"/>
  <c r="E216" i="10"/>
  <c r="E215" i="10"/>
  <c r="E214" i="10"/>
  <c r="E213" i="10"/>
  <c r="E212" i="10"/>
  <c r="E211" i="10"/>
  <c r="E210" i="10"/>
  <c r="E209" i="10"/>
  <c r="E217" i="10" s="1"/>
  <c r="C478" i="10" s="1"/>
  <c r="C204" i="10"/>
  <c r="B204" i="10"/>
  <c r="E203" i="10"/>
  <c r="C475" i="10" s="1"/>
  <c r="D203" i="10"/>
  <c r="E202" i="10"/>
  <c r="E201" i="10"/>
  <c r="E200" i="10"/>
  <c r="C200" i="10"/>
  <c r="AH722" i="10" s="1"/>
  <c r="E199" i="10"/>
  <c r="C472" i="10" s="1"/>
  <c r="E198" i="10"/>
  <c r="C471" i="10" s="1"/>
  <c r="E197" i="10"/>
  <c r="C470" i="10" s="1"/>
  <c r="E196" i="10"/>
  <c r="C469" i="10" s="1"/>
  <c r="B195" i="10"/>
  <c r="D190" i="10"/>
  <c r="D186" i="10"/>
  <c r="D436" i="10" s="1"/>
  <c r="D181" i="10"/>
  <c r="D435" i="10" s="1"/>
  <c r="D177" i="10"/>
  <c r="D173" i="10"/>
  <c r="D428" i="10" s="1"/>
  <c r="E154" i="10"/>
  <c r="E153" i="10"/>
  <c r="E152" i="10"/>
  <c r="E151" i="10"/>
  <c r="E150" i="10"/>
  <c r="E148" i="10"/>
  <c r="E147" i="10"/>
  <c r="E146" i="10"/>
  <c r="E145" i="10"/>
  <c r="C418" i="10" s="1"/>
  <c r="E144" i="10"/>
  <c r="E142" i="10"/>
  <c r="D142" i="10"/>
  <c r="AL726" i="10" s="1"/>
  <c r="D141" i="10"/>
  <c r="AK726" i="10" s="1"/>
  <c r="B141" i="10"/>
  <c r="D140" i="10"/>
  <c r="AJ726" i="10" s="1"/>
  <c r="C140" i="10"/>
  <c r="AE726" i="10" s="1"/>
  <c r="B140" i="10"/>
  <c r="Z726" i="10" s="1"/>
  <c r="E139" i="10"/>
  <c r="E138" i="10"/>
  <c r="C414" i="10" s="1"/>
  <c r="E127" i="10"/>
  <c r="CE80" i="10"/>
  <c r="CF79" i="10"/>
  <c r="CE79" i="10"/>
  <c r="CE78" i="10"/>
  <c r="R816" i="10" s="1"/>
  <c r="CF77" i="10"/>
  <c r="CE77" i="10"/>
  <c r="Q816" i="10" s="1"/>
  <c r="CA76" i="10"/>
  <c r="P810" i="10" s="1"/>
  <c r="BK76" i="10"/>
  <c r="P794" i="10" s="1"/>
  <c r="BJ76" i="10"/>
  <c r="P793" i="10" s="1"/>
  <c r="BH76" i="10"/>
  <c r="P791" i="10" s="1"/>
  <c r="BF76" i="10"/>
  <c r="P789" i="10" s="1"/>
  <c r="BE76" i="10"/>
  <c r="P788" i="10" s="1"/>
  <c r="AY76" i="10"/>
  <c r="P782" i="10" s="1"/>
  <c r="E76" i="10"/>
  <c r="P736" i="10" s="1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J75" i="10"/>
  <c r="N767" i="10" s="1"/>
  <c r="AI75" i="10"/>
  <c r="N766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AB75" i="10"/>
  <c r="N759" i="10" s="1"/>
  <c r="AA75" i="10"/>
  <c r="N758" i="10" s="1"/>
  <c r="Z75" i="10"/>
  <c r="N757" i="10" s="1"/>
  <c r="Y75" i="10"/>
  <c r="N756" i="10" s="1"/>
  <c r="X75" i="10"/>
  <c r="N755" i="10" s="1"/>
  <c r="W75" i="10"/>
  <c r="N754" i="10" s="1"/>
  <c r="V75" i="10"/>
  <c r="N753" i="10" s="1"/>
  <c r="T75" i="10"/>
  <c r="N751" i="10" s="1"/>
  <c r="S75" i="10"/>
  <c r="N750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D75" i="10"/>
  <c r="N735" i="10" s="1"/>
  <c r="C75" i="10"/>
  <c r="N734" i="10" s="1"/>
  <c r="U74" i="10"/>
  <c r="E74" i="10"/>
  <c r="CE74" i="10" s="1"/>
  <c r="C464" i="10" s="1"/>
  <c r="CE73" i="10"/>
  <c r="O816" i="10" s="1"/>
  <c r="U73" i="10"/>
  <c r="E73" i="10"/>
  <c r="O736" i="10" s="1"/>
  <c r="CD70" i="10"/>
  <c r="V813" i="10" s="1"/>
  <c r="V815" i="10" s="1"/>
  <c r="CD69" i="10"/>
  <c r="BN69" i="10"/>
  <c r="L797" i="10" s="1"/>
  <c r="BK69" i="10"/>
  <c r="L794" i="10" s="1"/>
  <c r="AP69" i="10"/>
  <c r="L773" i="10" s="1"/>
  <c r="AG69" i="10"/>
  <c r="L764" i="10" s="1"/>
  <c r="AE69" i="10"/>
  <c r="L762" i="10" s="1"/>
  <c r="Y69" i="10"/>
  <c r="L756" i="10" s="1"/>
  <c r="O69" i="10"/>
  <c r="L746" i="10" s="1"/>
  <c r="E69" i="10"/>
  <c r="CE68" i="10"/>
  <c r="E68" i="10"/>
  <c r="K736" i="10" s="1"/>
  <c r="CE66" i="10"/>
  <c r="I816" i="10" s="1"/>
  <c r="BE66" i="10"/>
  <c r="I788" i="10" s="1"/>
  <c r="E66" i="10"/>
  <c r="I736" i="10" s="1"/>
  <c r="BE65" i="10"/>
  <c r="H788" i="10" s="1"/>
  <c r="BE64" i="10"/>
  <c r="G788" i="10" s="1"/>
  <c r="U64" i="10"/>
  <c r="G752" i="10" s="1"/>
  <c r="E64" i="10"/>
  <c r="CE63" i="10"/>
  <c r="E63" i="10"/>
  <c r="F736" i="10" s="1"/>
  <c r="CA62" i="10"/>
  <c r="E810" i="10" s="1"/>
  <c r="BR62" i="10"/>
  <c r="E801" i="10" s="1"/>
  <c r="AU62" i="10"/>
  <c r="AL62" i="10"/>
  <c r="E769" i="10" s="1"/>
  <c r="Q62" i="10"/>
  <c r="O62" i="10"/>
  <c r="I62" i="10"/>
  <c r="G62" i="10"/>
  <c r="CE61" i="10"/>
  <c r="BZ48" i="10" s="1"/>
  <c r="BZ62" i="10" s="1"/>
  <c r="BV61" i="10"/>
  <c r="E61" i="10"/>
  <c r="D736" i="10" s="1"/>
  <c r="CA60" i="10"/>
  <c r="C810" i="10" s="1"/>
  <c r="B53" i="10"/>
  <c r="BE51" i="10"/>
  <c r="E51" i="10"/>
  <c r="CE51" i="10" s="1"/>
  <c r="B49" i="10"/>
  <c r="CC48" i="10"/>
  <c r="CC62" i="10" s="1"/>
  <c r="CB48" i="10"/>
  <c r="CB62" i="10" s="1"/>
  <c r="CA48" i="10"/>
  <c r="BX48" i="10"/>
  <c r="BX62" i="10" s="1"/>
  <c r="BW48" i="10"/>
  <c r="BW62" i="10" s="1"/>
  <c r="BU48" i="10"/>
  <c r="BU62" i="10" s="1"/>
  <c r="BT48" i="10"/>
  <c r="BT62" i="10" s="1"/>
  <c r="E803" i="10" s="1"/>
  <c r="BS48" i="10"/>
  <c r="BS62" i="10" s="1"/>
  <c r="BR48" i="10"/>
  <c r="BP48" i="10"/>
  <c r="BP62" i="10" s="1"/>
  <c r="BM48" i="10"/>
  <c r="BM62" i="10" s="1"/>
  <c r="BL48" i="10"/>
  <c r="BL62" i="10" s="1"/>
  <c r="E795" i="10" s="1"/>
  <c r="BK48" i="10"/>
  <c r="BK62" i="10" s="1"/>
  <c r="BJ48" i="10"/>
  <c r="BJ62" i="10" s="1"/>
  <c r="BH48" i="10"/>
  <c r="BH62" i="10" s="1"/>
  <c r="BG48" i="10"/>
  <c r="BG62" i="10" s="1"/>
  <c r="E790" i="10" s="1"/>
  <c r="BE48" i="10"/>
  <c r="BE62" i="10" s="1"/>
  <c r="BD48" i="10"/>
  <c r="BD62" i="10" s="1"/>
  <c r="E787" i="10" s="1"/>
  <c r="BC48" i="10"/>
  <c r="BC62" i="10" s="1"/>
  <c r="BB48" i="10"/>
  <c r="BB62" i="10" s="1"/>
  <c r="AZ48" i="10"/>
  <c r="AZ62" i="10" s="1"/>
  <c r="AY48" i="10"/>
  <c r="AY62" i="10" s="1"/>
  <c r="E782" i="10" s="1"/>
  <c r="AW48" i="10"/>
  <c r="AW62" i="10" s="1"/>
  <c r="AV48" i="10"/>
  <c r="AV62" i="10" s="1"/>
  <c r="E779" i="10" s="1"/>
  <c r="AU48" i="10"/>
  <c r="AT48" i="10"/>
  <c r="AT62" i="10" s="1"/>
  <c r="AR48" i="10"/>
  <c r="AR62" i="10" s="1"/>
  <c r="AQ48" i="10"/>
  <c r="AQ62" i="10" s="1"/>
  <c r="E774" i="10" s="1"/>
  <c r="AO48" i="10"/>
  <c r="AO62" i="10" s="1"/>
  <c r="AN48" i="10"/>
  <c r="AN62" i="10" s="1"/>
  <c r="E771" i="10" s="1"/>
  <c r="AM48" i="10"/>
  <c r="AM62" i="10" s="1"/>
  <c r="AL48" i="10"/>
  <c r="AJ48" i="10"/>
  <c r="AJ62" i="10" s="1"/>
  <c r="AI48" i="10"/>
  <c r="AI62" i="10" s="1"/>
  <c r="E766" i="10" s="1"/>
  <c r="AG48" i="10"/>
  <c r="AG62" i="10" s="1"/>
  <c r="AF48" i="10"/>
  <c r="AF62" i="10" s="1"/>
  <c r="E763" i="10" s="1"/>
  <c r="AE48" i="10"/>
  <c r="AE62" i="10" s="1"/>
  <c r="AD48" i="10"/>
  <c r="AD62" i="10" s="1"/>
  <c r="AB48" i="10"/>
  <c r="AB62" i="10" s="1"/>
  <c r="AA48" i="10"/>
  <c r="AA62" i="10" s="1"/>
  <c r="E758" i="10" s="1"/>
  <c r="Y48" i="10"/>
  <c r="Y62" i="10" s="1"/>
  <c r="X48" i="10"/>
  <c r="X62" i="10" s="1"/>
  <c r="E755" i="10" s="1"/>
  <c r="W48" i="10"/>
  <c r="W62" i="10" s="1"/>
  <c r="V48" i="10"/>
  <c r="V62" i="10" s="1"/>
  <c r="T48" i="10"/>
  <c r="T62" i="10" s="1"/>
  <c r="S48" i="10"/>
  <c r="S62" i="10" s="1"/>
  <c r="E750" i="10" s="1"/>
  <c r="R48" i="10"/>
  <c r="R62" i="10" s="1"/>
  <c r="Q48" i="10"/>
  <c r="P48" i="10"/>
  <c r="P62" i="10" s="1"/>
  <c r="E747" i="10" s="1"/>
  <c r="O48" i="10"/>
  <c r="N48" i="10"/>
  <c r="N62" i="10" s="1"/>
  <c r="M48" i="10"/>
  <c r="M62" i="10" s="1"/>
  <c r="L48" i="10"/>
  <c r="L62" i="10" s="1"/>
  <c r="K48" i="10"/>
  <c r="K62" i="10" s="1"/>
  <c r="E742" i="10" s="1"/>
  <c r="J48" i="10"/>
  <c r="J62" i="10" s="1"/>
  <c r="I48" i="10"/>
  <c r="H48" i="10"/>
  <c r="H62" i="10" s="1"/>
  <c r="E739" i="10" s="1"/>
  <c r="G48" i="10"/>
  <c r="F48" i="10"/>
  <c r="F62" i="10" s="1"/>
  <c r="E48" i="10"/>
  <c r="E62" i="10" s="1"/>
  <c r="D48" i="10"/>
  <c r="D62" i="10" s="1"/>
  <c r="C48" i="10"/>
  <c r="CE47" i="10"/>
  <c r="BY47" i="10"/>
  <c r="BV47" i="10"/>
  <c r="E47" i="10"/>
  <c r="E809" i="10" l="1"/>
  <c r="E741" i="10"/>
  <c r="E749" i="10"/>
  <c r="E759" i="10"/>
  <c r="E770" i="10"/>
  <c r="E780" i="10"/>
  <c r="E791" i="10"/>
  <c r="E761" i="10"/>
  <c r="E793" i="10"/>
  <c r="E804" i="10"/>
  <c r="E767" i="10"/>
  <c r="E794" i="10"/>
  <c r="E762" i="10"/>
  <c r="E744" i="10"/>
  <c r="E785" i="10"/>
  <c r="E745" i="10"/>
  <c r="E754" i="10"/>
  <c r="E775" i="10"/>
  <c r="E796" i="10"/>
  <c r="E812" i="10"/>
  <c r="E735" i="10"/>
  <c r="E743" i="10"/>
  <c r="E751" i="10"/>
  <c r="E772" i="10"/>
  <c r="E783" i="10"/>
  <c r="E736" i="10"/>
  <c r="E753" i="10"/>
  <c r="E807" i="10"/>
  <c r="E737" i="10"/>
  <c r="E764" i="10"/>
  <c r="E786" i="10"/>
  <c r="E777" i="10"/>
  <c r="E799" i="10"/>
  <c r="E788" i="10"/>
  <c r="E756" i="10"/>
  <c r="E802" i="10"/>
  <c r="T816" i="10"/>
  <c r="L612" i="10"/>
  <c r="H530" i="10"/>
  <c r="F530" i="10"/>
  <c r="BO48" i="10"/>
  <c r="BO62" i="10" s="1"/>
  <c r="D805" i="10"/>
  <c r="G736" i="10"/>
  <c r="CE64" i="10"/>
  <c r="AX730" i="10"/>
  <c r="D328" i="10"/>
  <c r="D330" i="10" s="1"/>
  <c r="D339" i="10" s="1"/>
  <c r="C482" i="10" s="1"/>
  <c r="C432" i="10"/>
  <c r="H504" i="10"/>
  <c r="F504" i="10"/>
  <c r="F537" i="10"/>
  <c r="H537" i="10"/>
  <c r="H539" i="10"/>
  <c r="F539" i="10"/>
  <c r="F816" i="10"/>
  <c r="C429" i="10"/>
  <c r="AA726" i="10"/>
  <c r="E141" i="10"/>
  <c r="D463" i="10" s="1"/>
  <c r="H497" i="10"/>
  <c r="F497" i="10"/>
  <c r="D816" i="10"/>
  <c r="C427" i="10"/>
  <c r="BY48" i="10"/>
  <c r="BY62" i="10" s="1"/>
  <c r="BQ48" i="10"/>
  <c r="BQ62" i="10" s="1"/>
  <c r="BI48" i="10"/>
  <c r="BI62" i="10" s="1"/>
  <c r="BA48" i="10"/>
  <c r="BA62" i="10" s="1"/>
  <c r="AS48" i="10"/>
  <c r="AS62" i="10" s="1"/>
  <c r="AK48" i="10"/>
  <c r="AK62" i="10" s="1"/>
  <c r="AC48" i="10"/>
  <c r="AC62" i="10" s="1"/>
  <c r="U48" i="10"/>
  <c r="U62" i="10" s="1"/>
  <c r="BV48" i="10"/>
  <c r="BV62" i="10" s="1"/>
  <c r="E805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O752" i="10"/>
  <c r="U75" i="10"/>
  <c r="N752" i="10" s="1"/>
  <c r="D438" i="10"/>
  <c r="H516" i="10"/>
  <c r="F516" i="10"/>
  <c r="F521" i="10"/>
  <c r="E811" i="10"/>
  <c r="K816" i="10"/>
  <c r="C434" i="10"/>
  <c r="D464" i="10"/>
  <c r="R722" i="10"/>
  <c r="E195" i="10"/>
  <c r="H528" i="10"/>
  <c r="F544" i="10"/>
  <c r="E746" i="10"/>
  <c r="E778" i="10"/>
  <c r="H502" i="10"/>
  <c r="E748" i="10"/>
  <c r="CE65" i="10"/>
  <c r="CE69" i="10"/>
  <c r="F511" i="10"/>
  <c r="E738" i="10"/>
  <c r="S816" i="10"/>
  <c r="J612" i="10"/>
  <c r="C62" i="10"/>
  <c r="E806" i="10"/>
  <c r="CE60" i="10"/>
  <c r="E740" i="10"/>
  <c r="E140" i="10"/>
  <c r="B465" i="10"/>
  <c r="F501" i="10"/>
  <c r="H523" i="10"/>
  <c r="F523" i="10"/>
  <c r="L736" i="10"/>
  <c r="C439" i="10"/>
  <c r="U813" i="10"/>
  <c r="U815" i="10" s="1"/>
  <c r="CD71" i="10"/>
  <c r="C575" i="10" s="1"/>
  <c r="CE76" i="10"/>
  <c r="C473" i="10"/>
  <c r="C438" i="10"/>
  <c r="B476" i="10"/>
  <c r="F503" i="10"/>
  <c r="M815" i="10"/>
  <c r="CE70" i="10"/>
  <c r="E75" i="10"/>
  <c r="AR722" i="10"/>
  <c r="D204" i="10"/>
  <c r="F496" i="10"/>
  <c r="F522" i="10"/>
  <c r="H538" i="10"/>
  <c r="F538" i="10"/>
  <c r="F545" i="10"/>
  <c r="C615" i="10"/>
  <c r="H815" i="10"/>
  <c r="R815" i="10"/>
  <c r="G612" i="10"/>
  <c r="I815" i="10"/>
  <c r="S815" i="10"/>
  <c r="L815" i="10"/>
  <c r="L817" i="10"/>
  <c r="C815" i="10"/>
  <c r="D815" i="10"/>
  <c r="O815" i="10"/>
  <c r="F815" i="10"/>
  <c r="P815" i="10"/>
  <c r="G815" i="10"/>
  <c r="Q815" i="10"/>
  <c r="K815" i="10"/>
  <c r="T815" i="10"/>
  <c r="E808" i="10" l="1"/>
  <c r="BI730" i="10"/>
  <c r="C816" i="10"/>
  <c r="H612" i="10"/>
  <c r="E752" i="10"/>
  <c r="P816" i="10"/>
  <c r="CF76" i="10"/>
  <c r="Y52" i="10" s="1"/>
  <c r="Y67" i="10" s="1"/>
  <c r="D612" i="10"/>
  <c r="AG52" i="10"/>
  <c r="AG67" i="10" s="1"/>
  <c r="AT52" i="10"/>
  <c r="AT67" i="10" s="1"/>
  <c r="BA52" i="10"/>
  <c r="BA67" i="10" s="1"/>
  <c r="J784" i="10" s="1"/>
  <c r="AE52" i="10"/>
  <c r="AE67" i="10" s="1"/>
  <c r="H52" i="10"/>
  <c r="H67" i="10" s="1"/>
  <c r="CB52" i="10"/>
  <c r="CB67" i="10" s="1"/>
  <c r="BC52" i="10"/>
  <c r="BC67" i="10" s="1"/>
  <c r="Z52" i="10"/>
  <c r="Z67" i="10" s="1"/>
  <c r="J757" i="10" s="1"/>
  <c r="BD52" i="10"/>
  <c r="BD67" i="10" s="1"/>
  <c r="BK52" i="10"/>
  <c r="BK67" i="10" s="1"/>
  <c r="E757" i="10"/>
  <c r="E760" i="10"/>
  <c r="E798" i="10"/>
  <c r="N736" i="10"/>
  <c r="N815" i="10" s="1"/>
  <c r="CE75" i="10"/>
  <c r="CE48" i="10"/>
  <c r="E204" i="10"/>
  <c r="C476" i="10" s="1"/>
  <c r="C468" i="10"/>
  <c r="E765" i="10"/>
  <c r="E768" i="10"/>
  <c r="M816" i="10"/>
  <c r="C458" i="10"/>
  <c r="E734" i="10"/>
  <c r="CE62" i="10"/>
  <c r="E773" i="10"/>
  <c r="E776" i="10"/>
  <c r="L816" i="10"/>
  <c r="C440" i="10"/>
  <c r="E781" i="10"/>
  <c r="E784" i="10"/>
  <c r="D465" i="10"/>
  <c r="H816" i="10"/>
  <c r="C431" i="10"/>
  <c r="E789" i="10"/>
  <c r="E792" i="10"/>
  <c r="G816" i="10"/>
  <c r="F612" i="10"/>
  <c r="C430" i="10"/>
  <c r="E797" i="10"/>
  <c r="E800" i="10"/>
  <c r="J756" i="10" l="1"/>
  <c r="Y71" i="10"/>
  <c r="J787" i="10"/>
  <c r="BD71" i="10"/>
  <c r="J811" i="10"/>
  <c r="CB71" i="10"/>
  <c r="BO52" i="10"/>
  <c r="BO67" i="10" s="1"/>
  <c r="AJ52" i="10"/>
  <c r="AJ67" i="10" s="1"/>
  <c r="E52" i="10"/>
  <c r="E67" i="10" s="1"/>
  <c r="G52" i="10"/>
  <c r="G67" i="10" s="1"/>
  <c r="S52" i="10"/>
  <c r="S67" i="10" s="1"/>
  <c r="AZ52" i="10"/>
  <c r="AZ67" i="10" s="1"/>
  <c r="BL52" i="10"/>
  <c r="BL67" i="10" s="1"/>
  <c r="BB52" i="10"/>
  <c r="BB67" i="10" s="1"/>
  <c r="AO52" i="10"/>
  <c r="AO67" i="10" s="1"/>
  <c r="BN52" i="10"/>
  <c r="BN67" i="10" s="1"/>
  <c r="BY52" i="10"/>
  <c r="BY67" i="10" s="1"/>
  <c r="AU52" i="10"/>
  <c r="AU67" i="10" s="1"/>
  <c r="P52" i="10"/>
  <c r="P67" i="10" s="1"/>
  <c r="R52" i="10"/>
  <c r="R67" i="10" s="1"/>
  <c r="AC52" i="10"/>
  <c r="AC67" i="10" s="1"/>
  <c r="BV52" i="10"/>
  <c r="BV67" i="10" s="1"/>
  <c r="BW52" i="10"/>
  <c r="BW67" i="10" s="1"/>
  <c r="BJ52" i="10"/>
  <c r="BJ67" i="10" s="1"/>
  <c r="AW52" i="10"/>
  <c r="AW67" i="10" s="1"/>
  <c r="E816" i="10"/>
  <c r="C428" i="10"/>
  <c r="C52" i="10"/>
  <c r="L52" i="10"/>
  <c r="L67" i="10" s="1"/>
  <c r="BF52" i="10"/>
  <c r="BF67" i="10" s="1"/>
  <c r="AA52" i="10"/>
  <c r="AA67" i="10" s="1"/>
  <c r="AB52" i="10"/>
  <c r="AB67" i="10" s="1"/>
  <c r="AN52" i="10"/>
  <c r="AN67" i="10" s="1"/>
  <c r="J52" i="10"/>
  <c r="J67" i="10" s="1"/>
  <c r="F52" i="10"/>
  <c r="F67" i="10" s="1"/>
  <c r="BR52" i="10"/>
  <c r="BR67" i="10" s="1"/>
  <c r="BE52" i="10"/>
  <c r="BE67" i="10" s="1"/>
  <c r="J794" i="10"/>
  <c r="BK71" i="10"/>
  <c r="J786" i="10"/>
  <c r="BC71" i="10"/>
  <c r="J762" i="10"/>
  <c r="AE71" i="10"/>
  <c r="J777" i="10"/>
  <c r="AT71" i="10"/>
  <c r="BA71" i="10"/>
  <c r="M52" i="10"/>
  <c r="M67" i="10" s="1"/>
  <c r="BP52" i="10"/>
  <c r="BP67" i="10" s="1"/>
  <c r="AM52" i="10"/>
  <c r="AM67" i="10" s="1"/>
  <c r="K52" i="10"/>
  <c r="K67" i="10" s="1"/>
  <c r="BZ52" i="10"/>
  <c r="BZ67" i="10" s="1"/>
  <c r="X52" i="10"/>
  <c r="X67" i="10" s="1"/>
  <c r="CA52" i="10"/>
  <c r="CA67" i="10" s="1"/>
  <c r="Z71" i="10"/>
  <c r="AI52" i="10"/>
  <c r="AI67" i="10" s="1"/>
  <c r="D52" i="10"/>
  <c r="D67" i="10" s="1"/>
  <c r="AP52" i="10"/>
  <c r="AP67" i="10" s="1"/>
  <c r="BG52" i="10"/>
  <c r="BG67" i="10" s="1"/>
  <c r="BH52" i="10"/>
  <c r="BH67" i="10" s="1"/>
  <c r="BT52" i="10"/>
  <c r="BT67" i="10" s="1"/>
  <c r="AF52" i="10"/>
  <c r="AF67" i="10" s="1"/>
  <c r="AD52" i="10"/>
  <c r="AD67" i="10" s="1"/>
  <c r="Q52" i="10"/>
  <c r="Q67" i="10" s="1"/>
  <c r="CC52" i="10"/>
  <c r="CC67" i="10" s="1"/>
  <c r="N816" i="10"/>
  <c r="K612" i="10"/>
  <c r="C465" i="10"/>
  <c r="J739" i="10"/>
  <c r="H71" i="10"/>
  <c r="J764" i="10"/>
  <c r="AG71" i="10"/>
  <c r="W52" i="10"/>
  <c r="W67" i="10" s="1"/>
  <c r="AR52" i="10"/>
  <c r="AR67" i="10" s="1"/>
  <c r="AK52" i="10"/>
  <c r="AK67" i="10" s="1"/>
  <c r="AY52" i="10"/>
  <c r="AY67" i="10" s="1"/>
  <c r="N52" i="10"/>
  <c r="N67" i="10" s="1"/>
  <c r="BM52" i="10"/>
  <c r="BM67" i="10" s="1"/>
  <c r="E815" i="10"/>
  <c r="BX52" i="10"/>
  <c r="BX67" i="10" s="1"/>
  <c r="AV52" i="10"/>
  <c r="AV67" i="10" s="1"/>
  <c r="AX52" i="10"/>
  <c r="AX67" i="10" s="1"/>
  <c r="BI52" i="10"/>
  <c r="BI67" i="10" s="1"/>
  <c r="U52" i="10"/>
  <c r="U67" i="10" s="1"/>
  <c r="V52" i="10"/>
  <c r="V67" i="10" s="1"/>
  <c r="I52" i="10"/>
  <c r="I67" i="10" s="1"/>
  <c r="BU52" i="10"/>
  <c r="BU67" i="10" s="1"/>
  <c r="AS52" i="10"/>
  <c r="AS67" i="10" s="1"/>
  <c r="O52" i="10"/>
  <c r="O67" i="10" s="1"/>
  <c r="AH52" i="10"/>
  <c r="AH67" i="10" s="1"/>
  <c r="BQ52" i="10"/>
  <c r="BQ67" i="10" s="1"/>
  <c r="BS52" i="10"/>
  <c r="BS67" i="10" s="1"/>
  <c r="T52" i="10"/>
  <c r="T67" i="10" s="1"/>
  <c r="AQ52" i="10"/>
  <c r="AQ67" i="10" s="1"/>
  <c r="AL52" i="10"/>
  <c r="AL67" i="10" s="1"/>
  <c r="J761" i="10" l="1"/>
  <c r="AD71" i="10"/>
  <c r="C691" i="10"/>
  <c r="C519" i="10"/>
  <c r="G519" i="10" s="1"/>
  <c r="J799" i="10"/>
  <c r="BP71" i="10"/>
  <c r="J759" i="10"/>
  <c r="AB71" i="10"/>
  <c r="J793" i="10"/>
  <c r="BJ71" i="10"/>
  <c r="J797" i="10"/>
  <c r="BN71" i="10"/>
  <c r="J767" i="10"/>
  <c r="AJ71" i="10"/>
  <c r="J774" i="10"/>
  <c r="AQ71" i="10"/>
  <c r="J740" i="10"/>
  <c r="I71" i="10"/>
  <c r="J796" i="10"/>
  <c r="BM71" i="10"/>
  <c r="C673" i="10"/>
  <c r="C501" i="10"/>
  <c r="G501" i="10" s="1"/>
  <c r="J763" i="10"/>
  <c r="AF71" i="10"/>
  <c r="J744" i="10"/>
  <c r="M71" i="10"/>
  <c r="C556" i="10"/>
  <c r="C635" i="10"/>
  <c r="J758" i="10"/>
  <c r="AA71" i="10"/>
  <c r="J806" i="10"/>
  <c r="BW71" i="10"/>
  <c r="J772" i="10"/>
  <c r="AO71" i="10"/>
  <c r="J798" i="10"/>
  <c r="BO71" i="10"/>
  <c r="J766" i="10"/>
  <c r="AI71" i="10"/>
  <c r="J751" i="10"/>
  <c r="T71" i="10"/>
  <c r="J810" i="10"/>
  <c r="CA71" i="10"/>
  <c r="C546" i="10"/>
  <c r="C630" i="10"/>
  <c r="J789" i="10"/>
  <c r="BF71" i="10"/>
  <c r="J805" i="10"/>
  <c r="BV71" i="10"/>
  <c r="J785" i="10"/>
  <c r="BB71" i="10"/>
  <c r="C622" i="10"/>
  <c r="C573" i="10"/>
  <c r="J776" i="10"/>
  <c r="AS71" i="10"/>
  <c r="J770" i="10"/>
  <c r="AM71" i="10"/>
  <c r="J745" i="10"/>
  <c r="N71" i="10"/>
  <c r="J802" i="10"/>
  <c r="BS71" i="10"/>
  <c r="J743" i="10"/>
  <c r="L71" i="10"/>
  <c r="C526" i="10"/>
  <c r="C698" i="10"/>
  <c r="J769" i="10"/>
  <c r="AL71" i="10"/>
  <c r="J803" i="10"/>
  <c r="BT71" i="10"/>
  <c r="J782" i="10"/>
  <c r="AY71" i="10"/>
  <c r="J755" i="10"/>
  <c r="X71" i="10"/>
  <c r="C711" i="10"/>
  <c r="C539" i="10"/>
  <c r="G539" i="10" s="1"/>
  <c r="J760" i="10"/>
  <c r="AC71" i="10"/>
  <c r="J800" i="10"/>
  <c r="BQ71" i="10"/>
  <c r="J792" i="10"/>
  <c r="BI71" i="10"/>
  <c r="J768" i="10"/>
  <c r="AK71" i="10"/>
  <c r="J790" i="10"/>
  <c r="BG71" i="10"/>
  <c r="J801" i="10"/>
  <c r="BR71" i="10"/>
  <c r="CE52" i="10"/>
  <c r="C67" i="10"/>
  <c r="J749" i="10"/>
  <c r="R71" i="10"/>
  <c r="J783" i="10"/>
  <c r="AZ71" i="10"/>
  <c r="C549" i="10"/>
  <c r="C624" i="10"/>
  <c r="J748" i="10"/>
  <c r="Q71" i="10"/>
  <c r="J804" i="10"/>
  <c r="BU71" i="10"/>
  <c r="J753" i="10"/>
  <c r="V71" i="10"/>
  <c r="J752" i="10"/>
  <c r="U71" i="10"/>
  <c r="J791" i="10"/>
  <c r="BH71" i="10"/>
  <c r="J788" i="10"/>
  <c r="BE71" i="10"/>
  <c r="J795" i="10"/>
  <c r="BL71" i="10"/>
  <c r="J765" i="10"/>
  <c r="AH71" i="10"/>
  <c r="J781" i="10"/>
  <c r="AX71" i="10"/>
  <c r="J775" i="10"/>
  <c r="AR71" i="10"/>
  <c r="J773" i="10"/>
  <c r="AP71" i="10"/>
  <c r="J809" i="10"/>
  <c r="BZ71" i="10"/>
  <c r="C696" i="10"/>
  <c r="C524" i="10"/>
  <c r="J737" i="10"/>
  <c r="F71" i="10"/>
  <c r="J747" i="10"/>
  <c r="P71" i="10"/>
  <c r="J750" i="10"/>
  <c r="S71" i="10"/>
  <c r="J746" i="10"/>
  <c r="O71" i="10"/>
  <c r="J779" i="10"/>
  <c r="AV71" i="10"/>
  <c r="J754" i="10"/>
  <c r="W71" i="10"/>
  <c r="J812" i="10"/>
  <c r="CC71" i="10"/>
  <c r="J735" i="10"/>
  <c r="D71" i="10"/>
  <c r="J742" i="10"/>
  <c r="K71" i="10"/>
  <c r="J741" i="10"/>
  <c r="J71" i="10"/>
  <c r="J778" i="10"/>
  <c r="AU71" i="10"/>
  <c r="J738" i="10"/>
  <c r="G71" i="10"/>
  <c r="C690" i="10"/>
  <c r="C518" i="10"/>
  <c r="J807" i="10"/>
  <c r="BX71" i="10"/>
  <c r="C548" i="10"/>
  <c r="C633" i="10"/>
  <c r="J771" i="10"/>
  <c r="AN71" i="10"/>
  <c r="J780" i="10"/>
  <c r="AW71" i="10"/>
  <c r="J808" i="10"/>
  <c r="BY71" i="10"/>
  <c r="J736" i="10"/>
  <c r="E71" i="10"/>
  <c r="C542" i="10" l="1"/>
  <c r="C631" i="10"/>
  <c r="C614" i="10"/>
  <c r="C550" i="10"/>
  <c r="C679" i="10"/>
  <c r="C507" i="10"/>
  <c r="G507" i="10" s="1"/>
  <c r="C705" i="10"/>
  <c r="C533" i="10"/>
  <c r="G533" i="10" s="1"/>
  <c r="C500" i="10"/>
  <c r="G500" i="10" s="1"/>
  <c r="C672" i="10"/>
  <c r="C669" i="10"/>
  <c r="C497" i="10"/>
  <c r="G497" i="10" s="1"/>
  <c r="C680" i="10"/>
  <c r="C508" i="10"/>
  <c r="G524" i="10"/>
  <c r="H524" i="10"/>
  <c r="C616" i="10"/>
  <c r="C543" i="10"/>
  <c r="C636" i="10"/>
  <c r="C553" i="10"/>
  <c r="C682" i="10"/>
  <c r="C510" i="10"/>
  <c r="J734" i="10"/>
  <c r="J815" i="10" s="1"/>
  <c r="CE67" i="10"/>
  <c r="C71" i="10"/>
  <c r="C634" i="10"/>
  <c r="C554" i="10"/>
  <c r="C689" i="10"/>
  <c r="C517" i="10"/>
  <c r="G517" i="10" s="1"/>
  <c r="C704" i="10"/>
  <c r="C532" i="10"/>
  <c r="G532" i="10" s="1"/>
  <c r="C567" i="10"/>
  <c r="C642" i="10"/>
  <c r="C513" i="10"/>
  <c r="G513" i="10" s="1"/>
  <c r="C685" i="10"/>
  <c r="C568" i="10"/>
  <c r="C643" i="10"/>
  <c r="C697" i="10"/>
  <c r="C525" i="10"/>
  <c r="G525" i="10" s="1"/>
  <c r="C708" i="10"/>
  <c r="C536" i="10"/>
  <c r="G536" i="10" s="1"/>
  <c r="C693" i="10"/>
  <c r="C521" i="10"/>
  <c r="G526" i="10"/>
  <c r="H526" i="10" s="1"/>
  <c r="C713" i="10"/>
  <c r="C541" i="10"/>
  <c r="C670" i="10"/>
  <c r="C498" i="10"/>
  <c r="C571" i="10"/>
  <c r="C646" i="10"/>
  <c r="C623" i="10"/>
  <c r="C562" i="10"/>
  <c r="C551" i="10"/>
  <c r="C629" i="10"/>
  <c r="C676" i="10"/>
  <c r="C504" i="10"/>
  <c r="G504" i="10" s="1"/>
  <c r="C566" i="10"/>
  <c r="C641" i="10"/>
  <c r="C712" i="10"/>
  <c r="C540" i="10"/>
  <c r="G540" i="10" s="1"/>
  <c r="C620" i="10"/>
  <c r="C574" i="10"/>
  <c r="C686" i="10"/>
  <c r="C514" i="10"/>
  <c r="C563" i="10"/>
  <c r="C626" i="10"/>
  <c r="C625" i="10"/>
  <c r="C544" i="10"/>
  <c r="C677" i="10"/>
  <c r="C505" i="10"/>
  <c r="C710" i="10"/>
  <c r="C538" i="10"/>
  <c r="G538" i="10" s="1"/>
  <c r="C700" i="10"/>
  <c r="C528" i="10"/>
  <c r="G528" i="10" s="1"/>
  <c r="C692" i="10"/>
  <c r="C520" i="10"/>
  <c r="G520" i="10" s="1"/>
  <c r="C701" i="10"/>
  <c r="C529" i="10"/>
  <c r="G529" i="10" s="1"/>
  <c r="C675" i="10"/>
  <c r="C503" i="10"/>
  <c r="C707" i="10"/>
  <c r="C535" i="10"/>
  <c r="C687" i="10"/>
  <c r="C515" i="10"/>
  <c r="C552" i="10"/>
  <c r="C618" i="10"/>
  <c r="C694" i="10"/>
  <c r="C522" i="10"/>
  <c r="C640" i="10"/>
  <c r="C565" i="10"/>
  <c r="C564" i="10"/>
  <c r="C639" i="10"/>
  <c r="C560" i="10"/>
  <c r="C627" i="10"/>
  <c r="C638" i="10"/>
  <c r="C558" i="10"/>
  <c r="C559" i="10"/>
  <c r="C619" i="10"/>
  <c r="C709" i="10"/>
  <c r="C537" i="10"/>
  <c r="G537" i="10" s="1"/>
  <c r="C703" i="10"/>
  <c r="C531" i="10"/>
  <c r="G531" i="10" s="1"/>
  <c r="C684" i="10"/>
  <c r="C512" i="10"/>
  <c r="C699" i="10"/>
  <c r="C527" i="10"/>
  <c r="G527" i="10" s="1"/>
  <c r="C621" i="10"/>
  <c r="C561" i="10"/>
  <c r="C645" i="10"/>
  <c r="C570" i="10"/>
  <c r="C644" i="10"/>
  <c r="C569" i="10"/>
  <c r="C688" i="10"/>
  <c r="C516" i="10"/>
  <c r="G516" i="10" s="1"/>
  <c r="C681" i="10"/>
  <c r="C509" i="10"/>
  <c r="C637" i="10"/>
  <c r="C557" i="10"/>
  <c r="C628" i="10"/>
  <c r="C545" i="10"/>
  <c r="G546" i="10"/>
  <c r="H546" i="10"/>
  <c r="G518" i="10"/>
  <c r="H518" i="10"/>
  <c r="C671" i="10"/>
  <c r="C499" i="10"/>
  <c r="G499" i="10" s="1"/>
  <c r="C702" i="10"/>
  <c r="C530" i="10"/>
  <c r="G530" i="10" s="1"/>
  <c r="C632" i="10"/>
  <c r="C547" i="10"/>
  <c r="C572" i="10"/>
  <c r="C647" i="10"/>
  <c r="C706" i="10"/>
  <c r="C534" i="10"/>
  <c r="G534" i="10" s="1"/>
  <c r="C678" i="10"/>
  <c r="C506" i="10"/>
  <c r="G506" i="10" s="1"/>
  <c r="C674" i="10"/>
  <c r="C502" i="10"/>
  <c r="G502" i="10" s="1"/>
  <c r="C555" i="10"/>
  <c r="C617" i="10"/>
  <c r="C695" i="10"/>
  <c r="C523" i="10"/>
  <c r="G523" i="10" s="1"/>
  <c r="C683" i="10"/>
  <c r="C511" i="10"/>
  <c r="G498" i="10" l="1"/>
  <c r="H498" i="10"/>
  <c r="G509" i="10"/>
  <c r="H509" i="10" s="1"/>
  <c r="J816" i="10"/>
  <c r="C433" i="10"/>
  <c r="C441" i="10" s="1"/>
  <c r="CE71" i="10"/>
  <c r="C716" i="10" s="1"/>
  <c r="G505" i="10"/>
  <c r="H505" i="10"/>
  <c r="C668" i="10"/>
  <c r="C496" i="10"/>
  <c r="G508" i="10"/>
  <c r="H508" i="10"/>
  <c r="G544" i="10"/>
  <c r="H544" i="10"/>
  <c r="G550" i="10"/>
  <c r="H550" i="10" s="1"/>
  <c r="G512" i="10"/>
  <c r="H512" i="10"/>
  <c r="G522" i="10"/>
  <c r="H522" i="10"/>
  <c r="G503" i="10"/>
  <c r="H503" i="10" s="1"/>
  <c r="G514" i="10"/>
  <c r="H514" i="10" s="1"/>
  <c r="G510" i="10"/>
  <c r="H510" i="10" s="1"/>
  <c r="G515" i="10"/>
  <c r="H515" i="10"/>
  <c r="G511" i="10"/>
  <c r="H511" i="10" s="1"/>
  <c r="G545" i="10"/>
  <c r="H545" i="10"/>
  <c r="G535" i="10"/>
  <c r="H535" i="10" s="1"/>
  <c r="G521" i="10"/>
  <c r="H521" i="10"/>
  <c r="C648" i="10"/>
  <c r="M716" i="10" s="1"/>
  <c r="Y816" i="10" s="1"/>
  <c r="C715" i="10"/>
  <c r="D615" i="10"/>
  <c r="D712" i="10" l="1"/>
  <c r="D704" i="10"/>
  <c r="D696" i="10"/>
  <c r="D709" i="10"/>
  <c r="D701" i="10"/>
  <c r="D706" i="10"/>
  <c r="D698" i="10"/>
  <c r="D708" i="10"/>
  <c r="D700" i="10"/>
  <c r="D692" i="10"/>
  <c r="D713" i="10"/>
  <c r="D705" i="10"/>
  <c r="D697" i="10"/>
  <c r="D710" i="10"/>
  <c r="D702" i="10"/>
  <c r="D694" i="10"/>
  <c r="D690" i="10"/>
  <c r="D684" i="10"/>
  <c r="D676" i="10"/>
  <c r="D668" i="10"/>
  <c r="D628" i="10"/>
  <c r="D622" i="10"/>
  <c r="D618" i="10"/>
  <c r="D699" i="10"/>
  <c r="D686" i="10"/>
  <c r="D678" i="10"/>
  <c r="D670" i="10"/>
  <c r="D647" i="10"/>
  <c r="D646" i="10"/>
  <c r="D645" i="10"/>
  <c r="D629" i="10"/>
  <c r="D626" i="10"/>
  <c r="D621" i="10"/>
  <c r="D617" i="10"/>
  <c r="D693" i="10"/>
  <c r="D683" i="10"/>
  <c r="D67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80" i="10"/>
  <c r="D711" i="10"/>
  <c r="D688" i="10"/>
  <c r="D687" i="10"/>
  <c r="D673" i="10"/>
  <c r="D625" i="10"/>
  <c r="D716" i="10"/>
  <c r="D689" i="10"/>
  <c r="D682" i="10"/>
  <c r="D695" i="10"/>
  <c r="D669" i="10"/>
  <c r="D677" i="10"/>
  <c r="D623" i="10"/>
  <c r="D616" i="10"/>
  <c r="D685" i="10"/>
  <c r="D691" i="10"/>
  <c r="D627" i="10"/>
  <c r="D674" i="10"/>
  <c r="D707" i="10"/>
  <c r="D703" i="10"/>
  <c r="D679" i="10"/>
  <c r="D620" i="10"/>
  <c r="D671" i="10"/>
  <c r="D619" i="10"/>
  <c r="D681" i="10"/>
  <c r="D672" i="10"/>
  <c r="G496" i="10"/>
  <c r="H496" i="10"/>
  <c r="E612" i="10" l="1"/>
  <c r="D715" i="10"/>
  <c r="E623" i="10"/>
  <c r="E709" i="10" l="1"/>
  <c r="E701" i="10"/>
  <c r="E693" i="10"/>
  <c r="E706" i="10"/>
  <c r="E698" i="10"/>
  <c r="E711" i="10"/>
  <c r="E703" i="10"/>
  <c r="E695" i="10"/>
  <c r="E713" i="10"/>
  <c r="E705" i="10"/>
  <c r="E697" i="10"/>
  <c r="E689" i="10"/>
  <c r="E710" i="10"/>
  <c r="E702" i="10"/>
  <c r="E694" i="10"/>
  <c r="E716" i="10"/>
  <c r="E707" i="10"/>
  <c r="E699" i="10"/>
  <c r="E691" i="10"/>
  <c r="E692" i="10"/>
  <c r="E681" i="10"/>
  <c r="E673" i="10"/>
  <c r="E696" i="10"/>
  <c r="E683" i="10"/>
  <c r="E67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688" i="10"/>
  <c r="E680" i="10"/>
  <c r="E672" i="10"/>
  <c r="E687" i="10"/>
  <c r="E674" i="10"/>
  <c r="E647" i="10"/>
  <c r="E627" i="10"/>
  <c r="E682" i="10"/>
  <c r="E669" i="10"/>
  <c r="E668" i="10"/>
  <c r="E645" i="10"/>
  <c r="E629" i="10"/>
  <c r="E704" i="10"/>
  <c r="E700" i="10"/>
  <c r="E677" i="10"/>
  <c r="E676" i="10"/>
  <c r="E690" i="10"/>
  <c r="E685" i="10"/>
  <c r="E684" i="10"/>
  <c r="E670" i="10"/>
  <c r="E626" i="10"/>
  <c r="E708" i="10"/>
  <c r="E678" i="10"/>
  <c r="E671" i="10"/>
  <c r="E646" i="10"/>
  <c r="E625" i="10"/>
  <c r="E712" i="10"/>
  <c r="E686" i="10"/>
  <c r="E679" i="10"/>
  <c r="E628" i="10"/>
  <c r="E715" i="10" l="1"/>
  <c r="F624" i="10"/>
  <c r="F706" i="10" l="1"/>
  <c r="F698" i="10"/>
  <c r="F711" i="10"/>
  <c r="F703" i="10"/>
  <c r="F695" i="10"/>
  <c r="F708" i="10"/>
  <c r="F700" i="10"/>
  <c r="F692" i="10"/>
  <c r="F710" i="10"/>
  <c r="F702" i="10"/>
  <c r="F694" i="10"/>
  <c r="F716" i="10"/>
  <c r="F707" i="10"/>
  <c r="F699" i="10"/>
  <c r="F712" i="10"/>
  <c r="F704" i="10"/>
  <c r="F696" i="10"/>
  <c r="F689" i="10"/>
  <c r="F686" i="10"/>
  <c r="F678" i="10"/>
  <c r="F670" i="10"/>
  <c r="F647" i="10"/>
  <c r="F646" i="10"/>
  <c r="F645" i="10"/>
  <c r="F629" i="10"/>
  <c r="F626" i="10"/>
  <c r="F693" i="10"/>
  <c r="F688" i="10"/>
  <c r="F680" i="10"/>
  <c r="F672" i="10"/>
  <c r="F713" i="10"/>
  <c r="F685" i="10"/>
  <c r="F677" i="10"/>
  <c r="F669" i="10"/>
  <c r="F627" i="10"/>
  <c r="F701" i="10"/>
  <c r="F697" i="10"/>
  <c r="F682" i="10"/>
  <c r="F681" i="10"/>
  <c r="F639" i="10"/>
  <c r="F631" i="10"/>
  <c r="F705" i="10"/>
  <c r="F683" i="10"/>
  <c r="F676" i="10"/>
  <c r="F637" i="10"/>
  <c r="F709" i="10"/>
  <c r="F690" i="10"/>
  <c r="F684" i="10"/>
  <c r="F640" i="10"/>
  <c r="F632" i="10"/>
  <c r="F671" i="10"/>
  <c r="F643" i="10"/>
  <c r="F635" i="10"/>
  <c r="F691" i="10"/>
  <c r="F679" i="10"/>
  <c r="F638" i="10"/>
  <c r="F630" i="10"/>
  <c r="F628" i="10"/>
  <c r="F636" i="10"/>
  <c r="F687" i="10"/>
  <c r="F673" i="10"/>
  <c r="F634" i="10"/>
  <c r="F642" i="10"/>
  <c r="F633" i="10"/>
  <c r="F625" i="10"/>
  <c r="F668" i="10"/>
  <c r="F675" i="10"/>
  <c r="F674" i="10"/>
  <c r="F641" i="10"/>
  <c r="F644" i="10"/>
  <c r="F715" i="10" l="1"/>
  <c r="G625" i="10"/>
  <c r="G711" i="10" l="1"/>
  <c r="G703" i="10"/>
  <c r="G695" i="10"/>
  <c r="G708" i="10"/>
  <c r="G700" i="10"/>
  <c r="G713" i="10"/>
  <c r="G705" i="10"/>
  <c r="G697" i="10"/>
  <c r="G716" i="10"/>
  <c r="G707" i="10"/>
  <c r="G699" i="10"/>
  <c r="G691" i="10"/>
  <c r="G712" i="10"/>
  <c r="G704" i="10"/>
  <c r="G696" i="10"/>
  <c r="G709" i="10"/>
  <c r="G701" i="10"/>
  <c r="G693" i="10"/>
  <c r="G683" i="10"/>
  <c r="G67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85" i="10"/>
  <c r="G677" i="10"/>
  <c r="G669" i="10"/>
  <c r="G627" i="10"/>
  <c r="G710" i="10"/>
  <c r="G682" i="10"/>
  <c r="G674" i="10"/>
  <c r="G702" i="10"/>
  <c r="G688" i="10"/>
  <c r="G681" i="10"/>
  <c r="G706" i="10"/>
  <c r="G668" i="10"/>
  <c r="G689" i="10"/>
  <c r="G692" i="10"/>
  <c r="G690" i="10"/>
  <c r="G684" i="10"/>
  <c r="G671" i="10"/>
  <c r="G670" i="10"/>
  <c r="G626" i="10"/>
  <c r="G679" i="10"/>
  <c r="G678" i="10"/>
  <c r="G646" i="10"/>
  <c r="G628" i="10"/>
  <c r="G698" i="10"/>
  <c r="G694" i="10"/>
  <c r="G687" i="10"/>
  <c r="G686" i="10"/>
  <c r="G672" i="10"/>
  <c r="G680" i="10"/>
  <c r="G673" i="10"/>
  <c r="G647" i="10"/>
  <c r="G676" i="10"/>
  <c r="G629" i="10"/>
  <c r="G645" i="10"/>
  <c r="G715" i="10" l="1"/>
  <c r="H628" i="10"/>
  <c r="H708" i="10" l="1"/>
  <c r="H700" i="10"/>
  <c r="H713" i="10"/>
  <c r="H705" i="10"/>
  <c r="H697" i="10"/>
  <c r="H710" i="10"/>
  <c r="H702" i="10"/>
  <c r="H694" i="10"/>
  <c r="H712" i="10"/>
  <c r="H704" i="10"/>
  <c r="H696" i="10"/>
  <c r="H709" i="10"/>
  <c r="H701" i="10"/>
  <c r="H693" i="10"/>
  <c r="H706" i="10"/>
  <c r="H698" i="10"/>
  <c r="H711" i="10"/>
  <c r="H688" i="10"/>
  <c r="H680" i="10"/>
  <c r="H672" i="10"/>
  <c r="H682" i="10"/>
  <c r="H674" i="10"/>
  <c r="H707" i="10"/>
  <c r="H687" i="10"/>
  <c r="H679" i="10"/>
  <c r="H671" i="10"/>
  <c r="H716" i="10"/>
  <c r="H689" i="10"/>
  <c r="H676" i="10"/>
  <c r="H675" i="10"/>
  <c r="H645" i="10"/>
  <c r="H642" i="10"/>
  <c r="H634" i="10"/>
  <c r="H629" i="10"/>
  <c r="H692" i="10"/>
  <c r="H690" i="10"/>
  <c r="H684" i="10"/>
  <c r="H683" i="10"/>
  <c r="H695" i="10"/>
  <c r="H677" i="10"/>
  <c r="H670" i="10"/>
  <c r="H640" i="10"/>
  <c r="H632" i="10"/>
  <c r="H685" i="10"/>
  <c r="H678" i="10"/>
  <c r="H646" i="10"/>
  <c r="H643" i="10"/>
  <c r="H635" i="10"/>
  <c r="H699" i="10"/>
  <c r="H691" i="10"/>
  <c r="H686" i="10"/>
  <c r="H638" i="10"/>
  <c r="H630" i="10"/>
  <c r="H703" i="10"/>
  <c r="H673" i="10"/>
  <c r="H641" i="10"/>
  <c r="H633" i="10"/>
  <c r="H681" i="10"/>
  <c r="H668" i="10"/>
  <c r="H644" i="10"/>
  <c r="H647" i="10"/>
  <c r="H639" i="10"/>
  <c r="H669" i="10"/>
  <c r="H637" i="10"/>
  <c r="H636" i="10"/>
  <c r="H631" i="10"/>
  <c r="H715" i="10" l="1"/>
  <c r="I629" i="10"/>
  <c r="I713" i="10" l="1"/>
  <c r="I705" i="10"/>
  <c r="I697" i="10"/>
  <c r="I710" i="10"/>
  <c r="I702" i="10"/>
  <c r="I694" i="10"/>
  <c r="I716" i="10"/>
  <c r="I707" i="10"/>
  <c r="I699" i="10"/>
  <c r="I691" i="10"/>
  <c r="I709" i="10"/>
  <c r="I701" i="10"/>
  <c r="I693" i="10"/>
  <c r="I706" i="10"/>
  <c r="I698" i="10"/>
  <c r="I711" i="10"/>
  <c r="I703" i="10"/>
  <c r="I695" i="10"/>
  <c r="I708" i="10"/>
  <c r="I685" i="10"/>
  <c r="I677" i="10"/>
  <c r="I669" i="10"/>
  <c r="I687" i="10"/>
  <c r="I679" i="10"/>
  <c r="I671" i="10"/>
  <c r="I704" i="10"/>
  <c r="I690" i="10"/>
  <c r="I684" i="10"/>
  <c r="I676" i="10"/>
  <c r="I668" i="10"/>
  <c r="I689" i="10"/>
  <c r="I682" i="10"/>
  <c r="I692" i="10"/>
  <c r="I683" i="10"/>
  <c r="I637" i="10"/>
  <c r="I696" i="10"/>
  <c r="I700" i="10"/>
  <c r="I678" i="10"/>
  <c r="I646" i="10"/>
  <c r="I643" i="10"/>
  <c r="I635" i="10"/>
  <c r="I686" i="10"/>
  <c r="I638" i="10"/>
  <c r="I630" i="10"/>
  <c r="I673" i="10"/>
  <c r="I672" i="10"/>
  <c r="I641" i="10"/>
  <c r="I633" i="10"/>
  <c r="I712" i="10"/>
  <c r="I681" i="10"/>
  <c r="I680" i="10"/>
  <c r="I647" i="10"/>
  <c r="I644" i="10"/>
  <c r="I636" i="10"/>
  <c r="I674" i="10"/>
  <c r="I640" i="10"/>
  <c r="I631" i="10"/>
  <c r="I688" i="10"/>
  <c r="I670" i="10"/>
  <c r="I634" i="10"/>
  <c r="I642" i="10"/>
  <c r="I639" i="10"/>
  <c r="I675" i="10"/>
  <c r="I645" i="10"/>
  <c r="I632" i="10"/>
  <c r="I715" i="10" l="1"/>
  <c r="J630" i="10"/>
  <c r="J710" i="10" l="1"/>
  <c r="J702" i="10"/>
  <c r="J694" i="10"/>
  <c r="J716" i="10"/>
  <c r="J707" i="10"/>
  <c r="J699" i="10"/>
  <c r="J712" i="10"/>
  <c r="J704" i="10"/>
  <c r="J696" i="10"/>
  <c r="J706" i="10"/>
  <c r="J698" i="10"/>
  <c r="J690" i="10"/>
  <c r="J711" i="10"/>
  <c r="J703" i="10"/>
  <c r="J695" i="10"/>
  <c r="J708" i="10"/>
  <c r="J700" i="10"/>
  <c r="J692" i="10"/>
  <c r="J705" i="10"/>
  <c r="J682" i="10"/>
  <c r="J674" i="10"/>
  <c r="J713" i="10"/>
  <c r="J684" i="10"/>
  <c r="J676" i="10"/>
  <c r="J668" i="10"/>
  <c r="J701" i="10"/>
  <c r="J691" i="10"/>
  <c r="J681" i="10"/>
  <c r="J673" i="10"/>
  <c r="J697" i="10"/>
  <c r="J683" i="10"/>
  <c r="J670" i="10"/>
  <c r="J669" i="10"/>
  <c r="J640" i="10"/>
  <c r="J632" i="10"/>
  <c r="J709" i="10"/>
  <c r="J686" i="10"/>
  <c r="J685" i="10"/>
  <c r="J671" i="10"/>
  <c r="J638" i="10"/>
  <c r="J679" i="10"/>
  <c r="J672" i="10"/>
  <c r="J641" i="10"/>
  <c r="J633" i="10"/>
  <c r="J687" i="10"/>
  <c r="J680" i="10"/>
  <c r="J647" i="10"/>
  <c r="J644" i="10"/>
  <c r="K644" i="10" s="1"/>
  <c r="J636" i="10"/>
  <c r="J688" i="10"/>
  <c r="J639" i="10"/>
  <c r="J631" i="10"/>
  <c r="J643" i="10"/>
  <c r="J634" i="10"/>
  <c r="J642" i="10"/>
  <c r="J646" i="10"/>
  <c r="J675" i="10"/>
  <c r="J645" i="10"/>
  <c r="J637" i="10"/>
  <c r="J678" i="10"/>
  <c r="J677" i="10"/>
  <c r="J693" i="10"/>
  <c r="J689" i="10"/>
  <c r="J635" i="10"/>
  <c r="L647" i="10" l="1"/>
  <c r="J715" i="10"/>
  <c r="K716" i="10"/>
  <c r="K707" i="10"/>
  <c r="K699" i="10"/>
  <c r="K712" i="10"/>
  <c r="K704" i="10"/>
  <c r="K696" i="10"/>
  <c r="K709" i="10"/>
  <c r="K701" i="10"/>
  <c r="K693" i="10"/>
  <c r="K711" i="10"/>
  <c r="K703" i="10"/>
  <c r="K695" i="10"/>
  <c r="K708" i="10"/>
  <c r="K700" i="10"/>
  <c r="K692" i="10"/>
  <c r="K713" i="10"/>
  <c r="K705" i="10"/>
  <c r="K697" i="10"/>
  <c r="K702" i="10"/>
  <c r="K687" i="10"/>
  <c r="K679" i="10"/>
  <c r="K671" i="10"/>
  <c r="K710" i="10"/>
  <c r="K691" i="10"/>
  <c r="K690" i="10"/>
  <c r="K681" i="10"/>
  <c r="K673" i="10"/>
  <c r="K698" i="10"/>
  <c r="K689" i="10"/>
  <c r="K686" i="10"/>
  <c r="K678" i="10"/>
  <c r="K670" i="10"/>
  <c r="K706" i="10"/>
  <c r="K684" i="10"/>
  <c r="K677" i="10"/>
  <c r="K685" i="10"/>
  <c r="K672" i="10"/>
  <c r="K680" i="10"/>
  <c r="K694" i="10"/>
  <c r="K688" i="10"/>
  <c r="K675" i="10"/>
  <c r="K674" i="10"/>
  <c r="K676" i="10"/>
  <c r="K669" i="10"/>
  <c r="K668" i="10"/>
  <c r="K683" i="10"/>
  <c r="K682" i="10"/>
  <c r="K715" i="10" l="1"/>
  <c r="L712" i="10"/>
  <c r="M712" i="10" s="1"/>
  <c r="Y778" i="10" s="1"/>
  <c r="L704" i="10"/>
  <c r="M704" i="10" s="1"/>
  <c r="Y770" i="10" s="1"/>
  <c r="L696" i="10"/>
  <c r="M696" i="10" s="1"/>
  <c r="Y762" i="10" s="1"/>
  <c r="L709" i="10"/>
  <c r="M709" i="10" s="1"/>
  <c r="Y775" i="10" s="1"/>
  <c r="L701" i="10"/>
  <c r="M701" i="10" s="1"/>
  <c r="Y767" i="10" s="1"/>
  <c r="L693" i="10"/>
  <c r="M693" i="10" s="1"/>
  <c r="Y759" i="10" s="1"/>
  <c r="L706" i="10"/>
  <c r="M706" i="10" s="1"/>
  <c r="Y772" i="10" s="1"/>
  <c r="L698" i="10"/>
  <c r="M698" i="10" s="1"/>
  <c r="Y764" i="10" s="1"/>
  <c r="L708" i="10"/>
  <c r="M708" i="10" s="1"/>
  <c r="Y774" i="10" s="1"/>
  <c r="L700" i="10"/>
  <c r="M700" i="10" s="1"/>
  <c r="Y766" i="10" s="1"/>
  <c r="L692" i="10"/>
  <c r="M692" i="10" s="1"/>
  <c r="Y758" i="10" s="1"/>
  <c r="L713" i="10"/>
  <c r="M713" i="10" s="1"/>
  <c r="Y779" i="10" s="1"/>
  <c r="L705" i="10"/>
  <c r="M705" i="10" s="1"/>
  <c r="Y771" i="10" s="1"/>
  <c r="L697" i="10"/>
  <c r="M697" i="10" s="1"/>
  <c r="Y763" i="10" s="1"/>
  <c r="L710" i="10"/>
  <c r="M710" i="10" s="1"/>
  <c r="Y776" i="10" s="1"/>
  <c r="L702" i="10"/>
  <c r="M702" i="10" s="1"/>
  <c r="Y768" i="10" s="1"/>
  <c r="L694" i="10"/>
  <c r="M694" i="10" s="1"/>
  <c r="Y760" i="10" s="1"/>
  <c r="L699" i="10"/>
  <c r="M699" i="10" s="1"/>
  <c r="Y765" i="10" s="1"/>
  <c r="L684" i="10"/>
  <c r="M684" i="10" s="1"/>
  <c r="Y750" i="10" s="1"/>
  <c r="L676" i="10"/>
  <c r="M676" i="10" s="1"/>
  <c r="Y742" i="10" s="1"/>
  <c r="L668" i="10"/>
  <c r="L707" i="10"/>
  <c r="M707" i="10" s="1"/>
  <c r="Y773" i="10" s="1"/>
  <c r="L689" i="10"/>
  <c r="M689" i="10" s="1"/>
  <c r="Y755" i="10" s="1"/>
  <c r="L686" i="10"/>
  <c r="M686" i="10" s="1"/>
  <c r="Y752" i="10" s="1"/>
  <c r="L678" i="10"/>
  <c r="M678" i="10" s="1"/>
  <c r="Y744" i="10" s="1"/>
  <c r="L670" i="10"/>
  <c r="M670" i="10" s="1"/>
  <c r="Y736" i="10" s="1"/>
  <c r="L695" i="10"/>
  <c r="M695" i="10" s="1"/>
  <c r="Y761" i="10" s="1"/>
  <c r="L683" i="10"/>
  <c r="M683" i="10" s="1"/>
  <c r="Y749" i="10" s="1"/>
  <c r="L675" i="10"/>
  <c r="M675" i="10" s="1"/>
  <c r="Y741" i="10" s="1"/>
  <c r="L716" i="10"/>
  <c r="L711" i="10"/>
  <c r="M711" i="10" s="1"/>
  <c r="Y777" i="10" s="1"/>
  <c r="L690" i="10"/>
  <c r="M690" i="10" s="1"/>
  <c r="Y756" i="10" s="1"/>
  <c r="L685" i="10"/>
  <c r="M685" i="10" s="1"/>
  <c r="Y751" i="10" s="1"/>
  <c r="L680" i="10"/>
  <c r="M680" i="10" s="1"/>
  <c r="Y746" i="10" s="1"/>
  <c r="L679" i="10"/>
  <c r="M679" i="10" s="1"/>
  <c r="Y745" i="10" s="1"/>
  <c r="L691" i="10"/>
  <c r="M691" i="10" s="1"/>
  <c r="Y757" i="10" s="1"/>
  <c r="L688" i="10"/>
  <c r="M688" i="10" s="1"/>
  <c r="Y754" i="10" s="1"/>
  <c r="L687" i="10"/>
  <c r="M687" i="10" s="1"/>
  <c r="Y753" i="10" s="1"/>
  <c r="L673" i="10"/>
  <c r="M673" i="10" s="1"/>
  <c r="Y739" i="10" s="1"/>
  <c r="L703" i="10"/>
  <c r="M703" i="10" s="1"/>
  <c r="Y769" i="10" s="1"/>
  <c r="L681" i="10"/>
  <c r="M681" i="10" s="1"/>
  <c r="Y747" i="10" s="1"/>
  <c r="L674" i="10"/>
  <c r="M674" i="10" s="1"/>
  <c r="Y740" i="10" s="1"/>
  <c r="L682" i="10"/>
  <c r="M682" i="10" s="1"/>
  <c r="Y748" i="10" s="1"/>
  <c r="L677" i="10"/>
  <c r="M677" i="10" s="1"/>
  <c r="Y743" i="10" s="1"/>
  <c r="L671" i="10"/>
  <c r="M671" i="10" s="1"/>
  <c r="Y737" i="10" s="1"/>
  <c r="L669" i="10"/>
  <c r="M669" i="10" s="1"/>
  <c r="Y735" i="10" s="1"/>
  <c r="L672" i="10"/>
  <c r="M672" i="10" s="1"/>
  <c r="Y738" i="10" s="1"/>
  <c r="L715" i="10" l="1"/>
  <c r="M668" i="10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C119" i="8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F505" i="1" s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D186" i="9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/>
  <c r="V75" i="1"/>
  <c r="H90" i="9" s="1"/>
  <c r="T75" i="1"/>
  <c r="R75" i="1"/>
  <c r="Q75" i="1"/>
  <c r="C90" i="9" s="1"/>
  <c r="P75" i="1"/>
  <c r="I58" i="9" s="1"/>
  <c r="O75" i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/>
  <c r="AK75" i="1"/>
  <c r="I154" i="9" s="1"/>
  <c r="AG75" i="1"/>
  <c r="E154" i="9" s="1"/>
  <c r="AE75" i="1"/>
  <c r="C154" i="9" s="1"/>
  <c r="AC75" i="1"/>
  <c r="H122" i="9"/>
  <c r="AB75" i="1"/>
  <c r="Y75" i="1"/>
  <c r="D122" i="9" s="1"/>
  <c r="U75" i="1"/>
  <c r="G90" i="9"/>
  <c r="S75" i="1"/>
  <c r="E90" i="9" s="1"/>
  <c r="K75" i="1"/>
  <c r="J75" i="1"/>
  <c r="E75" i="1"/>
  <c r="E26" i="9" s="1"/>
  <c r="CE73" i="1"/>
  <c r="CE74" i="1"/>
  <c r="I377" i="9" s="1"/>
  <c r="C75" i="1"/>
  <c r="C26" i="9" s="1"/>
  <c r="CE80" i="1"/>
  <c r="CE78" i="1"/>
  <c r="I382" i="9" s="1"/>
  <c r="CE69" i="1"/>
  <c r="I371" i="9" s="1"/>
  <c r="D361" i="1"/>
  <c r="B465" i="1" s="1"/>
  <c r="D372" i="1"/>
  <c r="C125" i="8" s="1"/>
  <c r="D260" i="1"/>
  <c r="D265" i="1"/>
  <c r="D275" i="1"/>
  <c r="D277" i="1" s="1"/>
  <c r="C35" i="8" s="1"/>
  <c r="D290" i="1"/>
  <c r="D314" i="1"/>
  <c r="C68" i="8" s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F31" i="6" s="1"/>
  <c r="D217" i="1"/>
  <c r="E32" i="6" s="1"/>
  <c r="C217" i="1"/>
  <c r="E196" i="1"/>
  <c r="C469" i="1" s="1"/>
  <c r="E197" i="1"/>
  <c r="E198" i="1"/>
  <c r="E199" i="1"/>
  <c r="C472" i="1" s="1"/>
  <c r="E200" i="1"/>
  <c r="E201" i="1"/>
  <c r="F13" i="6" s="1"/>
  <c r="E202" i="1"/>
  <c r="C474" i="1" s="1"/>
  <c r="E203" i="1"/>
  <c r="C475" i="1" s="1"/>
  <c r="D204" i="1"/>
  <c r="B204" i="1"/>
  <c r="C16" i="6" s="1"/>
  <c r="D190" i="1"/>
  <c r="D437" i="1" s="1"/>
  <c r="D186" i="1"/>
  <c r="D181" i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E141" i="1"/>
  <c r="D463" i="1" s="1"/>
  <c r="E140" i="1"/>
  <c r="D10" i="4" s="1"/>
  <c r="E139" i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C470" i="1"/>
  <c r="B470" i="1"/>
  <c r="B469" i="1"/>
  <c r="B468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C432" i="1"/>
  <c r="B438" i="1"/>
  <c r="B439" i="1"/>
  <c r="C439" i="1"/>
  <c r="C438" i="1"/>
  <c r="B437" i="1"/>
  <c r="B436" i="1"/>
  <c r="D435" i="1"/>
  <c r="B435" i="1"/>
  <c r="B434" i="1"/>
  <c r="D433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C417" i="1"/>
  <c r="B417" i="1"/>
  <c r="D415" i="1"/>
  <c r="C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A55" i="8"/>
  <c r="C55" i="8"/>
  <c r="C49" i="8"/>
  <c r="C48" i="8"/>
  <c r="C47" i="8"/>
  <c r="C46" i="8"/>
  <c r="C45" i="8"/>
  <c r="C41" i="8"/>
  <c r="C39" i="8"/>
  <c r="C38" i="8"/>
  <c r="C34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D32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E13" i="6"/>
  <c r="D13" i="6"/>
  <c r="E12" i="6"/>
  <c r="E11" i="6"/>
  <c r="D11" i="6"/>
  <c r="E10" i="6"/>
  <c r="D10" i="6"/>
  <c r="F9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436" i="1"/>
  <c r="C34" i="5"/>
  <c r="C16" i="8"/>
  <c r="G122" i="9"/>
  <c r="I26" i="9"/>
  <c r="H58" i="9"/>
  <c r="F90" i="9"/>
  <c r="D366" i="9"/>
  <c r="CE64" i="1"/>
  <c r="F612" i="1" s="1"/>
  <c r="D368" i="9"/>
  <c r="C276" i="9"/>
  <c r="CE70" i="1"/>
  <c r="C458" i="1" s="1"/>
  <c r="CE76" i="1"/>
  <c r="I380" i="9" s="1"/>
  <c r="CE77" i="1"/>
  <c r="CF77" i="1" s="1"/>
  <c r="I29" i="9"/>
  <c r="C95" i="9"/>
  <c r="CE79" i="1"/>
  <c r="J612" i="1" s="1"/>
  <c r="E142" i="1"/>
  <c r="F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8" i="4"/>
  <c r="F24" i="6"/>
  <c r="CD71" i="1"/>
  <c r="E373" i="9" s="1"/>
  <c r="C615" i="1"/>
  <c r="E372" i="9"/>
  <c r="AL48" i="1"/>
  <c r="AL62" i="1" s="1"/>
  <c r="B441" i="1"/>
  <c r="C141" i="8"/>
  <c r="F499" i="1"/>
  <c r="F517" i="1"/>
  <c r="H517" i="1"/>
  <c r="H501" i="1"/>
  <c r="F501" i="1"/>
  <c r="F497" i="1"/>
  <c r="H497" i="1"/>
  <c r="H499" i="1"/>
  <c r="BB48" i="1" l="1"/>
  <c r="BB62" i="1" s="1"/>
  <c r="BS48" i="1"/>
  <c r="BS62" i="1" s="1"/>
  <c r="H300" i="9" s="1"/>
  <c r="C421" i="1"/>
  <c r="C473" i="1"/>
  <c r="I381" i="9"/>
  <c r="BR48" i="1"/>
  <c r="BR62" i="1" s="1"/>
  <c r="I363" i="9"/>
  <c r="D612" i="1"/>
  <c r="AY48" i="1"/>
  <c r="AY62" i="1" s="1"/>
  <c r="AG48" i="1"/>
  <c r="AG62" i="1" s="1"/>
  <c r="N48" i="1"/>
  <c r="N62" i="1" s="1"/>
  <c r="AK48" i="1"/>
  <c r="AK62" i="1" s="1"/>
  <c r="D5" i="7"/>
  <c r="V48" i="1"/>
  <c r="V62" i="1" s="1"/>
  <c r="AP48" i="1"/>
  <c r="AP62" i="1" s="1"/>
  <c r="BF48" i="1"/>
  <c r="BF62" i="1" s="1"/>
  <c r="BV48" i="1"/>
  <c r="BV62" i="1" s="1"/>
  <c r="BO48" i="1"/>
  <c r="BO62" i="1" s="1"/>
  <c r="D300" i="9" s="1"/>
  <c r="AW48" i="1"/>
  <c r="AW62" i="1" s="1"/>
  <c r="BQ48" i="1"/>
  <c r="BQ62" i="1" s="1"/>
  <c r="F300" i="9" s="1"/>
  <c r="BI48" i="1"/>
  <c r="BI62" i="1" s="1"/>
  <c r="E268" i="9" s="1"/>
  <c r="AC48" i="1"/>
  <c r="AC62" i="1" s="1"/>
  <c r="H108" i="9" s="1"/>
  <c r="H48" i="1"/>
  <c r="H62" i="1" s="1"/>
  <c r="F48" i="1"/>
  <c r="F62" i="1" s="1"/>
  <c r="AH48" i="1"/>
  <c r="AH62" i="1" s="1"/>
  <c r="AX48" i="1"/>
  <c r="AX62" i="1" s="1"/>
  <c r="BN48" i="1"/>
  <c r="BN62" i="1" s="1"/>
  <c r="AI48" i="1"/>
  <c r="AI62" i="1" s="1"/>
  <c r="Q48" i="1"/>
  <c r="Q62" i="1" s="1"/>
  <c r="E48" i="1"/>
  <c r="E62" i="1" s="1"/>
  <c r="E12" i="9" s="1"/>
  <c r="AE48" i="1"/>
  <c r="AE62" i="1" s="1"/>
  <c r="X48" i="1"/>
  <c r="X62" i="1" s="1"/>
  <c r="AD48" i="1"/>
  <c r="AD62" i="1" s="1"/>
  <c r="I108" i="9" s="1"/>
  <c r="AT48" i="1"/>
  <c r="AT62" i="1" s="1"/>
  <c r="BJ48" i="1"/>
  <c r="BJ62" i="1" s="1"/>
  <c r="BY48" i="1"/>
  <c r="BY62" i="1" s="1"/>
  <c r="G332" i="9" s="1"/>
  <c r="CB48" i="1"/>
  <c r="CB62" i="1" s="1"/>
  <c r="C364" i="9" s="1"/>
  <c r="S48" i="1"/>
  <c r="S62" i="1" s="1"/>
  <c r="CC48" i="1"/>
  <c r="CC62" i="1" s="1"/>
  <c r="BM48" i="1"/>
  <c r="BM62" i="1" s="1"/>
  <c r="I268" i="9" s="1"/>
  <c r="O48" i="1"/>
  <c r="O62" i="1" s="1"/>
  <c r="H44" i="9" s="1"/>
  <c r="BZ48" i="1"/>
  <c r="BZ62" i="1" s="1"/>
  <c r="P48" i="1"/>
  <c r="P62" i="1" s="1"/>
  <c r="C440" i="1"/>
  <c r="J48" i="1"/>
  <c r="J62" i="1" s="1"/>
  <c r="Z48" i="1"/>
  <c r="Z62" i="1" s="1"/>
  <c r="AJ48" i="1"/>
  <c r="AJ62" i="1" s="1"/>
  <c r="AR48" i="1"/>
  <c r="AR62" i="1" s="1"/>
  <c r="AZ48" i="1"/>
  <c r="AZ62" i="1" s="1"/>
  <c r="BH48" i="1"/>
  <c r="BH62" i="1" s="1"/>
  <c r="BP48" i="1"/>
  <c r="BP62" i="1" s="1"/>
  <c r="BX48" i="1"/>
  <c r="BX62" i="1" s="1"/>
  <c r="F332" i="9" s="1"/>
  <c r="C48" i="1"/>
  <c r="C62" i="1" s="1"/>
  <c r="C12" i="9" s="1"/>
  <c r="AA48" i="1"/>
  <c r="AA62" i="1" s="1"/>
  <c r="F108" i="9" s="1"/>
  <c r="BG48" i="1"/>
  <c r="BG62" i="1" s="1"/>
  <c r="C268" i="9" s="1"/>
  <c r="I48" i="1"/>
  <c r="I62" i="1" s="1"/>
  <c r="AO48" i="1"/>
  <c r="AO62" i="1" s="1"/>
  <c r="BU48" i="1"/>
  <c r="BU62" i="1" s="1"/>
  <c r="C332" i="9" s="1"/>
  <c r="BA48" i="1"/>
  <c r="BA62" i="1" s="1"/>
  <c r="D236" i="9" s="1"/>
  <c r="AM48" i="1"/>
  <c r="AM62" i="1" s="1"/>
  <c r="D172" i="9" s="1"/>
  <c r="M48" i="1"/>
  <c r="M62" i="1" s="1"/>
  <c r="G48" i="1"/>
  <c r="G62" i="1" s="1"/>
  <c r="G12" i="9" s="1"/>
  <c r="D48" i="1"/>
  <c r="D62" i="1" s="1"/>
  <c r="D12" i="9" s="1"/>
  <c r="T48" i="1"/>
  <c r="T62" i="1" s="1"/>
  <c r="F76" i="9" s="1"/>
  <c r="W48" i="1"/>
  <c r="W62" i="1" s="1"/>
  <c r="I76" i="9" s="1"/>
  <c r="R48" i="1"/>
  <c r="R62" i="1" s="1"/>
  <c r="AF48" i="1"/>
  <c r="AF62" i="1" s="1"/>
  <c r="AN48" i="1"/>
  <c r="AN62" i="1" s="1"/>
  <c r="AV48" i="1"/>
  <c r="AV62" i="1" s="1"/>
  <c r="BD48" i="1"/>
  <c r="BD62" i="1" s="1"/>
  <c r="BL48" i="1"/>
  <c r="BL62" i="1" s="1"/>
  <c r="BT48" i="1"/>
  <c r="BT62" i="1" s="1"/>
  <c r="I300" i="9" s="1"/>
  <c r="CA48" i="1"/>
  <c r="CA62" i="1" s="1"/>
  <c r="K48" i="1"/>
  <c r="K62" i="1" s="1"/>
  <c r="AQ48" i="1"/>
  <c r="AQ62" i="1" s="1"/>
  <c r="BW48" i="1"/>
  <c r="BW62" i="1" s="1"/>
  <c r="Y48" i="1"/>
  <c r="Y62" i="1" s="1"/>
  <c r="BE48" i="1"/>
  <c r="BE62" i="1" s="1"/>
  <c r="H236" i="9" s="1"/>
  <c r="U48" i="1"/>
  <c r="U62" i="1" s="1"/>
  <c r="C427" i="1"/>
  <c r="BC48" i="1"/>
  <c r="BC62" i="1" s="1"/>
  <c r="F236" i="9" s="1"/>
  <c r="AU48" i="1"/>
  <c r="AU62" i="1" s="1"/>
  <c r="L48" i="1"/>
  <c r="L62" i="1" s="1"/>
  <c r="E44" i="9" s="1"/>
  <c r="AB48" i="1"/>
  <c r="AB62" i="1" s="1"/>
  <c r="AS48" i="1"/>
  <c r="AS62" i="1" s="1"/>
  <c r="C434" i="1"/>
  <c r="I366" i="9"/>
  <c r="C464" i="1"/>
  <c r="C430" i="1"/>
  <c r="C429" i="1"/>
  <c r="H332" i="9"/>
  <c r="E76" i="9"/>
  <c r="I140" i="9"/>
  <c r="H12" i="9"/>
  <c r="D428" i="1"/>
  <c r="B440" i="1"/>
  <c r="E10" i="4"/>
  <c r="G10" i="4"/>
  <c r="C112" i="8"/>
  <c r="D368" i="1"/>
  <c r="C120" i="8" s="1"/>
  <c r="D330" i="1"/>
  <c r="C86" i="8" s="1"/>
  <c r="F8" i="6"/>
  <c r="F12" i="6"/>
  <c r="F15" i="6"/>
  <c r="F11" i="6"/>
  <c r="C33" i="8"/>
  <c r="B476" i="1"/>
  <c r="B10" i="4"/>
  <c r="C575" i="1"/>
  <c r="I372" i="9"/>
  <c r="I612" i="1"/>
  <c r="CF76" i="1"/>
  <c r="X52" i="1" s="1"/>
  <c r="X67" i="1" s="1"/>
  <c r="G612" i="1"/>
  <c r="I362" i="9"/>
  <c r="D204" i="9"/>
  <c r="C300" i="9"/>
  <c r="H76" i="9"/>
  <c r="G172" i="9"/>
  <c r="G44" i="9"/>
  <c r="C172" i="9"/>
  <c r="E236" i="9"/>
  <c r="G300" i="9"/>
  <c r="B446" i="1"/>
  <c r="D242" i="1"/>
  <c r="C418" i="1"/>
  <c r="D438" i="1"/>
  <c r="F14" i="6"/>
  <c r="C471" i="1"/>
  <c r="F10" i="6"/>
  <c r="D339" i="1"/>
  <c r="D26" i="9"/>
  <c r="CE75" i="1"/>
  <c r="G204" i="9"/>
  <c r="F7" i="6"/>
  <c r="E204" i="1"/>
  <c r="C468" i="1"/>
  <c r="I383" i="9"/>
  <c r="D22" i="7"/>
  <c r="C40" i="5"/>
  <c r="C420" i="1"/>
  <c r="B28" i="4"/>
  <c r="F186" i="9"/>
  <c r="I204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X71" i="1" l="1"/>
  <c r="C117" i="9" s="1"/>
  <c r="BO71" i="1"/>
  <c r="C560" i="1" s="1"/>
  <c r="H204" i="9"/>
  <c r="E140" i="9"/>
  <c r="AT71" i="1"/>
  <c r="C711" i="1" s="1"/>
  <c r="C108" i="9"/>
  <c r="F12" i="9"/>
  <c r="I44" i="9"/>
  <c r="C140" i="9"/>
  <c r="D364" i="9"/>
  <c r="I236" i="9"/>
  <c r="F268" i="9"/>
  <c r="D332" i="9"/>
  <c r="F140" i="9"/>
  <c r="BI71" i="1"/>
  <c r="E277" i="9" s="1"/>
  <c r="G140" i="9"/>
  <c r="C76" i="9"/>
  <c r="D268" i="9"/>
  <c r="D76" i="9"/>
  <c r="F172" i="9"/>
  <c r="H268" i="9"/>
  <c r="D140" i="9"/>
  <c r="E300" i="9"/>
  <c r="H140" i="9"/>
  <c r="G76" i="9"/>
  <c r="J71" i="1"/>
  <c r="C675" i="1" s="1"/>
  <c r="G108" i="9"/>
  <c r="D108" i="9"/>
  <c r="F204" i="9"/>
  <c r="BU71" i="1"/>
  <c r="C566" i="1" s="1"/>
  <c r="C236" i="9"/>
  <c r="E108" i="9"/>
  <c r="G236" i="9"/>
  <c r="E332" i="9"/>
  <c r="F44" i="9"/>
  <c r="C44" i="9"/>
  <c r="I332" i="9"/>
  <c r="C204" i="9"/>
  <c r="CE62" i="1"/>
  <c r="BX71" i="1"/>
  <c r="F341" i="9" s="1"/>
  <c r="I172" i="9"/>
  <c r="H172" i="9"/>
  <c r="I12" i="9"/>
  <c r="E204" i="9"/>
  <c r="E172" i="9"/>
  <c r="D44" i="9"/>
  <c r="CE48" i="1"/>
  <c r="C558" i="1"/>
  <c r="T52" i="1"/>
  <c r="T67" i="1" s="1"/>
  <c r="T71" i="1" s="1"/>
  <c r="C513" i="1" s="1"/>
  <c r="G513" i="1" s="1"/>
  <c r="C52" i="1"/>
  <c r="C67" i="1" s="1"/>
  <c r="C71" i="1" s="1"/>
  <c r="AO52" i="1"/>
  <c r="AO67" i="1" s="1"/>
  <c r="F177" i="9" s="1"/>
  <c r="D52" i="1"/>
  <c r="D67" i="1" s="1"/>
  <c r="D71" i="1" s="1"/>
  <c r="C669" i="1" s="1"/>
  <c r="F52" i="1"/>
  <c r="F67" i="1" s="1"/>
  <c r="F71" i="1" s="1"/>
  <c r="F21" i="9" s="1"/>
  <c r="P52" i="1"/>
  <c r="P67" i="1" s="1"/>
  <c r="I49" i="9" s="1"/>
  <c r="BR52" i="1"/>
  <c r="BR67" i="1" s="1"/>
  <c r="G305" i="9" s="1"/>
  <c r="AT52" i="1"/>
  <c r="AT67" i="1" s="1"/>
  <c r="D209" i="9" s="1"/>
  <c r="BX52" i="1"/>
  <c r="BX67" i="1" s="1"/>
  <c r="F337" i="9" s="1"/>
  <c r="G52" i="1"/>
  <c r="G67" i="1" s="1"/>
  <c r="G71" i="1" s="1"/>
  <c r="BV52" i="1"/>
  <c r="BV67" i="1" s="1"/>
  <c r="D337" i="9" s="1"/>
  <c r="BQ52" i="1"/>
  <c r="BQ67" i="1" s="1"/>
  <c r="BQ71" i="1" s="1"/>
  <c r="BW52" i="1"/>
  <c r="BW67" i="1" s="1"/>
  <c r="BW71" i="1" s="1"/>
  <c r="C568" i="1" s="1"/>
  <c r="AL52" i="1"/>
  <c r="AL67" i="1" s="1"/>
  <c r="BS52" i="1"/>
  <c r="BS67" i="1" s="1"/>
  <c r="BS71" i="1" s="1"/>
  <c r="M52" i="1"/>
  <c r="M67" i="1" s="1"/>
  <c r="F49" i="9" s="1"/>
  <c r="BM52" i="1"/>
  <c r="BM67" i="1" s="1"/>
  <c r="BM71" i="1" s="1"/>
  <c r="C638" i="1" s="1"/>
  <c r="BI52" i="1"/>
  <c r="BI67" i="1" s="1"/>
  <c r="BU52" i="1"/>
  <c r="BU67" i="1" s="1"/>
  <c r="C337" i="9" s="1"/>
  <c r="AA52" i="1"/>
  <c r="AA67" i="1" s="1"/>
  <c r="AA71" i="1" s="1"/>
  <c r="C520" i="1" s="1"/>
  <c r="G520" i="1" s="1"/>
  <c r="BN52" i="1"/>
  <c r="BN67" i="1" s="1"/>
  <c r="AY52" i="1"/>
  <c r="AY67" i="1" s="1"/>
  <c r="AY71" i="1" s="1"/>
  <c r="C625" i="1" s="1"/>
  <c r="BD52" i="1"/>
  <c r="BD67" i="1" s="1"/>
  <c r="BD71" i="1" s="1"/>
  <c r="K52" i="1"/>
  <c r="K67" i="1" s="1"/>
  <c r="D49" i="9" s="1"/>
  <c r="AD52" i="1"/>
  <c r="AD67" i="1" s="1"/>
  <c r="AD71" i="1" s="1"/>
  <c r="BZ52" i="1"/>
  <c r="BZ67" i="1" s="1"/>
  <c r="N52" i="1"/>
  <c r="N67" i="1" s="1"/>
  <c r="N71" i="1" s="1"/>
  <c r="AS52" i="1"/>
  <c r="AS67" i="1" s="1"/>
  <c r="C209" i="9" s="1"/>
  <c r="V52" i="1"/>
  <c r="V67" i="1" s="1"/>
  <c r="V71" i="1" s="1"/>
  <c r="CB52" i="1"/>
  <c r="CB67" i="1" s="1"/>
  <c r="AE52" i="1"/>
  <c r="AE67" i="1" s="1"/>
  <c r="C145" i="9" s="1"/>
  <c r="L52" i="1"/>
  <c r="L67" i="1" s="1"/>
  <c r="BB52" i="1"/>
  <c r="BB67" i="1" s="1"/>
  <c r="BB71" i="1" s="1"/>
  <c r="AX52" i="1"/>
  <c r="AX67" i="1" s="1"/>
  <c r="AX71" i="1" s="1"/>
  <c r="BF52" i="1"/>
  <c r="BF67" i="1" s="1"/>
  <c r="I241" i="9" s="1"/>
  <c r="BL52" i="1"/>
  <c r="BL67" i="1" s="1"/>
  <c r="BL71" i="1" s="1"/>
  <c r="C557" i="1" s="1"/>
  <c r="AU52" i="1"/>
  <c r="AU67" i="1" s="1"/>
  <c r="AU71" i="1" s="1"/>
  <c r="Y52" i="1"/>
  <c r="Y67" i="1" s="1"/>
  <c r="D113" i="9" s="1"/>
  <c r="AP52" i="1"/>
  <c r="AP67" i="1" s="1"/>
  <c r="AP71" i="1" s="1"/>
  <c r="AQ52" i="1"/>
  <c r="AQ67" i="1" s="1"/>
  <c r="AQ71" i="1" s="1"/>
  <c r="BE52" i="1"/>
  <c r="BE67" i="1" s="1"/>
  <c r="H241" i="9" s="1"/>
  <c r="AK52" i="1"/>
  <c r="AK67" i="1" s="1"/>
  <c r="AK71" i="1" s="1"/>
  <c r="C530" i="1" s="1"/>
  <c r="G530" i="1" s="1"/>
  <c r="AW52" i="1"/>
  <c r="AW67" i="1" s="1"/>
  <c r="AW71" i="1" s="1"/>
  <c r="BY52" i="1"/>
  <c r="BY67" i="1" s="1"/>
  <c r="BY71" i="1" s="1"/>
  <c r="AM52" i="1"/>
  <c r="AM67" i="1" s="1"/>
  <c r="AM71" i="1" s="1"/>
  <c r="C532" i="1" s="1"/>
  <c r="G532" i="1" s="1"/>
  <c r="BT52" i="1"/>
  <c r="BT67" i="1" s="1"/>
  <c r="BT71" i="1" s="1"/>
  <c r="C640" i="1" s="1"/>
  <c r="BO52" i="1"/>
  <c r="BO67" i="1" s="1"/>
  <c r="D305" i="9" s="1"/>
  <c r="AN52" i="1"/>
  <c r="AN67" i="1" s="1"/>
  <c r="AN71" i="1" s="1"/>
  <c r="AI52" i="1"/>
  <c r="AI67" i="1" s="1"/>
  <c r="G145" i="9" s="1"/>
  <c r="BP52" i="1"/>
  <c r="BP67" i="1" s="1"/>
  <c r="E305" i="9" s="1"/>
  <c r="J52" i="1"/>
  <c r="J67" i="1" s="1"/>
  <c r="C49" i="9" s="1"/>
  <c r="CA52" i="1"/>
  <c r="CA67" i="1" s="1"/>
  <c r="I337" i="9" s="1"/>
  <c r="AH52" i="1"/>
  <c r="AH67" i="1" s="1"/>
  <c r="F145" i="9" s="1"/>
  <c r="Z52" i="1"/>
  <c r="Z67" i="1" s="1"/>
  <c r="Z71" i="1" s="1"/>
  <c r="O52" i="1"/>
  <c r="O67" i="1" s="1"/>
  <c r="O71" i="1" s="1"/>
  <c r="W52" i="1"/>
  <c r="W67" i="1" s="1"/>
  <c r="W71" i="1" s="1"/>
  <c r="C688" i="1" s="1"/>
  <c r="C113" i="9"/>
  <c r="BK52" i="1"/>
  <c r="BK67" i="1" s="1"/>
  <c r="BH52" i="1"/>
  <c r="BH67" i="1" s="1"/>
  <c r="BH71" i="1" s="1"/>
  <c r="C553" i="1" s="1"/>
  <c r="H52" i="1"/>
  <c r="H67" i="1" s="1"/>
  <c r="H71" i="1" s="1"/>
  <c r="AB52" i="1"/>
  <c r="AB67" i="1" s="1"/>
  <c r="AB71" i="1" s="1"/>
  <c r="G117" i="9" s="1"/>
  <c r="CC52" i="1"/>
  <c r="CC67" i="1" s="1"/>
  <c r="CC71" i="1" s="1"/>
  <c r="D373" i="9" s="1"/>
  <c r="AC52" i="1"/>
  <c r="AC67" i="1" s="1"/>
  <c r="AC71" i="1" s="1"/>
  <c r="E52" i="1"/>
  <c r="E67" i="1" s="1"/>
  <c r="E71" i="1" s="1"/>
  <c r="C498" i="1" s="1"/>
  <c r="G498" i="1" s="1"/>
  <c r="AF52" i="1"/>
  <c r="AF67" i="1" s="1"/>
  <c r="AF71" i="1" s="1"/>
  <c r="AV52" i="1"/>
  <c r="AV67" i="1" s="1"/>
  <c r="AV71" i="1" s="1"/>
  <c r="R52" i="1"/>
  <c r="R67" i="1" s="1"/>
  <c r="R71" i="1" s="1"/>
  <c r="BJ52" i="1"/>
  <c r="BJ67" i="1" s="1"/>
  <c r="BJ71" i="1" s="1"/>
  <c r="U52" i="1"/>
  <c r="U67" i="1" s="1"/>
  <c r="U71" i="1" s="1"/>
  <c r="I52" i="1"/>
  <c r="I67" i="1" s="1"/>
  <c r="I71" i="1" s="1"/>
  <c r="AR52" i="1"/>
  <c r="AR67" i="1" s="1"/>
  <c r="AR71" i="1" s="1"/>
  <c r="Q52" i="1"/>
  <c r="Q67" i="1" s="1"/>
  <c r="Q71" i="1" s="1"/>
  <c r="AZ52" i="1"/>
  <c r="AZ67" i="1" s="1"/>
  <c r="AZ71" i="1" s="1"/>
  <c r="AG52" i="1"/>
  <c r="AG67" i="1" s="1"/>
  <c r="E145" i="9" s="1"/>
  <c r="BG52" i="1"/>
  <c r="BG67" i="1" s="1"/>
  <c r="BG71" i="1" s="1"/>
  <c r="C618" i="1" s="1"/>
  <c r="S52" i="1"/>
  <c r="S67" i="1" s="1"/>
  <c r="S71" i="1" s="1"/>
  <c r="E85" i="9" s="1"/>
  <c r="AJ52" i="1"/>
  <c r="AJ67" i="1" s="1"/>
  <c r="AJ71" i="1" s="1"/>
  <c r="BC52" i="1"/>
  <c r="BC67" i="1" s="1"/>
  <c r="BC71" i="1" s="1"/>
  <c r="C633" i="1" s="1"/>
  <c r="BA52" i="1"/>
  <c r="BA67" i="1" s="1"/>
  <c r="BA71" i="1" s="1"/>
  <c r="D27" i="7"/>
  <c r="B448" i="1"/>
  <c r="F544" i="1"/>
  <c r="H536" i="1"/>
  <c r="F536" i="1"/>
  <c r="F528" i="1"/>
  <c r="H528" i="1"/>
  <c r="F520" i="1"/>
  <c r="H520" i="1"/>
  <c r="D341" i="1"/>
  <c r="C481" i="1" s="1"/>
  <c r="C50" i="8"/>
  <c r="C627" i="1"/>
  <c r="F81" i="9"/>
  <c r="C522" i="1"/>
  <c r="G522" i="1" s="1"/>
  <c r="C694" i="1"/>
  <c r="H117" i="9"/>
  <c r="I378" i="9"/>
  <c r="K612" i="1"/>
  <c r="C465" i="1"/>
  <c r="C126" i="8"/>
  <c r="D391" i="1"/>
  <c r="F32" i="6"/>
  <c r="C478" i="1"/>
  <c r="C102" i="8"/>
  <c r="C482" i="1"/>
  <c r="C687" i="1"/>
  <c r="C515" i="1"/>
  <c r="H85" i="9"/>
  <c r="F498" i="1"/>
  <c r="C501" i="1"/>
  <c r="G501" i="1" s="1"/>
  <c r="H21" i="9"/>
  <c r="C673" i="1"/>
  <c r="G209" i="9"/>
  <c r="C476" i="1"/>
  <c r="F16" i="6"/>
  <c r="C672" i="1"/>
  <c r="C500" i="1"/>
  <c r="G500" i="1" s="1"/>
  <c r="G21" i="9"/>
  <c r="H53" i="9"/>
  <c r="C680" i="1"/>
  <c r="C508" i="1"/>
  <c r="G508" i="1" s="1"/>
  <c r="E245" i="9"/>
  <c r="C632" i="1"/>
  <c r="C547" i="1"/>
  <c r="F516" i="1"/>
  <c r="H516" i="1"/>
  <c r="C535" i="1"/>
  <c r="G535" i="1" s="1"/>
  <c r="C707" i="1"/>
  <c r="G181" i="9"/>
  <c r="F540" i="1"/>
  <c r="H540" i="1"/>
  <c r="F532" i="1"/>
  <c r="H532" i="1"/>
  <c r="F524" i="1"/>
  <c r="F550" i="1"/>
  <c r="F17" i="9"/>
  <c r="G53" i="9"/>
  <c r="C507" i="1"/>
  <c r="G507" i="1" s="1"/>
  <c r="C679" i="1"/>
  <c r="I181" i="9" l="1"/>
  <c r="C709" i="1"/>
  <c r="C537" i="1"/>
  <c r="G537" i="1" s="1"/>
  <c r="C624" i="1"/>
  <c r="C549" i="1"/>
  <c r="G245" i="9"/>
  <c r="C639" i="1"/>
  <c r="C564" i="1"/>
  <c r="H309" i="9"/>
  <c r="C705" i="1"/>
  <c r="E181" i="9"/>
  <c r="C533" i="1"/>
  <c r="G533" i="1" s="1"/>
  <c r="C529" i="1"/>
  <c r="G529" i="1" s="1"/>
  <c r="C701" i="1"/>
  <c r="H149" i="9"/>
  <c r="C502" i="1"/>
  <c r="G502" i="1" s="1"/>
  <c r="I21" i="9"/>
  <c r="C674" i="1"/>
  <c r="G85" i="9"/>
  <c r="C514" i="1"/>
  <c r="G514" i="1" s="1"/>
  <c r="C686" i="1"/>
  <c r="C555" i="1"/>
  <c r="C617" i="1"/>
  <c r="F277" i="9"/>
  <c r="C570" i="1"/>
  <c r="G341" i="9"/>
  <c r="F309" i="9"/>
  <c r="C562" i="1"/>
  <c r="C623" i="1"/>
  <c r="C510" i="1"/>
  <c r="G510" i="1" s="1"/>
  <c r="C85" i="9"/>
  <c r="C682" i="1"/>
  <c r="C511" i="1"/>
  <c r="G511" i="1" s="1"/>
  <c r="H511" i="1" s="1"/>
  <c r="C683" i="1"/>
  <c r="D85" i="9"/>
  <c r="G213" i="9"/>
  <c r="C542" i="1"/>
  <c r="C631" i="1"/>
  <c r="C519" i="1"/>
  <c r="G519" i="1" s="1"/>
  <c r="C691" i="1"/>
  <c r="E117" i="9"/>
  <c r="C540" i="1"/>
  <c r="G540" i="1" s="1"/>
  <c r="C712" i="1"/>
  <c r="E213" i="9"/>
  <c r="C541" i="1"/>
  <c r="C713" i="1"/>
  <c r="F213" i="9"/>
  <c r="C616" i="1"/>
  <c r="C543" i="1"/>
  <c r="H213" i="9"/>
  <c r="C536" i="1"/>
  <c r="G536" i="1" s="1"/>
  <c r="H181" i="9"/>
  <c r="C630" i="1"/>
  <c r="D245" i="9"/>
  <c r="C545" i="1"/>
  <c r="G545" i="1" s="1"/>
  <c r="C628" i="1"/>
  <c r="C245" i="9"/>
  <c r="D149" i="9"/>
  <c r="C525" i="1"/>
  <c r="G525" i="1" s="1"/>
  <c r="C697" i="1"/>
  <c r="C695" i="1"/>
  <c r="I117" i="9"/>
  <c r="C523" i="1"/>
  <c r="G523" i="1" s="1"/>
  <c r="C369" i="9"/>
  <c r="CB71" i="1"/>
  <c r="D309" i="9"/>
  <c r="C305" i="9"/>
  <c r="BN71" i="1"/>
  <c r="AI71" i="1"/>
  <c r="BF71" i="1"/>
  <c r="I277" i="9"/>
  <c r="G273" i="9"/>
  <c r="BK71" i="1"/>
  <c r="C702" i="1"/>
  <c r="C684" i="1"/>
  <c r="BE71" i="1"/>
  <c r="H245" i="9" s="1"/>
  <c r="AH71" i="1"/>
  <c r="I213" i="9"/>
  <c r="D213" i="9"/>
  <c r="H337" i="9"/>
  <c r="BZ71" i="1"/>
  <c r="I149" i="9"/>
  <c r="AS71" i="1"/>
  <c r="C710" i="1" s="1"/>
  <c r="BV71" i="1"/>
  <c r="C642" i="1" s="1"/>
  <c r="P71" i="1"/>
  <c r="BP71" i="1"/>
  <c r="Y71" i="1"/>
  <c r="C554" i="1"/>
  <c r="AE71" i="1"/>
  <c r="BR71" i="1"/>
  <c r="C512" i="1"/>
  <c r="G512" i="1" s="1"/>
  <c r="K71" i="1"/>
  <c r="D53" i="9" s="1"/>
  <c r="M71" i="1"/>
  <c r="C506" i="1" s="1"/>
  <c r="G506" i="1" s="1"/>
  <c r="C689" i="1"/>
  <c r="AO71" i="1"/>
  <c r="AG71" i="1"/>
  <c r="C177" i="9"/>
  <c r="AL71" i="1"/>
  <c r="C544" i="1"/>
  <c r="G544" i="1" s="1"/>
  <c r="C539" i="1"/>
  <c r="G539" i="1" s="1"/>
  <c r="C634" i="1"/>
  <c r="C517" i="1"/>
  <c r="G517" i="1" s="1"/>
  <c r="CA71" i="1"/>
  <c r="C670" i="1"/>
  <c r="E21" i="9"/>
  <c r="L71" i="1"/>
  <c r="C677" i="1" s="1"/>
  <c r="C645" i="1"/>
  <c r="C499" i="1"/>
  <c r="G499" i="1" s="1"/>
  <c r="C671" i="1"/>
  <c r="C574" i="1"/>
  <c r="C567" i="1"/>
  <c r="D341" i="9"/>
  <c r="C620" i="1"/>
  <c r="C516" i="1"/>
  <c r="G516" i="1" s="1"/>
  <c r="H277" i="9"/>
  <c r="C213" i="9"/>
  <c r="C546" i="1"/>
  <c r="G546" i="1" s="1"/>
  <c r="C637" i="1"/>
  <c r="C550" i="1"/>
  <c r="G550" i="1" s="1"/>
  <c r="I85" i="9"/>
  <c r="C708" i="1"/>
  <c r="C497" i="1"/>
  <c r="G497" i="1" s="1"/>
  <c r="C538" i="1"/>
  <c r="G538" i="1" s="1"/>
  <c r="C614" i="1"/>
  <c r="D615" i="1" s="1"/>
  <c r="D687" i="1" s="1"/>
  <c r="F85" i="9"/>
  <c r="C53" i="9"/>
  <c r="F245" i="9"/>
  <c r="E341" i="9"/>
  <c r="C643" i="1"/>
  <c r="C503" i="1"/>
  <c r="G503" i="1" s="1"/>
  <c r="I364" i="9"/>
  <c r="C678" i="1"/>
  <c r="C692" i="1"/>
  <c r="F117" i="9"/>
  <c r="C428" i="1"/>
  <c r="C693" i="1"/>
  <c r="C569" i="1"/>
  <c r="C521" i="1"/>
  <c r="G521" i="1" s="1"/>
  <c r="D277" i="9"/>
  <c r="D21" i="9"/>
  <c r="C548" i="1"/>
  <c r="C341" i="9"/>
  <c r="C641" i="1"/>
  <c r="C636" i="1"/>
  <c r="D181" i="9"/>
  <c r="C704" i="1"/>
  <c r="C685" i="1"/>
  <c r="C552" i="1"/>
  <c r="I309" i="9"/>
  <c r="C565" i="1"/>
  <c r="C496" i="1"/>
  <c r="G496" i="1" s="1"/>
  <c r="C668" i="1"/>
  <c r="C21" i="9"/>
  <c r="C277" i="9"/>
  <c r="C504" i="1"/>
  <c r="G504" i="1" s="1"/>
  <c r="C644" i="1"/>
  <c r="C676" i="1"/>
  <c r="G17" i="9"/>
  <c r="H49" i="9"/>
  <c r="C17" i="9"/>
  <c r="D17" i="9"/>
  <c r="G241" i="9"/>
  <c r="D177" i="9"/>
  <c r="D646" i="1"/>
  <c r="H273" i="9"/>
  <c r="E337" i="9"/>
  <c r="H177" i="9"/>
  <c r="G49" i="9"/>
  <c r="I273" i="9"/>
  <c r="G177" i="9"/>
  <c r="I209" i="9"/>
  <c r="D637" i="1"/>
  <c r="F305" i="9"/>
  <c r="D642" i="1"/>
  <c r="F113" i="9"/>
  <c r="I113" i="9"/>
  <c r="H81" i="9"/>
  <c r="E209" i="9"/>
  <c r="C273" i="9"/>
  <c r="E49" i="9"/>
  <c r="H209" i="9"/>
  <c r="D672" i="1"/>
  <c r="H305" i="9"/>
  <c r="I145" i="9"/>
  <c r="D636" i="1"/>
  <c r="I305" i="9"/>
  <c r="E273" i="9"/>
  <c r="E113" i="9"/>
  <c r="E241" i="9"/>
  <c r="G337" i="9"/>
  <c r="E177" i="9"/>
  <c r="D689" i="1"/>
  <c r="D632" i="1"/>
  <c r="D627" i="1"/>
  <c r="I81" i="9"/>
  <c r="D701" i="1"/>
  <c r="D708" i="1"/>
  <c r="D633" i="1"/>
  <c r="D681" i="1"/>
  <c r="D624" i="1"/>
  <c r="D709" i="1"/>
  <c r="D674" i="1"/>
  <c r="D676" i="1"/>
  <c r="D630" i="1"/>
  <c r="D705" i="1"/>
  <c r="D623" i="1"/>
  <c r="D645" i="1"/>
  <c r="D273" i="9"/>
  <c r="CE52" i="1"/>
  <c r="H145" i="9"/>
  <c r="I177" i="9"/>
  <c r="D81" i="9"/>
  <c r="CE67" i="1"/>
  <c r="CE71" i="1" s="1"/>
  <c r="E81" i="9"/>
  <c r="I17" i="9"/>
  <c r="F209" i="9"/>
  <c r="D369" i="9"/>
  <c r="D241" i="9"/>
  <c r="C241" i="9"/>
  <c r="G81" i="9"/>
  <c r="D145" i="9"/>
  <c r="G113" i="9"/>
  <c r="H113" i="9"/>
  <c r="F241" i="9"/>
  <c r="C81" i="9"/>
  <c r="F273" i="9"/>
  <c r="E17" i="9"/>
  <c r="H17" i="9"/>
  <c r="G515" i="1"/>
  <c r="H515" i="1"/>
  <c r="H498" i="1"/>
  <c r="H544" i="1"/>
  <c r="F522" i="1"/>
  <c r="H522" i="1" s="1"/>
  <c r="F510" i="1"/>
  <c r="H510" i="1"/>
  <c r="F513" i="1"/>
  <c r="H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H512" i="1"/>
  <c r="F526" i="1"/>
  <c r="F503" i="1"/>
  <c r="F508" i="1"/>
  <c r="H508" i="1" s="1"/>
  <c r="F514" i="1"/>
  <c r="H514" i="1"/>
  <c r="H507" i="1"/>
  <c r="F507" i="1"/>
  <c r="F518" i="1"/>
  <c r="F546" i="1"/>
  <c r="F506" i="1"/>
  <c r="H506" i="1"/>
  <c r="H500" i="1"/>
  <c r="F500" i="1"/>
  <c r="F509" i="1"/>
  <c r="C572" i="1" l="1"/>
  <c r="C647" i="1"/>
  <c r="I341" i="9"/>
  <c r="F181" i="9"/>
  <c r="C534" i="1"/>
  <c r="G534" i="1" s="1"/>
  <c r="C706" i="1"/>
  <c r="C690" i="1"/>
  <c r="C518" i="1"/>
  <c r="D117" i="9"/>
  <c r="C621" i="1"/>
  <c r="C715" i="1" s="1"/>
  <c r="C561" i="1"/>
  <c r="E309" i="9"/>
  <c r="C551" i="1"/>
  <c r="I245" i="9"/>
  <c r="C629" i="1"/>
  <c r="I53" i="9"/>
  <c r="C681" i="1"/>
  <c r="C509" i="1"/>
  <c r="C699" i="1"/>
  <c r="C527" i="1"/>
  <c r="G527" i="1" s="1"/>
  <c r="F149" i="9"/>
  <c r="G149" i="9"/>
  <c r="C528" i="1"/>
  <c r="G528" i="1" s="1"/>
  <c r="C700" i="1"/>
  <c r="C309" i="9"/>
  <c r="C559" i="1"/>
  <c r="C619" i="1"/>
  <c r="C698" i="1"/>
  <c r="C526" i="1"/>
  <c r="E149" i="9"/>
  <c r="C181" i="9"/>
  <c r="C703" i="1"/>
  <c r="C531" i="1"/>
  <c r="G531" i="1" s="1"/>
  <c r="C563" i="1"/>
  <c r="G309" i="9"/>
  <c r="C626" i="1"/>
  <c r="F53" i="9"/>
  <c r="C524" i="1"/>
  <c r="C149" i="9"/>
  <c r="C696" i="1"/>
  <c r="C571" i="1"/>
  <c r="C646" i="1"/>
  <c r="H341" i="9"/>
  <c r="G277" i="9"/>
  <c r="C556" i="1"/>
  <c r="C635" i="1"/>
  <c r="C648" i="1" s="1"/>
  <c r="M716" i="1" s="1"/>
  <c r="C373" i="9"/>
  <c r="C573" i="1"/>
  <c r="C622" i="1"/>
  <c r="C505" i="1"/>
  <c r="E53" i="9"/>
  <c r="C716" i="1"/>
  <c r="I373" i="9"/>
  <c r="C433" i="1"/>
  <c r="C441" i="1" s="1"/>
  <c r="H503" i="1"/>
  <c r="D622" i="1"/>
  <c r="D699" i="1"/>
  <c r="D670" i="1"/>
  <c r="D629" i="1"/>
  <c r="D707" i="1"/>
  <c r="D710" i="1"/>
  <c r="D641" i="1"/>
  <c r="D712" i="1"/>
  <c r="D697" i="1"/>
  <c r="D703" i="1"/>
  <c r="D696" i="1"/>
  <c r="D639" i="1"/>
  <c r="D631" i="1"/>
  <c r="D668" i="1"/>
  <c r="D621" i="1"/>
  <c r="D669" i="1"/>
  <c r="D694" i="1"/>
  <c r="D619" i="1"/>
  <c r="D688" i="1"/>
  <c r="D644" i="1"/>
  <c r="D704" i="1"/>
  <c r="D628" i="1"/>
  <c r="D711" i="1"/>
  <c r="D706" i="1"/>
  <c r="D684" i="1"/>
  <c r="D638" i="1"/>
  <c r="D695" i="1"/>
  <c r="D698" i="1"/>
  <c r="D626" i="1"/>
  <c r="D685" i="1"/>
  <c r="D640" i="1"/>
  <c r="D618" i="1"/>
  <c r="D634" i="1"/>
  <c r="D713" i="1"/>
  <c r="D691" i="1"/>
  <c r="D647" i="1"/>
  <c r="D677" i="1"/>
  <c r="D683" i="1"/>
  <c r="D616" i="1"/>
  <c r="H546" i="1"/>
  <c r="D692" i="1"/>
  <c r="D700" i="1"/>
  <c r="D686" i="1"/>
  <c r="D675" i="1"/>
  <c r="D682" i="1"/>
  <c r="D671" i="1"/>
  <c r="D643" i="1"/>
  <c r="D702" i="1"/>
  <c r="D678" i="1"/>
  <c r="D617" i="1"/>
  <c r="D673" i="1"/>
  <c r="D679" i="1"/>
  <c r="D635" i="1"/>
  <c r="D716" i="1"/>
  <c r="D625" i="1"/>
  <c r="D690" i="1"/>
  <c r="D680" i="1"/>
  <c r="D693" i="1"/>
  <c r="D620" i="1"/>
  <c r="H550" i="1"/>
  <c r="H496" i="1"/>
  <c r="G505" i="1"/>
  <c r="H505" i="1" s="1"/>
  <c r="I369" i="9"/>
  <c r="H545" i="1"/>
  <c r="F545" i="1"/>
  <c r="H525" i="1"/>
  <c r="F525" i="1"/>
  <c r="H529" i="1"/>
  <c r="F529" i="1"/>
  <c r="C146" i="8"/>
  <c r="D396" i="1"/>
  <c r="C151" i="8" s="1"/>
  <c r="F521" i="1"/>
  <c r="H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H531" i="1"/>
  <c r="G526" i="1" l="1"/>
  <c r="H526" i="1"/>
  <c r="G518" i="1"/>
  <c r="H518" i="1"/>
  <c r="G524" i="1"/>
  <c r="H524" i="1" s="1"/>
  <c r="G509" i="1"/>
  <c r="H509" i="1" s="1"/>
  <c r="E612" i="1"/>
  <c r="D715" i="1"/>
  <c r="E623" i="1"/>
  <c r="E716" i="1" s="1"/>
  <c r="E698" i="1" l="1"/>
  <c r="E692" i="1"/>
  <c r="E688" i="1"/>
  <c r="E694" i="1"/>
  <c r="E697" i="1"/>
  <c r="E673" i="1"/>
  <c r="E701" i="1"/>
  <c r="E668" i="1"/>
  <c r="E709" i="1"/>
  <c r="E696" i="1"/>
  <c r="E691" i="1"/>
  <c r="E712" i="1"/>
  <c r="E713" i="1"/>
  <c r="E684" i="1"/>
  <c r="E677" i="1"/>
  <c r="E671" i="1"/>
  <c r="E646" i="1"/>
  <c r="E639" i="1"/>
  <c r="E629" i="1"/>
  <c r="E632" i="1"/>
  <c r="E695" i="1"/>
  <c r="E680" i="1"/>
  <c r="E675" i="1"/>
  <c r="E681" i="1"/>
  <c r="E626" i="1"/>
  <c r="E707" i="1"/>
  <c r="E643" i="1"/>
  <c r="E678" i="1"/>
  <c r="E624" i="1"/>
  <c r="F624" i="1" s="1"/>
  <c r="E630" i="1"/>
  <c r="E693" i="1"/>
  <c r="E703" i="1"/>
  <c r="E670" i="1"/>
  <c r="E687" i="1"/>
  <c r="E686" i="1"/>
  <c r="E705" i="1"/>
  <c r="E710" i="1"/>
  <c r="E640" i="1"/>
  <c r="E642" i="1"/>
  <c r="E631" i="1"/>
  <c r="E679" i="1"/>
  <c r="E633" i="1"/>
  <c r="E628" i="1"/>
  <c r="E636" i="1"/>
  <c r="E702" i="1"/>
  <c r="E669" i="1"/>
  <c r="E683" i="1"/>
  <c r="E647" i="1"/>
  <c r="E641" i="1"/>
  <c r="E635" i="1"/>
  <c r="E627" i="1"/>
  <c r="E711" i="1"/>
  <c r="E645" i="1"/>
  <c r="E700" i="1"/>
  <c r="E706" i="1"/>
  <c r="E704" i="1"/>
  <c r="E638" i="1"/>
  <c r="E674" i="1"/>
  <c r="E685" i="1"/>
  <c r="E689" i="1"/>
  <c r="E676" i="1"/>
  <c r="E634" i="1"/>
  <c r="E637" i="1"/>
  <c r="E699" i="1"/>
  <c r="E672" i="1"/>
  <c r="E682" i="1"/>
  <c r="E625" i="1"/>
  <c r="E690" i="1"/>
  <c r="E644" i="1"/>
  <c r="E708" i="1"/>
  <c r="E715" i="1" l="1"/>
  <c r="F636" i="1"/>
  <c r="F690" i="1"/>
  <c r="F645" i="1"/>
  <c r="F672" i="1"/>
  <c r="F695" i="1"/>
  <c r="F711" i="1"/>
  <c r="F634" i="1"/>
  <c r="F676" i="1"/>
  <c r="F704" i="1"/>
  <c r="F625" i="1"/>
  <c r="F688" i="1"/>
  <c r="F707" i="1"/>
  <c r="F691" i="1"/>
  <c r="F706" i="1"/>
  <c r="F697" i="1"/>
  <c r="F702" i="1"/>
  <c r="F705" i="1"/>
  <c r="F680" i="1"/>
  <c r="F631" i="1"/>
  <c r="F709" i="1"/>
  <c r="F683" i="1"/>
  <c r="F629" i="1"/>
  <c r="F626" i="1"/>
  <c r="F689" i="1"/>
  <c r="F712" i="1"/>
  <c r="F698" i="1"/>
  <c r="F684" i="1"/>
  <c r="F693" i="1"/>
  <c r="F641" i="1"/>
  <c r="F692" i="1"/>
  <c r="F638" i="1"/>
  <c r="F677" i="1"/>
  <c r="F710" i="1"/>
  <c r="F696" i="1"/>
  <c r="F640" i="1"/>
  <c r="F646" i="1"/>
  <c r="F639" i="1"/>
  <c r="F675" i="1"/>
  <c r="F674" i="1"/>
  <c r="F700" i="1"/>
  <c r="F668" i="1"/>
  <c r="F669" i="1"/>
  <c r="F685" i="1"/>
  <c r="F703" i="1"/>
  <c r="F686" i="1"/>
  <c r="F642" i="1"/>
  <c r="F635" i="1"/>
  <c r="F687" i="1"/>
  <c r="F632" i="1"/>
  <c r="F633" i="1"/>
  <c r="F630" i="1"/>
  <c r="F627" i="1"/>
  <c r="F701" i="1"/>
  <c r="F708" i="1"/>
  <c r="F679" i="1"/>
  <c r="F682" i="1"/>
  <c r="F713" i="1"/>
  <c r="F678" i="1"/>
  <c r="F671" i="1"/>
  <c r="F644" i="1"/>
  <c r="F628" i="1"/>
  <c r="F673" i="1"/>
  <c r="F699" i="1"/>
  <c r="F681" i="1"/>
  <c r="F716" i="1"/>
  <c r="F637" i="1"/>
  <c r="F694" i="1"/>
  <c r="F670" i="1"/>
  <c r="F643" i="1"/>
  <c r="F647" i="1"/>
  <c r="F715" i="1" l="1"/>
  <c r="G625" i="1"/>
  <c r="G712" i="1" l="1"/>
  <c r="G679" i="1"/>
  <c r="G642" i="1"/>
  <c r="G680" i="1"/>
  <c r="G693" i="1"/>
  <c r="G670" i="1"/>
  <c r="G630" i="1"/>
  <c r="G698" i="1"/>
  <c r="G691" i="1"/>
  <c r="G631" i="1"/>
  <c r="G673" i="1"/>
  <c r="G703" i="1"/>
  <c r="G692" i="1"/>
  <c r="G701" i="1"/>
  <c r="G677" i="1"/>
  <c r="G627" i="1"/>
  <c r="G683" i="1"/>
  <c r="G647" i="1"/>
  <c r="G668" i="1"/>
  <c r="G684" i="1"/>
  <c r="G675" i="1"/>
  <c r="G637" i="1"/>
  <c r="G704" i="1"/>
  <c r="G678" i="1"/>
  <c r="G635" i="1"/>
  <c r="G685" i="1"/>
  <c r="G713" i="1"/>
  <c r="G716" i="1"/>
  <c r="G643" i="1"/>
  <c r="G633" i="1"/>
  <c r="G641" i="1"/>
  <c r="G697" i="1"/>
  <c r="G708" i="1"/>
  <c r="G699" i="1"/>
  <c r="G688" i="1"/>
  <c r="G644" i="1"/>
  <c r="G711" i="1"/>
  <c r="G638" i="1"/>
  <c r="G690" i="1"/>
  <c r="G702" i="1"/>
  <c r="G695" i="1"/>
  <c r="G669" i="1"/>
  <c r="G710" i="1"/>
  <c r="G645" i="1"/>
  <c r="G646" i="1"/>
  <c r="G640" i="1"/>
  <c r="G636" i="1"/>
  <c r="G626" i="1"/>
  <c r="G634" i="1"/>
  <c r="G689" i="1"/>
  <c r="G706" i="1"/>
  <c r="G628" i="1"/>
  <c r="G696" i="1"/>
  <c r="G705" i="1"/>
  <c r="G671" i="1"/>
  <c r="G681" i="1"/>
  <c r="G676" i="1"/>
  <c r="G707" i="1"/>
  <c r="G709" i="1"/>
  <c r="G687" i="1"/>
  <c r="G682" i="1"/>
  <c r="G672" i="1"/>
  <c r="G639" i="1"/>
  <c r="G694" i="1"/>
  <c r="G674" i="1"/>
  <c r="G632" i="1"/>
  <c r="G686" i="1"/>
  <c r="G629" i="1"/>
  <c r="G700" i="1"/>
  <c r="H628" i="1" l="1"/>
  <c r="H672" i="1" s="1"/>
  <c r="G715" i="1"/>
  <c r="H711" i="1"/>
  <c r="H631" i="1"/>
  <c r="H710" i="1"/>
  <c r="H713" i="1"/>
  <c r="H641" i="1"/>
  <c r="H642" i="1"/>
  <c r="H671" i="1"/>
  <c r="H684" i="1"/>
  <c r="H705" i="1"/>
  <c r="H690" i="1"/>
  <c r="H695" i="1"/>
  <c r="H704" i="1"/>
  <c r="H635" i="1"/>
  <c r="H643" i="1"/>
  <c r="H683" i="1"/>
  <c r="H712" i="1"/>
  <c r="H685" i="1"/>
  <c r="H638" i="1"/>
  <c r="H703" i="1"/>
  <c r="H701" i="1"/>
  <c r="H670" i="1"/>
  <c r="H629" i="1"/>
  <c r="H709" i="1"/>
  <c r="H645" i="1"/>
  <c r="H678" i="1"/>
  <c r="H680" i="1"/>
  <c r="H698" i="1"/>
  <c r="H682" i="1"/>
  <c r="H681" i="1"/>
  <c r="H679" i="1"/>
  <c r="H708" i="1"/>
  <c r="H693" i="1"/>
  <c r="H632" i="1"/>
  <c r="H692" i="1"/>
  <c r="H716" i="1"/>
  <c r="H668" i="1"/>
  <c r="H640" i="1"/>
  <c r="H700" i="1"/>
  <c r="H646" i="1"/>
  <c r="H677" i="1"/>
  <c r="H633" i="1"/>
  <c r="H707" i="1"/>
  <c r="H647" i="1"/>
  <c r="H706" i="1"/>
  <c r="H634" i="1" l="1"/>
  <c r="H630" i="1"/>
  <c r="H669" i="1"/>
  <c r="H676" i="1"/>
  <c r="H686" i="1"/>
  <c r="H689" i="1"/>
  <c r="H636" i="1"/>
  <c r="H644" i="1"/>
  <c r="H699" i="1"/>
  <c r="H675" i="1"/>
  <c r="H673" i="1"/>
  <c r="H637" i="1"/>
  <c r="H696" i="1"/>
  <c r="H691" i="1"/>
  <c r="H674" i="1"/>
  <c r="H687" i="1"/>
  <c r="H702" i="1"/>
  <c r="H694" i="1"/>
  <c r="H688" i="1"/>
  <c r="H697" i="1"/>
  <c r="H639" i="1"/>
  <c r="I629" i="1"/>
  <c r="H715" i="1" l="1"/>
  <c r="I646" i="1"/>
  <c r="I700" i="1"/>
  <c r="I685" i="1"/>
  <c r="I699" i="1"/>
  <c r="I675" i="1"/>
  <c r="I691" i="1"/>
  <c r="I690" i="1"/>
  <c r="I688" i="1"/>
  <c r="I686" i="1"/>
  <c r="I698" i="1"/>
  <c r="I639" i="1"/>
  <c r="I635" i="1"/>
  <c r="I668" i="1"/>
  <c r="I696" i="1"/>
  <c r="I703" i="1"/>
  <c r="I644" i="1"/>
  <c r="I682" i="1"/>
  <c r="I680" i="1"/>
  <c r="I687" i="1"/>
  <c r="I695" i="1"/>
  <c r="I710" i="1"/>
  <c r="I713" i="1"/>
  <c r="I671" i="1"/>
  <c r="I643" i="1"/>
  <c r="I706" i="1"/>
  <c r="I645" i="1"/>
  <c r="I670" i="1"/>
  <c r="I642" i="1"/>
  <c r="I681" i="1"/>
  <c r="I684" i="1"/>
  <c r="I711" i="1"/>
  <c r="I701" i="1"/>
  <c r="I709" i="1"/>
  <c r="I634" i="1"/>
  <c r="I630" i="1"/>
  <c r="I693" i="1"/>
  <c r="I669" i="1"/>
  <c r="I689" i="1"/>
  <c r="I631" i="1"/>
  <c r="I636" i="1"/>
  <c r="I716" i="1"/>
  <c r="I677" i="1"/>
  <c r="I683" i="1"/>
  <c r="I697" i="1"/>
  <c r="I704" i="1"/>
  <c r="I702" i="1"/>
  <c r="I708" i="1"/>
  <c r="I673" i="1"/>
  <c r="I705" i="1"/>
  <c r="I641" i="1"/>
  <c r="I678" i="1"/>
  <c r="I633" i="1"/>
  <c r="I637" i="1"/>
  <c r="I692" i="1"/>
  <c r="I647" i="1"/>
  <c r="I676" i="1"/>
  <c r="I672" i="1"/>
  <c r="I640" i="1"/>
  <c r="I712" i="1"/>
  <c r="I679" i="1"/>
  <c r="I638" i="1"/>
  <c r="I632" i="1"/>
  <c r="I674" i="1"/>
  <c r="I694" i="1"/>
  <c r="I707" i="1"/>
  <c r="I715" i="1" l="1"/>
  <c r="J630" i="1"/>
  <c r="J693" i="1" l="1"/>
  <c r="J633" i="1"/>
  <c r="J690" i="1"/>
  <c r="J687" i="1"/>
  <c r="J713" i="1"/>
  <c r="J642" i="1"/>
  <c r="J637" i="1"/>
  <c r="J631" i="1"/>
  <c r="J683" i="1"/>
  <c r="J696" i="1"/>
  <c r="J669" i="1"/>
  <c r="J641" i="1"/>
  <c r="J691" i="1"/>
  <c r="J675" i="1"/>
  <c r="J647" i="1"/>
  <c r="J712" i="1"/>
  <c r="J674" i="1"/>
  <c r="J668" i="1"/>
  <c r="J681" i="1"/>
  <c r="J671" i="1"/>
  <c r="J689" i="1"/>
  <c r="J676" i="1"/>
  <c r="J708" i="1"/>
  <c r="J632" i="1"/>
  <c r="J695" i="1"/>
  <c r="J673" i="1"/>
  <c r="J710" i="1"/>
  <c r="J698" i="1"/>
  <c r="J677" i="1"/>
  <c r="J645" i="1"/>
  <c r="J634" i="1"/>
  <c r="J704" i="1"/>
  <c r="J686" i="1"/>
  <c r="J709" i="1"/>
  <c r="J711" i="1"/>
  <c r="J680" i="1"/>
  <c r="J643" i="1"/>
  <c r="J685" i="1"/>
  <c r="J644" i="1"/>
  <c r="J636" i="1"/>
  <c r="J640" i="1"/>
  <c r="J694" i="1"/>
  <c r="J678" i="1"/>
  <c r="J705" i="1"/>
  <c r="J635" i="1"/>
  <c r="J697" i="1"/>
  <c r="J670" i="1"/>
  <c r="J702" i="1"/>
  <c r="J706" i="1"/>
  <c r="J703" i="1"/>
  <c r="J679" i="1"/>
  <c r="J699" i="1"/>
  <c r="J638" i="1"/>
  <c r="J672" i="1"/>
  <c r="J716" i="1"/>
  <c r="J684" i="1"/>
  <c r="J692" i="1"/>
  <c r="J707" i="1"/>
  <c r="J646" i="1"/>
  <c r="J682" i="1"/>
  <c r="J700" i="1"/>
  <c r="J639" i="1"/>
  <c r="J688" i="1"/>
  <c r="J701" i="1"/>
  <c r="J715" i="1" l="1"/>
  <c r="K644" i="1"/>
  <c r="K704" i="1" s="1"/>
  <c r="L647" i="1"/>
  <c r="L704" i="1" s="1"/>
  <c r="L678" i="1" l="1"/>
  <c r="L679" i="1"/>
  <c r="K713" i="1"/>
  <c r="K686" i="1"/>
  <c r="K679" i="1"/>
  <c r="K699" i="1"/>
  <c r="K681" i="1"/>
  <c r="K709" i="1"/>
  <c r="L687" i="1"/>
  <c r="L669" i="1"/>
  <c r="K672" i="1"/>
  <c r="K687" i="1"/>
  <c r="L672" i="1"/>
  <c r="L690" i="1"/>
  <c r="L705" i="1"/>
  <c r="L698" i="1"/>
  <c r="K668" i="1"/>
  <c r="K707" i="1"/>
  <c r="K706" i="1"/>
  <c r="K691" i="1"/>
  <c r="K670" i="1"/>
  <c r="K696" i="1"/>
  <c r="K674" i="1"/>
  <c r="K669" i="1"/>
  <c r="K698" i="1"/>
  <c r="K685" i="1"/>
  <c r="K680" i="1"/>
  <c r="K702" i="1"/>
  <c r="L676" i="1"/>
  <c r="L709" i="1"/>
  <c r="L699" i="1"/>
  <c r="L708" i="1"/>
  <c r="L674" i="1"/>
  <c r="L671" i="1"/>
  <c r="L697" i="1"/>
  <c r="L681" i="1"/>
  <c r="L688" i="1"/>
  <c r="L695" i="1"/>
  <c r="L713" i="1"/>
  <c r="L680" i="1"/>
  <c r="L703" i="1"/>
  <c r="L700" i="1"/>
  <c r="L684" i="1"/>
  <c r="L685" i="1"/>
  <c r="L711" i="1"/>
  <c r="L696" i="1"/>
  <c r="L706" i="1"/>
  <c r="L701" i="1"/>
  <c r="L702" i="1"/>
  <c r="L683" i="1"/>
  <c r="L691" i="1"/>
  <c r="L710" i="1"/>
  <c r="L682" i="1"/>
  <c r="L668" i="1"/>
  <c r="L712" i="1"/>
  <c r="K694" i="1"/>
  <c r="K708" i="1"/>
  <c r="K711" i="1"/>
  <c r="K677" i="1"/>
  <c r="K689" i="1"/>
  <c r="K678" i="1"/>
  <c r="K710" i="1"/>
  <c r="K693" i="1"/>
  <c r="K712" i="1"/>
  <c r="K688" i="1"/>
  <c r="L692" i="1"/>
  <c r="L673" i="1"/>
  <c r="L677" i="1"/>
  <c r="L686" i="1"/>
  <c r="L689" i="1"/>
  <c r="L716" i="1"/>
  <c r="L670" i="1"/>
  <c r="L693" i="1"/>
  <c r="L675" i="1"/>
  <c r="L707" i="1"/>
  <c r="L694" i="1"/>
  <c r="K700" i="1"/>
  <c r="K703" i="1"/>
  <c r="K671" i="1"/>
  <c r="K673" i="1"/>
  <c r="K676" i="1"/>
  <c r="M676" i="1" s="1"/>
  <c r="K683" i="1"/>
  <c r="K690" i="1"/>
  <c r="K692" i="1"/>
  <c r="K684" i="1"/>
  <c r="K716" i="1"/>
  <c r="M704" i="1"/>
  <c r="K701" i="1"/>
  <c r="K695" i="1"/>
  <c r="K697" i="1"/>
  <c r="K705" i="1"/>
  <c r="K682" i="1"/>
  <c r="K675" i="1"/>
  <c r="M678" i="1" l="1"/>
  <c r="M701" i="1"/>
  <c r="H151" i="9" s="1"/>
  <c r="M679" i="1"/>
  <c r="M713" i="1"/>
  <c r="F215" i="9" s="1"/>
  <c r="M672" i="1"/>
  <c r="G23" i="9" s="1"/>
  <c r="M709" i="1"/>
  <c r="I183" i="9" s="1"/>
  <c r="M668" i="1"/>
  <c r="C23" i="9" s="1"/>
  <c r="M687" i="1"/>
  <c r="M675" i="1"/>
  <c r="C55" i="9" s="1"/>
  <c r="M695" i="1"/>
  <c r="M686" i="1"/>
  <c r="M689" i="1"/>
  <c r="M681" i="1"/>
  <c r="M690" i="1"/>
  <c r="D119" i="9" s="1"/>
  <c r="M707" i="1"/>
  <c r="G183" i="9" s="1"/>
  <c r="M699" i="1"/>
  <c r="M698" i="1"/>
  <c r="E151" i="9" s="1"/>
  <c r="M708" i="1"/>
  <c r="H183" i="9" s="1"/>
  <c r="M674" i="1"/>
  <c r="I23" i="9" s="1"/>
  <c r="M705" i="1"/>
  <c r="M677" i="1"/>
  <c r="E55" i="9" s="1"/>
  <c r="M682" i="1"/>
  <c r="C87" i="9" s="1"/>
  <c r="M694" i="1"/>
  <c r="M693" i="1"/>
  <c r="G119" i="9" s="1"/>
  <c r="M697" i="1"/>
  <c r="M669" i="1"/>
  <c r="M702" i="1"/>
  <c r="M670" i="1"/>
  <c r="E23" i="9" s="1"/>
  <c r="M710" i="1"/>
  <c r="C215" i="9" s="1"/>
  <c r="K715" i="1"/>
  <c r="M691" i="1"/>
  <c r="M706" i="1"/>
  <c r="M680" i="1"/>
  <c r="H55" i="9" s="1"/>
  <c r="F55" i="9"/>
  <c r="M684" i="1"/>
  <c r="M696" i="1"/>
  <c r="M685" i="1"/>
  <c r="F87" i="9" s="1"/>
  <c r="D55" i="9"/>
  <c r="M700" i="1"/>
  <c r="L715" i="1"/>
  <c r="M673" i="1"/>
  <c r="M712" i="1"/>
  <c r="M692" i="1"/>
  <c r="M683" i="1"/>
  <c r="M671" i="1"/>
  <c r="M711" i="1"/>
  <c r="M703" i="1"/>
  <c r="M688" i="1"/>
  <c r="D183" i="9"/>
  <c r="I151" i="9" l="1"/>
  <c r="G55" i="9"/>
  <c r="C119" i="9"/>
  <c r="H119" i="9"/>
  <c r="H87" i="9"/>
  <c r="D151" i="9"/>
  <c r="E183" i="9"/>
  <c r="I55" i="9"/>
  <c r="I119" i="9"/>
  <c r="G87" i="9"/>
  <c r="F151" i="9"/>
  <c r="D23" i="9"/>
  <c r="E87" i="9"/>
  <c r="M715" i="1"/>
  <c r="E119" i="9"/>
  <c r="F183" i="9"/>
  <c r="C151" i="9"/>
  <c r="G151" i="9"/>
  <c r="D87" i="9"/>
  <c r="C183" i="9"/>
  <c r="F119" i="9"/>
  <c r="E215" i="9"/>
  <c r="D215" i="9"/>
  <c r="H23" i="9"/>
  <c r="I87" i="9"/>
  <c r="F23" i="9"/>
</calcChain>
</file>

<file path=xl/sharedStrings.xml><?xml version="1.0" encoding="utf-8"?>
<sst xmlns="http://schemas.openxmlformats.org/spreadsheetml/2006/main" count="4674" uniqueCount="1281">
  <si>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</si>
  <si>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</si>
  <si>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</si>
  <si>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</si>
  <si>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</si>
  <si>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</si>
  <si>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</si>
  <si>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</si>
  <si>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</si>
  <si>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</si>
  <si>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</si>
  <si>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</si>
  <si>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</si>
  <si>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</si>
  <si>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</si>
  <si>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</si>
  <si>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</si>
  <si>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</si>
  <si>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</si>
  <si>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</si>
  <si>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</si>
  <si>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</si>
  <si>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</si>
  <si>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</si>
  <si>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</si>
  <si>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</si>
  <si>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</si>
  <si>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</si>
  <si>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</si>
  <si>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</si>
  <si>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</si>
  <si>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</si>
  <si>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</si>
  <si>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</si>
  <si>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</si>
  <si>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</si>
  <si>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</si>
  <si>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</si>
  <si>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</si>
  <si>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</si>
  <si>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</si>
  <si>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</si>
  <si>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</si>
  <si>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</si>
  <si>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</si>
  <si>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</si>
  <si>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</si>
  <si>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</si>
  <si>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</si>
  <si>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</si>
  <si>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</si>
  <si>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</si>
  <si>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</si>
  <si>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</si>
  <si>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</si>
  <si>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</si>
  <si>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</si>
  <si>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</si>
  <si>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</si>
  <si>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</si>
  <si>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</si>
  <si>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</si>
  <si>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</si>
  <si>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</si>
  <si>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</si>
  <si>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</si>
  <si>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</si>
  <si>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</si>
  <si>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</si>
  <si>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</si>
  <si>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</si>
  <si>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</si>
  <si>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</si>
  <si>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</si>
  <si>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</si>
  <si>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</si>
  <si>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</si>
  <si>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</si>
  <si>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</si>
  <si>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</si>
  <si>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</si>
  <si>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</si>
  <si>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</si>
  <si>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</si>
  <si>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</si>
  <si>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</si>
  <si>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</si>
  <si>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</si>
  <si>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</si>
  <si>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</si>
  <si>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</si>
  <si>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</si>
  <si>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</si>
  <si>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</si>
  <si>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</si>
  <si>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</si>
  <si>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</si>
  <si>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</si>
  <si>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</si>
  <si>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</si>
  <si>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</si>
  <si>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</si>
  <si>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</si>
  <si>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</si>
  <si>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</si>
  <si>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</si>
  <si>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</si>
  <si>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</si>
  <si>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</si>
  <si>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</si>
  <si>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</si>
  <si>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</si>
  <si>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</si>
  <si>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</si>
  <si>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</si>
  <si>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</si>
  <si>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</si>
  <si>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</si>
  <si>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</si>
  <si>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</si>
  <si>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</si>
  <si>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</si>
  <si>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</si>
  <si>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</si>
  <si>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</si>
  <si>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</si>
  <si>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</si>
  <si>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</si>
  <si>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</si>
  <si>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</si>
  <si>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</si>
  <si>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</si>
  <si>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</si>
  <si>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</si>
  <si>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</si>
  <si>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</si>
  <si>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</si>
  <si>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</si>
  <si>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</si>
  <si>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</si>
  <si>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</si>
  <si>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</si>
  <si>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</si>
  <si>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</si>
  <si>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</si>
  <si>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</si>
  <si>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</si>
  <si>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</si>
  <si>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</si>
  <si>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</si>
  <si>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</si>
  <si>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</si>
  <si>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</si>
  <si>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</si>
  <si>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</si>
  <si>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</si>
  <si>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</si>
  <si>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</si>
  <si>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</si>
  <si>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</si>
  <si>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</si>
  <si>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</si>
  <si>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</si>
  <si>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</si>
  <si>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</si>
  <si>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</si>
  <si>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</si>
  <si>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</si>
  <si>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</si>
  <si>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</si>
  <si>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</si>
  <si>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</si>
  <si>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</si>
  <si>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</si>
  <si>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</si>
  <si>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</si>
  <si>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</si>
  <si>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</si>
  <si>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</si>
  <si>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</si>
  <si>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</si>
  <si>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</si>
  <si>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</si>
  <si>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</si>
  <si>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</si>
  <si>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</si>
  <si>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</si>
  <si>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</si>
  <si>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</si>
  <si>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</si>
  <si>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</si>
  <si>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</si>
  <si>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</si>
  <si>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</si>
  <si>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</si>
  <si>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</si>
  <si>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</si>
  <si>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</si>
  <si>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</si>
  <si>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</si>
  <si>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</si>
  <si>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</si>
  <si>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</si>
  <si>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</si>
  <si>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</si>
  <si>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</si>
  <si>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</si>
  <si>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</si>
  <si>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</si>
  <si>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</si>
  <si>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</si>
  <si>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</si>
  <si>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</si>
  <si>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</si>
  <si>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</si>
  <si>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</si>
  <si>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</si>
  <si>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</si>
  <si>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</si>
  <si>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</si>
  <si>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</si>
  <si>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</si>
  <si>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</si>
  <si>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</si>
  <si>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</si>
  <si>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</si>
  <si>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</si>
  <si>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</si>
  <si>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</si>
  <si>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</si>
  <si>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</si>
  <si>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</si>
  <si>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</si>
  <si>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</si>
  <si>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</si>
  <si>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</si>
  <si>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</si>
  <si>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</si>
  <si>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</si>
  <si>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</si>
  <si>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</si>
  <si>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</si>
  <si>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</si>
  <si>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</si>
  <si>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</si>
  <si>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</si>
  <si>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</si>
  <si>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</si>
  <si>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</si>
  <si>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</si>
  <si>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</si>
  <si>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</si>
  <si>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</si>
  <si>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</si>
  <si>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</si>
  <si>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</si>
  <si>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</si>
  <si>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</si>
  <si>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</si>
  <si>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</si>
  <si>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</si>
  <si>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</si>
  <si>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</si>
  <si>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</si>
  <si>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</si>
  <si>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</si>
  <si>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</si>
  <si>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</si>
  <si>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</si>
  <si>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</si>
  <si>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</si>
  <si>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</si>
  <si>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</si>
  <si>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</si>
  <si>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</si>
  <si>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</si>
  <si>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</si>
  <si>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</si>
  <si>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</si>
  <si>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</si>
  <si>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</si>
  <si>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</si>
  <si>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</si>
  <si>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</si>
  <si>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</si>
  <si>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</si>
  <si>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</si>
  <si>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</si>
  <si>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</si>
  <si>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</si>
  <si>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</si>
  <si>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</si>
  <si>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</si>
  <si>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</si>
  <si>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</si>
  <si>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</si>
  <si>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</si>
  <si>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</si>
  <si>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</si>
  <si>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</si>
  <si>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</si>
  <si>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</si>
  <si>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</si>
  <si>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</si>
  <si>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</si>
  <si>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</si>
  <si>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</si>
  <si>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</si>
  <si>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</si>
  <si>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</si>
  <si>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</si>
  <si>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</si>
  <si>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</si>
  <si>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</si>
  <si>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</si>
  <si>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</si>
  <si>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</si>
  <si>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</si>
  <si>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</si>
  <si>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</si>
  <si>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</si>
  <si>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</si>
  <si>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</si>
  <si>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</si>
  <si>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</si>
  <si>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</si>
  <si>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</si>
  <si>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</si>
  <si>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</si>
  <si>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</si>
  <si>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</si>
  <si>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</si>
  <si>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</si>
  <si>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</si>
  <si>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</si>
  <si>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</si>
  <si>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</si>
  <si>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</si>
  <si>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</si>
  <si>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</si>
  <si>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</si>
  <si>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</si>
  <si>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</si>
  <si>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</si>
  <si>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</si>
  <si>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</si>
  <si>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</si>
  <si>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</si>
  <si>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</si>
  <si>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</si>
  <si>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</si>
  <si>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</si>
  <si>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</si>
  <si>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</si>
  <si>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</si>
  <si>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</si>
  <si>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</si>
  <si>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</si>
  <si>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</si>
  <si>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</si>
  <si>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</si>
  <si>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</si>
  <si>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</si>
  <si>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</si>
  <si>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</si>
  <si>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</si>
  <si>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</si>
  <si>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</si>
  <si>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</si>
  <si>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</si>
  <si>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</si>
  <si>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</si>
  <si>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</si>
  <si>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</si>
  <si>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</si>
  <si>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</si>
  <si>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</si>
  <si>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</si>
  <si>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</si>
  <si>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</si>
  <si>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</si>
  <si>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</si>
  <si>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</si>
  <si>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</si>
  <si>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</si>
  <si>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</si>
  <si>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</si>
  <si>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</si>
  <si>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</si>
  <si>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</si>
  <si>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</si>
  <si>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</si>
  <si>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</si>
  <si>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</si>
  <si>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</si>
  <si>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</si>
  <si>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</si>
  <si>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</si>
  <si>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</si>
  <si>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</si>
  <si>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</si>
  <si>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</si>
  <si>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</si>
  <si>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</si>
  <si>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</si>
  <si>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</si>
  <si>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</si>
  <si>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</si>
  <si>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</si>
  <si>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</si>
  <si>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</si>
  <si>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</si>
  <si>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</si>
  <si>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</si>
  <si>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</si>
  <si>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</si>
  <si>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</si>
  <si>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</si>
  <si>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</si>
  <si>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</si>
  <si>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</si>
  <si>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</si>
  <si>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</si>
  <si>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</si>
  <si>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</si>
  <si>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</si>
  <si>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</si>
  <si>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</si>
  <si>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</si>
  <si>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</si>
  <si>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</si>
  <si>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</si>
  <si>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</si>
  <si>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</si>
  <si>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</si>
  <si>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</si>
  <si>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</si>
  <si>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</si>
  <si>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</si>
  <si>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</si>
  <si>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</si>
  <si>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</si>
  <si>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</si>
  <si>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</si>
  <si>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</si>
  <si>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</si>
  <si>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</si>
  <si>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</si>
  <si>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</si>
  <si>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</si>
  <si>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</si>
  <si>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</si>
  <si>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</si>
  <si>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</si>
  <si>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</si>
  <si>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</si>
  <si>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</si>
  <si>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</si>
  <si>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</si>
  <si>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</si>
  <si>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</si>
  <si>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</si>
  <si>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</si>
  <si>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</si>
  <si>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</si>
  <si>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</si>
  <si>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</si>
  <si>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</si>
  <si>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</si>
  <si>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</si>
  <si>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</si>
  <si>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</si>
  <si>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</si>
  <si>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</si>
  <si>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</si>
  <si>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</si>
  <si>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</si>
  <si>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</si>
  <si>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</si>
  <si>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</si>
  <si>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</si>
  <si>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</si>
  <si>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</si>
  <si>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</si>
  <si>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</si>
  <si>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</si>
  <si>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</si>
  <si>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</si>
  <si>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</si>
  <si>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</si>
  <si>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</si>
  <si>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</si>
  <si>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</si>
  <si>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</si>
  <si>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</si>
  <si>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</si>
  <si>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</si>
  <si>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</si>
  <si>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</si>
  <si>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</si>
  <si>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</si>
  <si>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</si>
  <si>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</si>
  <si>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</si>
  <si>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</si>
  <si>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</si>
  <si>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</si>
  <si>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</si>
  <si>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</si>
  <si>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</si>
  <si>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</si>
  <si>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</si>
  <si>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</si>
  <si>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</si>
  <si>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</si>
  <si>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</si>
  <si>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</si>
  <si>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</si>
  <si>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</si>
  <si>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</si>
  <si>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</si>
  <si>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</si>
  <si>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</si>
  <si>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</si>
  <si>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</si>
  <si>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</si>
  <si>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</si>
  <si>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</si>
  <si>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</si>
  <si>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</si>
  <si>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</si>
  <si>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</si>
  <si>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</si>
  <si>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</si>
  <si>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</si>
  <si>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</si>
  <si>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</si>
  <si>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</si>
  <si>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</si>
  <si>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</si>
  <si>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</si>
  <si>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</si>
  <si>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</si>
  <si>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</si>
  <si>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</si>
  <si>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</si>
  <si>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</si>
  <si>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</si>
  <si>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</si>
  <si>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</si>
  <si>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</si>
  <si>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</si>
  <si>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</si>
  <si>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</si>
  <si>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</si>
  <si>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</si>
  <si>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</si>
  <si>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</si>
  <si>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</si>
  <si>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</si>
  <si>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</si>
  <si>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</si>
  <si>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</si>
  <si>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</si>
  <si>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</si>
  <si>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</si>
  <si>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</si>
  <si>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</si>
  <si>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</si>
  <si>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</si>
  <si>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</si>
  <si>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</si>
  <si>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</si>
  <si>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</si>
  <si>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</si>
  <si>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</si>
  <si>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</si>
  <si>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</si>
  <si>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</si>
  <si>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</si>
  <si>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</si>
  <si>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</si>
  <si>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</si>
  <si>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</si>
  <si>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</si>
  <si>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</si>
  <si>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</si>
  <si>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</si>
  <si>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</si>
  <si>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</si>
  <si>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</si>
  <si>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</si>
  <si>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</si>
  <si>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</si>
  <si>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</si>
  <si>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</si>
  <si>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</si>
  <si>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</si>
  <si>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</si>
  <si>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</si>
  <si>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</si>
  <si>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</si>
  <si>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</si>
  <si>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</si>
  <si>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</si>
  <si>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</si>
  <si>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</si>
  <si>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</si>
  <si>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</si>
  <si>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</si>
  <si>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</si>
  <si>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</si>
  <si>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</si>
  <si>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</si>
  <si>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</si>
  <si>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</si>
  <si>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</si>
  <si>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</si>
  <si>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</si>
  <si>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</si>
  <si>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</si>
  <si>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</si>
  <si>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</si>
  <si>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</si>
  <si>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</si>
  <si>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</si>
  <si>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</si>
  <si>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</si>
  <si>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</si>
  <si>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</si>
  <si>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</si>
  <si>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</si>
  <si>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</si>
  <si>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</si>
  <si>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</si>
  <si>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</si>
  <si>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</si>
  <si>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</si>
  <si>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</si>
  <si>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</si>
  <si>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</si>
  <si>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</si>
  <si>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</si>
  <si>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</si>
  <si>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</si>
  <si>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</si>
  <si>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</si>
  <si>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</si>
  <si>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</si>
  <si>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</si>
  <si>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</si>
  <si>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</si>
  <si>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</si>
  <si>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</si>
  <si>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</si>
  <si>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</si>
  <si>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</si>
  <si>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</si>
  <si>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</si>
  <si>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</si>
  <si>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</si>
  <si>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</si>
  <si>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</si>
  <si>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</si>
  <si>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</si>
  <si>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</si>
  <si>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</si>
  <si>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</si>
  <si>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</si>
  <si>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</si>
  <si>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</si>
  <si>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</si>
  <si>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</si>
  <si>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</si>
  <si>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</si>
  <si>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</si>
  <si>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</si>
  <si>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</si>
  <si>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</si>
  <si>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</si>
  <si>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</si>
  <si>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</si>
  <si>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</si>
  <si>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</si>
  <si>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</si>
  <si>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</si>
  <si>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</si>
  <si>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</si>
  <si>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</si>
  <si>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</si>
  <si>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</si>
  <si>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</si>
  <si>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</si>
  <si>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</si>
  <si>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</si>
  <si>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</si>
  <si>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</si>
  <si>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</si>
  <si>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</si>
  <si>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</si>
  <si>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</si>
  <si>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</si>
  <si>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</si>
  <si>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</si>
  <si>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</si>
  <si>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</si>
  <si>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</si>
  <si>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</si>
  <si>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</si>
  <si>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</si>
  <si>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</si>
  <si>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</si>
  <si>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</si>
  <si>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</si>
  <si>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</si>
  <si>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</si>
  <si>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</si>
  <si>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</si>
  <si>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</si>
  <si>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</si>
  <si>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</si>
  <si>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</si>
  <si>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</si>
  <si>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</si>
  <si>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</si>
  <si>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</si>
  <si>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</si>
  <si>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</si>
  <si>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</si>
  <si>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</si>
  <si>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</si>
  <si>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</si>
  <si>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</si>
  <si>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</si>
  <si>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</si>
  <si>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</si>
  <si>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</si>
  <si>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</si>
  <si>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</si>
  <si>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</si>
  <si>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</si>
  <si>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</si>
  <si>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</si>
  <si>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</si>
  <si>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</si>
  <si>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</si>
  <si>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</si>
  <si>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</si>
  <si>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</si>
  <si>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</si>
  <si>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</si>
  <si>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</si>
  <si>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</si>
  <si>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</si>
  <si>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</si>
  <si>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</si>
  <si>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</si>
  <si>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</si>
  <si>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</si>
  <si>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</si>
  <si>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</si>
  <si>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</si>
  <si>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</si>
  <si>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</si>
  <si>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</si>
  <si>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</si>
  <si>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</si>
  <si>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</si>
  <si>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</si>
  <si>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</si>
  <si>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</si>
  <si>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</si>
  <si>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</si>
  <si>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</si>
  <si>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</si>
  <si>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</si>
  <si>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</si>
  <si>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</si>
  <si>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</si>
  <si>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</si>
  <si>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</si>
  <si>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</si>
  <si>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</si>
  <si>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</si>
  <si>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</si>
  <si>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</si>
  <si>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</si>
  <si>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</si>
  <si>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</si>
  <si>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</si>
  <si>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</si>
  <si>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</si>
  <si>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</si>
  <si>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</si>
  <si>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</si>
  <si>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</si>
  <si>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</si>
  <si>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</si>
  <si>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</si>
  <si>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</si>
  <si>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</si>
  <si>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</si>
  <si>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</si>
  <si>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</si>
  <si>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</si>
  <si>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</si>
  <si>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</si>
  <si>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</si>
  <si>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</si>
  <si>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</si>
  <si>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</si>
  <si>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</si>
  <si>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</si>
  <si>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</si>
  <si>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</si>
  <si>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</si>
  <si>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</si>
  <si>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</si>
  <si>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</si>
  <si>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</si>
  <si>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</si>
  <si>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</si>
  <si>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</si>
  <si>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</si>
  <si>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</si>
  <si>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</si>
  <si>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</si>
  <si>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</si>
  <si>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</si>
  <si>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</si>
  <si>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</si>
  <si>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</si>
  <si>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</si>
  <si>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</si>
  <si>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</si>
  <si>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</si>
  <si>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</si>
  <si>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</si>
  <si>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</si>
  <si>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</si>
  <si>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</si>
  <si>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</si>
  <si>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</si>
  <si>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</si>
  <si>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</si>
  <si>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</si>
  <si>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</si>
  <si>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</si>
  <si>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</si>
  <si>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</si>
  <si>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</si>
  <si>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</si>
  <si>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</si>
  <si>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</si>
  <si>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</si>
  <si>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</si>
  <si>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</si>
  <si>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</si>
  <si>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</si>
  <si>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</si>
  <si>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</si>
  <si>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</si>
  <si>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</si>
  <si>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</si>
  <si>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</si>
  <si>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</si>
  <si>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</si>
  <si>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</si>
  <si>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</si>
  <si>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</si>
  <si>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</si>
  <si>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</si>
  <si>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</si>
  <si>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</si>
  <si>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</si>
  <si>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</si>
  <si>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</si>
  <si>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</si>
  <si>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</si>
  <si>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</si>
  <si>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</si>
  <si>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</si>
  <si>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</si>
  <si>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</si>
  <si>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</si>
  <si>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</si>
  <si>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</si>
  <si>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</si>
  <si>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</si>
  <si>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</si>
  <si>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</si>
  <si>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</si>
  <si>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</si>
  <si>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</si>
  <si>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</si>
  <si>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</si>
  <si>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</si>
  <si>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</si>
  <si>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</si>
  <si>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</si>
  <si>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</si>
  <si>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</si>
  <si>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</si>
  <si>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</si>
  <si>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</si>
  <si>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</si>
  <si>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</si>
  <si>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</si>
  <si>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</si>
  <si>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</si>
  <si>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</si>
  <si>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</si>
  <si>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</si>
  <si>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</si>
  <si>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</si>
  <si>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</si>
  <si>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</si>
  <si>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</si>
  <si>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</si>
  <si>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</si>
  <si>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</si>
  <si>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</si>
  <si>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</si>
  <si>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</si>
  <si>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</si>
  <si>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</si>
  <si>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</si>
  <si>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</si>
  <si>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</si>
  <si>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</si>
  <si>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</si>
  <si>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</si>
  <si>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</si>
  <si>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</si>
  <si>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</si>
  <si>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</si>
  <si>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</si>
  <si>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</si>
  <si>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</si>
  <si>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</si>
  <si>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</si>
  <si>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</si>
  <si>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</si>
  <si>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</si>
  <si>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</si>
  <si>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</si>
  <si>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</si>
  <si>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</si>
  <si>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</si>
  <si>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</si>
  <si>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</si>
  <si>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</si>
  <si>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</si>
  <si>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</si>
  <si>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</si>
  <si>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</si>
  <si>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</si>
  <si>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</si>
  <si>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</si>
  <si>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</si>
  <si>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</si>
  <si>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</si>
  <si>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</si>
  <si>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</si>
  <si>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</si>
  <si>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</si>
  <si>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</si>
  <si>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</si>
  <si>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</si>
  <si>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</si>
  <si>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</si>
  <si>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</si>
  <si>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</si>
  <si>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</si>
  <si>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</si>
  <si>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</si>
  <si>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</si>
  <si>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</si>
  <si>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</si>
  <si>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</si>
  <si>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</si>
  <si>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</si>
  <si>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</si>
  <si>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</si>
  <si>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</si>
  <si>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</si>
  <si>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</si>
  <si>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</si>
  <si>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</si>
  <si>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</si>
  <si>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</si>
  <si>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</si>
  <si>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</si>
  <si>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</si>
  <si>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</si>
  <si>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</si>
  <si>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</si>
  <si>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</si>
  <si>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</si>
  <si>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</si>
  <si>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</si>
  <si>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</si>
  <si>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</si>
  <si>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</si>
  <si>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</si>
  <si>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</si>
  <si>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</si>
  <si>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</si>
  <si>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</si>
  <si>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</si>
  <si>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</si>
  <si>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</si>
  <si>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</si>
  <si>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</si>
  <si>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</si>
  <si>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</si>
  <si>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</si>
  <si>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</si>
  <si>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</si>
  <si>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</si>
  <si>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</si>
  <si>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</si>
  <si>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</si>
  <si>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</si>
  <si>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</si>
  <si>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</si>
  <si>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</si>
  <si>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</si>
  <si>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</si>
  <si>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</si>
  <si>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</si>
  <si>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</si>
  <si>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</si>
  <si>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</si>
  <si>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</si>
  <si>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</si>
  <si>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</si>
  <si>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</si>
  <si>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</si>
  <si>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</si>
  <si>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</si>
  <si>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</si>
  <si>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</si>
  <si>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</si>
  <si>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</si>
  <si>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</si>
  <si>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</si>
  <si>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</si>
  <si>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</si>
  <si>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</si>
  <si>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</si>
  <si>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</si>
  <si>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</si>
  <si>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</si>
  <si>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</si>
  <si>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</si>
  <si>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</si>
  <si>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</si>
  <si>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</si>
  <si>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</si>
  <si>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</si>
  <si>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</si>
  <si>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</si>
  <si>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</si>
  <si>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</si>
  <si>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</si>
  <si>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</si>
  <si>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</si>
  <si>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</si>
  <si>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</si>
  <si>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</si>
  <si>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</si>
  <si>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</si>
  <si>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</si>
  <si>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</si>
  <si>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</si>
  <si>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</si>
  <si>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</si>
  <si>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</si>
  <si>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</si>
  <si>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</si>
  <si>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</si>
  <si>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</si>
  <si>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</si>
  <si>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</si>
  <si>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</si>
  <si>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</si>
  <si>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</si>
  <si>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</si>
  <si>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</si>
  <si>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</si>
  <si>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</si>
  <si>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</si>
  <si>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</si>
  <si>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</si>
  <si>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</si>
  <si>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</si>
  <si>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</si>
  <si>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</si>
  <si>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</si>
  <si>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</si>
  <si>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</si>
  <si>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</si>
  <si>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</si>
  <si>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</si>
  <si>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</si>
  <si>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</si>
  <si>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</si>
  <si>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</si>
  <si>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</si>
  <si>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</si>
  <si>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</si>
  <si>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</si>
  <si>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</si>
  <si>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</si>
  <si>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</si>
  <si>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</si>
  <si>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</si>
  <si>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</si>
  <si>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</si>
  <si>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</si>
  <si>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</si>
  <si>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</si>
  <si>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</si>
  <si>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</si>
  <si>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</si>
  <si>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</si>
  <si>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</si>
  <si>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</si>
  <si>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</si>
  <si>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</si>
  <si>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</si>
  <si>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</si>
  <si>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</si>
  <si>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</si>
  <si>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</si>
  <si>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</si>
  <si>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</si>
  <si>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</si>
  <si>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</si>
  <si>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</si>
  <si>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</si>
  <si>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</si>
  <si>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</si>
  <si>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</si>
  <si>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</si>
  <si>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</si>
  <si>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</si>
  <si>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</si>
  <si>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</si>
  <si>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</si>
  <si>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</si>
  <si>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</si>
  <si>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</si>
  <si>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</si>
  <si>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</si>
  <si>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</si>
  <si>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</si>
  <si>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</si>
  <si>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</si>
  <si>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</si>
  <si>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</si>
  <si>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</si>
  <si>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</si>
  <si>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</si>
  <si>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</si>
  <si>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</si>
  <si>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</si>
  <si>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</si>
  <si>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</si>
  <si>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</si>
  <si>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</si>
  <si>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</si>
  <si>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</si>
  <si>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</si>
  <si>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</si>
  <si>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</si>
  <si>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</si>
  <si>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</si>
  <si>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</si>
  <si>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</si>
  <si>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</si>
  <si>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</si>
  <si>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</si>
  <si>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</si>
  <si>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</si>
  <si>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</si>
  <si>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</si>
  <si>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</si>
  <si>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</si>
  <si>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</si>
  <si>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</si>
  <si>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</si>
  <si>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</si>
  <si>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</si>
  <si>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</si>
  <si>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</si>
  <si>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</si>
  <si>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</si>
  <si>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</si>
  <si>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</si>
  <si>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</si>
  <si>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</si>
  <si>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</si>
  <si>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</si>
  <si>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</si>
  <si>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</si>
  <si>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</si>
  <si>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</si>
  <si>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</si>
  <si>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</si>
  <si>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</si>
  <si>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</si>
  <si>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</si>
  <si>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</si>
  <si>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</si>
  <si>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</si>
  <si>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</si>
  <si>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</si>
  <si>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</si>
  <si>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</si>
  <si>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</si>
  <si>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</si>
  <si>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</si>
  <si>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</si>
  <si>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</si>
  <si>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</si>
  <si>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</si>
  <si>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</si>
  <si>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</si>
  <si>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</si>
  <si>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</si>
  <si>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</si>
  <si>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</si>
  <si>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</si>
  <si>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</si>
  <si>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</si>
  <si>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</si>
  <si>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</si>
  <si>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</si>
  <si>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</si>
  <si>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</si>
  <si>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</si>
  <si>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</si>
  <si>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</si>
  <si>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</si>
  <si>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</si>
  <si>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</si>
  <si>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</si>
  <si>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</si>
  <si>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</si>
  <si>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</si>
  <si>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</si>
  <si>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</si>
  <si>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</si>
  <si>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</si>
  <si>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</si>
  <si>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</si>
  <si>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</si>
  <si>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</si>
  <si>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</si>
  <si>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</si>
  <si>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</si>
  <si>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</si>
  <si>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</si>
  <si>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</si>
  <si>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</si>
  <si>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</si>
  <si>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147</t>
  </si>
  <si>
    <t>Mid Valley Hospital</t>
  </si>
  <si>
    <t xml:space="preserve"> 810 Jasmine Street</t>
  </si>
  <si>
    <t>PO Box 793</t>
  </si>
  <si>
    <t>Omak, WA  98841</t>
  </si>
  <si>
    <t>Okanogan</t>
  </si>
  <si>
    <t>Alan J Fisher</t>
  </si>
  <si>
    <t>Holly J Stanley</t>
  </si>
  <si>
    <t>Gary H Oestreich</t>
  </si>
  <si>
    <t>509-826-1760</t>
  </si>
  <si>
    <t>509-826-8183</t>
  </si>
  <si>
    <t>Expenses in 2017 increased due to a nurse transferring time to the Nursery department rather than Labor and Delivery.</t>
  </si>
  <si>
    <t>Expenses in 2017 were high due to a nurse transferring time to the Nursery department rather than Labor and Delivery.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</si>
</sst>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5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sz val="12"/>
      <name val="Courie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4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37" fontId="14" fillId="0" borderId="0"/>
    <xf numFmtId="0" fontId="5" fillId="0" borderId="0"/>
    <xf numFmtId="37" fontId="14" fillId="0" borderId="0"/>
  </cellStyleXfs>
  <cellXfs count="286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49" fontId="9" fillId="4" borderId="1" xfId="0" applyNumberFormat="1" applyFont="1" applyFill="1" applyBorder="1" applyAlignment="1" applyProtection="1">
      <alignment horizontal="left"/>
      <protection locked="0"/>
    </xf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37" fontId="9" fillId="3" borderId="0" xfId="0" applyFont="1" applyFill="1" applyAlignment="1" applyProtection="1">
      <alignment horizontal="center" vertical="center"/>
    </xf>
  </cellXfs>
  <cellStyles count="24">
    <cellStyle name="Comma" xfId="1" builtinId="3"/>
    <cellStyle name="Hyperlink" xfId="2" builtinId="8"/>
    <cellStyle name="Normal" xfId="0" builtinId="0"/>
    <cellStyle name="Normal 10 2 3" xfId="4"/>
    <cellStyle name="Normal 11" xfId="16"/>
    <cellStyle name="Normal 158" xfId="15"/>
    <cellStyle name="Normal 163" xfId="21"/>
    <cellStyle name="Normal 168" xfId="13"/>
    <cellStyle name="Normal 170" xfId="14"/>
    <cellStyle name="Normal 175" xfId="6"/>
    <cellStyle name="Normal 2" xfId="23"/>
    <cellStyle name="Normal 213" xfId="20"/>
    <cellStyle name="Normal 220" xfId="7"/>
    <cellStyle name="Normal 240" xfId="8"/>
    <cellStyle name="Normal 277" xfId="9"/>
    <cellStyle name="Normal 288" xfId="10"/>
    <cellStyle name="Normal 326" xfId="11"/>
    <cellStyle name="Normal 346" xfId="12"/>
    <cellStyle name="Normal 420" xfId="17"/>
    <cellStyle name="Normal 428" xfId="18"/>
    <cellStyle name="Normal 448" xfId="19"/>
    <cellStyle name="Normal 6" xfId="22"/>
    <cellStyle name="Percent" xfId="3" builtinId="5"/>
    <cellStyle name="Percent 398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3769192.32</v>
      </c>
      <c r="C47" s="184"/>
      <c r="D47" s="184"/>
      <c r="E47" s="184">
        <f>528688-11938</f>
        <v>516750</v>
      </c>
      <c r="F47" s="184"/>
      <c r="G47" s="184"/>
      <c r="H47" s="184"/>
      <c r="I47" s="184"/>
      <c r="J47" s="184"/>
      <c r="K47" s="184"/>
      <c r="L47" s="184">
        <v>11938</v>
      </c>
      <c r="M47" s="184"/>
      <c r="N47" s="184"/>
      <c r="O47" s="184">
        <v>143051</v>
      </c>
      <c r="P47" s="184">
        <v>205469</v>
      </c>
      <c r="Q47" s="184">
        <v>99470</v>
      </c>
      <c r="R47" s="184">
        <v>9440</v>
      </c>
      <c r="S47" s="184">
        <v>29897</v>
      </c>
      <c r="T47" s="184"/>
      <c r="U47" s="184">
        <f>134164</f>
        <v>134164</v>
      </c>
      <c r="V47" s="184"/>
      <c r="W47" s="184"/>
      <c r="X47" s="184"/>
      <c r="Y47" s="184">
        <v>205192</v>
      </c>
      <c r="Z47" s="184"/>
      <c r="AA47" s="184"/>
      <c r="AB47" s="184">
        <v>41530</v>
      </c>
      <c r="AC47" s="184">
        <v>54610</v>
      </c>
      <c r="AD47" s="184"/>
      <c r="AE47" s="184">
        <v>115471</v>
      </c>
      <c r="AF47" s="184"/>
      <c r="AG47" s="184">
        <v>339369</v>
      </c>
      <c r="AH47" s="184"/>
      <c r="AI47" s="184"/>
      <c r="AJ47" s="184"/>
      <c r="AK47" s="184"/>
      <c r="AL47" s="184"/>
      <c r="AM47" s="184"/>
      <c r="AN47" s="184"/>
      <c r="AO47" s="184"/>
      <c r="AP47" s="184">
        <v>775300</v>
      </c>
      <c r="AQ47" s="184"/>
      <c r="AR47" s="184"/>
      <c r="AS47" s="184"/>
      <c r="AT47" s="184"/>
      <c r="AU47" s="184"/>
      <c r="AV47" s="184"/>
      <c r="AW47" s="184"/>
      <c r="AX47" s="184"/>
      <c r="AY47" s="184">
        <v>91671</v>
      </c>
      <c r="AZ47" s="184"/>
      <c r="BA47" s="184"/>
      <c r="BB47" s="184"/>
      <c r="BC47" s="184"/>
      <c r="BD47" s="184">
        <v>30450</v>
      </c>
      <c r="BE47" s="184">
        <v>54372</v>
      </c>
      <c r="BF47" s="184">
        <v>130243</v>
      </c>
      <c r="BG47" s="184">
        <v>14838</v>
      </c>
      <c r="BH47" s="184">
        <v>55259</v>
      </c>
      <c r="BI47" s="184"/>
      <c r="BJ47" s="184">
        <v>83880</v>
      </c>
      <c r="BK47" s="184">
        <v>176053</v>
      </c>
      <c r="BL47" s="184">
        <v>126024</v>
      </c>
      <c r="BM47" s="184"/>
      <c r="BN47" s="184">
        <v>79125</v>
      </c>
      <c r="BO47" s="184">
        <v>3</v>
      </c>
      <c r="BP47" s="184"/>
      <c r="BQ47" s="184"/>
      <c r="BR47" s="184">
        <v>39642</v>
      </c>
      <c r="BS47" s="184"/>
      <c r="BT47" s="184"/>
      <c r="BU47" s="184"/>
      <c r="BV47" s="184">
        <v>118445</v>
      </c>
      <c r="BW47" s="184"/>
      <c r="BX47" s="184">
        <v>19497</v>
      </c>
      <c r="BY47" s="184">
        <v>65101</v>
      </c>
      <c r="BZ47" s="184"/>
      <c r="CA47" s="184">
        <v>11</v>
      </c>
      <c r="CB47" s="184"/>
      <c r="CC47" s="184">
        <v>2030</v>
      </c>
      <c r="CD47" s="195"/>
      <c r="CE47" s="195">
        <f>SUM(C47:CC47)</f>
        <v>3768295</v>
      </c>
    </row>
    <row r="48" spans="1:83" ht="12.6" customHeight="1" x14ac:dyDescent="0.25">
      <c r="A48" s="175" t="s">
        <v>205</v>
      </c>
      <c r="B48" s="183">
        <v>-4603.07</v>
      </c>
      <c r="C48" s="244">
        <f>ROUND(((B48/CE61)*C61),0)</f>
        <v>0</v>
      </c>
      <c r="D48" s="244">
        <f>ROUND(((B48/CE61)*D61),0)</f>
        <v>0</v>
      </c>
      <c r="E48" s="195">
        <f>ROUND(((B48/CE61)*E61),0)</f>
        <v>-623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-14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-146</v>
      </c>
      <c r="P48" s="195">
        <f>ROUND(((B48/CE61)*P61),0)</f>
        <v>-234</v>
      </c>
      <c r="Q48" s="195">
        <f>ROUND(((B48/CE61)*Q61),0)</f>
        <v>-140</v>
      </c>
      <c r="R48" s="195">
        <f>ROUND(((B48/CE61)*R61),0)</f>
        <v>-13</v>
      </c>
      <c r="S48" s="195">
        <f>ROUND(((B48/CE61)*S61),0)</f>
        <v>-18</v>
      </c>
      <c r="T48" s="195">
        <f>ROUND(((B48/CE61)*T61),0)</f>
        <v>0</v>
      </c>
      <c r="U48" s="195">
        <f>ROUND(((B48/CE61)*U61),0)</f>
        <v>-167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-249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-57</v>
      </c>
      <c r="AC48" s="195">
        <f>ROUND(((B48/CE61)*AC61),0)</f>
        <v>-70</v>
      </c>
      <c r="AD48" s="195">
        <f>ROUND(((B48/CE61)*AD61),0)</f>
        <v>0</v>
      </c>
      <c r="AE48" s="195">
        <f>ROUND(((B48/CE61)*AE61),0)</f>
        <v>-138</v>
      </c>
      <c r="AF48" s="195">
        <f>ROUND(((B48/CE61)*AF61),0)</f>
        <v>0</v>
      </c>
      <c r="AG48" s="195">
        <f>ROUND(((B48/CE61)*AG61),0)</f>
        <v>-473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-1227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-69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-27</v>
      </c>
      <c r="BE48" s="195">
        <f>ROUND(((B48/CE61)*BE61),0)</f>
        <v>-59</v>
      </c>
      <c r="BF48" s="195">
        <f>ROUND(((B48/CE61)*BF61),0)</f>
        <v>-95</v>
      </c>
      <c r="BG48" s="195">
        <f>ROUND(((B48/CE61)*BG61),0)</f>
        <v>-7</v>
      </c>
      <c r="BH48" s="195">
        <f>ROUND(((B48/CE61)*BH61),0)</f>
        <v>-66</v>
      </c>
      <c r="BI48" s="195">
        <f>ROUND(((B48/CE61)*BI61),0)</f>
        <v>0</v>
      </c>
      <c r="BJ48" s="195">
        <f>ROUND(((B48/CE61)*BJ61),0)</f>
        <v>-112</v>
      </c>
      <c r="BK48" s="195">
        <f>ROUND(((B48/CE61)*BK61),0)</f>
        <v>-134</v>
      </c>
      <c r="BL48" s="195">
        <f>ROUND(((B48/CE61)*BL61),0)</f>
        <v>-52</v>
      </c>
      <c r="BM48" s="195">
        <f>ROUND(((B48/CE61)*BM61),0)</f>
        <v>0</v>
      </c>
      <c r="BN48" s="195">
        <f>ROUND(((B48/CE61)*BN61),0)</f>
        <v>-135</v>
      </c>
      <c r="BO48" s="195">
        <f>ROUND(((B48/CE61)*BO61),0)</f>
        <v>-13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-52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-116</v>
      </c>
      <c r="BW48" s="195">
        <f>ROUND(((B48/CE61)*BW61),0)</f>
        <v>0</v>
      </c>
      <c r="BX48" s="195">
        <f>ROUND(((B48/CE61)*BX61),0)</f>
        <v>-23</v>
      </c>
      <c r="BY48" s="195">
        <f>ROUND(((B48/CE61)*BY61),0)</f>
        <v>-65</v>
      </c>
      <c r="BZ48" s="195">
        <f>ROUND(((B48/CE61)*BZ61),0)</f>
        <v>0</v>
      </c>
      <c r="CA48" s="195">
        <f>ROUND(((B48/CE61)*CA61),0)</f>
        <v>-1</v>
      </c>
      <c r="CB48" s="195">
        <f>ROUND(((B48/CE61)*CB61),0)</f>
        <v>0</v>
      </c>
      <c r="CC48" s="195">
        <f>ROUND(((B48/CE61)*CC61),0)</f>
        <v>-8</v>
      </c>
      <c r="CD48" s="195"/>
      <c r="CE48" s="195">
        <f>SUM(C48:CD48)</f>
        <v>-4603</v>
      </c>
    </row>
    <row r="49" spans="1:84" ht="12.6" customHeight="1" x14ac:dyDescent="0.25">
      <c r="A49" s="175" t="s">
        <v>206</v>
      </c>
      <c r="B49" s="195">
        <f>B47+B48</f>
        <v>3764589.25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1070983</v>
      </c>
      <c r="C51" s="184"/>
      <c r="D51" s="184"/>
      <c r="E51" s="184">
        <f>41720.75-941.98</f>
        <v>40778.769999999997</v>
      </c>
      <c r="F51" s="184"/>
      <c r="G51" s="184"/>
      <c r="H51" s="184"/>
      <c r="I51" s="184"/>
      <c r="J51" s="184"/>
      <c r="K51" s="184"/>
      <c r="L51" s="184">
        <v>941.98</v>
      </c>
      <c r="M51" s="184"/>
      <c r="N51" s="184"/>
      <c r="O51" s="184">
        <v>41463.49</v>
      </c>
      <c r="P51" s="184">
        <v>304952.14</v>
      </c>
      <c r="Q51" s="184">
        <v>4655.3</v>
      </c>
      <c r="R51" s="184"/>
      <c r="S51" s="184">
        <v>754.01</v>
      </c>
      <c r="T51" s="184"/>
      <c r="U51" s="184">
        <v>22479.32</v>
      </c>
      <c r="V51" s="184">
        <v>366.43</v>
      </c>
      <c r="W51" s="184"/>
      <c r="X51" s="184"/>
      <c r="Y51" s="184">
        <v>357412.12</v>
      </c>
      <c r="Z51" s="184"/>
      <c r="AA51" s="184"/>
      <c r="AB51" s="184"/>
      <c r="AC51" s="184">
        <v>11578.82</v>
      </c>
      <c r="AD51" s="184"/>
      <c r="AE51" s="184">
        <v>54.77</v>
      </c>
      <c r="AF51" s="184"/>
      <c r="AG51" s="184">
        <v>156549.99</v>
      </c>
      <c r="AH51" s="184"/>
      <c r="AI51" s="184"/>
      <c r="AJ51" s="184"/>
      <c r="AK51" s="184"/>
      <c r="AL51" s="184"/>
      <c r="AM51" s="184"/>
      <c r="AN51" s="184"/>
      <c r="AO51" s="184"/>
      <c r="AP51" s="184">
        <v>55462.75</v>
      </c>
      <c r="AQ51" s="184"/>
      <c r="AR51" s="184"/>
      <c r="AS51" s="184"/>
      <c r="AT51" s="184"/>
      <c r="AU51" s="184"/>
      <c r="AV51" s="184"/>
      <c r="AW51" s="184"/>
      <c r="AX51" s="184"/>
      <c r="AY51" s="184">
        <v>6977.39</v>
      </c>
      <c r="AZ51" s="184"/>
      <c r="BA51" s="184"/>
      <c r="BB51" s="184"/>
      <c r="BC51" s="184"/>
      <c r="BD51" s="184"/>
      <c r="BE51" s="184">
        <f>2005.51+21232.99</f>
        <v>23238.5</v>
      </c>
      <c r="BF51" s="184">
        <v>381.71</v>
      </c>
      <c r="BG51" s="184"/>
      <c r="BH51" s="184">
        <v>19349.62</v>
      </c>
      <c r="BI51" s="184"/>
      <c r="BJ51" s="184">
        <v>19095.62</v>
      </c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>
        <v>464.94</v>
      </c>
      <c r="BW51" s="184"/>
      <c r="BX51" s="184"/>
      <c r="BY51" s="184"/>
      <c r="BZ51" s="184"/>
      <c r="CA51" s="184">
        <v>4025.62</v>
      </c>
      <c r="CB51" s="184"/>
      <c r="CC51" s="184"/>
      <c r="CD51" s="195"/>
      <c r="CE51" s="195">
        <f>SUM(C51:CD51)</f>
        <v>1070983.29</v>
      </c>
    </row>
    <row r="52" spans="1:84" ht="12.6" customHeight="1" x14ac:dyDescent="0.25">
      <c r="A52" s="171" t="s">
        <v>208</v>
      </c>
      <c r="B52" s="184">
        <v>230798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17840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397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4285</v>
      </c>
      <c r="P52" s="195">
        <f>ROUND((B52/(CE76+CF76)*P76),0)</f>
        <v>11417</v>
      </c>
      <c r="Q52" s="195">
        <f>ROUND((B52/(CE76+CF76)*Q76),0)</f>
        <v>3385</v>
      </c>
      <c r="R52" s="195">
        <f>ROUND((B52/(CE76+CF76)*R76),0)</f>
        <v>0</v>
      </c>
      <c r="S52" s="195">
        <f>ROUND((B52/(CE76+CF76)*S76),0)</f>
        <v>4550</v>
      </c>
      <c r="T52" s="195">
        <f>ROUND((B52/(CE76+CF76)*T76),0)</f>
        <v>0</v>
      </c>
      <c r="U52" s="195">
        <f>ROUND((B52/(CE76+CF76)*U76),0)</f>
        <v>3390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15640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1643</v>
      </c>
      <c r="AC52" s="195">
        <f>ROUND((B52/(CE76+CF76)*AC76),0)</f>
        <v>1101</v>
      </c>
      <c r="AD52" s="195">
        <f>ROUND((B52/(CE76+CF76)*AD76),0)</f>
        <v>0</v>
      </c>
      <c r="AE52" s="195">
        <f>ROUND((B52/(CE76+CF76)*AE76),0)</f>
        <v>6518</v>
      </c>
      <c r="AF52" s="195">
        <f>ROUND((B52/(CE76+CF76)*AF76),0)</f>
        <v>0</v>
      </c>
      <c r="AG52" s="195">
        <f>ROUND((B52/(CE76+CF76)*AG76),0)</f>
        <v>10064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43681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6020</v>
      </c>
      <c r="AZ52" s="195">
        <f>ROUND((B52/(CE76+CF76)*AZ76),0)</f>
        <v>0</v>
      </c>
      <c r="BA52" s="195">
        <f>ROUND((B52/(CE76+CF76)*BA76),0)</f>
        <v>1414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959</v>
      </c>
      <c r="BE52" s="195">
        <f>ROUND((B52/(CE76+CF76)*BE76),0)</f>
        <v>73785</v>
      </c>
      <c r="BF52" s="195">
        <f>ROUND((B52/(CE76+CF76)*BF76),0)</f>
        <v>978</v>
      </c>
      <c r="BG52" s="195">
        <f>ROUND((B52/(CE76+CF76)*BG76),0)</f>
        <v>816</v>
      </c>
      <c r="BH52" s="195">
        <f>ROUND((B52/(CE76+CF76)*BH76),0)</f>
        <v>1822</v>
      </c>
      <c r="BI52" s="195">
        <f>ROUND((B52/(CE76+CF76)*BI76),0)</f>
        <v>0</v>
      </c>
      <c r="BJ52" s="195">
        <f>ROUND((B52/(CE76+CF76)*BJ76),0)</f>
        <v>1719</v>
      </c>
      <c r="BK52" s="195">
        <f>ROUND((B52/(CE76+CF76)*BK76),0)</f>
        <v>4899</v>
      </c>
      <c r="BL52" s="195">
        <f>ROUND((B52/(CE76+CF76)*BL76),0)</f>
        <v>704</v>
      </c>
      <c r="BM52" s="195">
        <f>ROUND((B52/(CE76+CF76)*BM76),0)</f>
        <v>0</v>
      </c>
      <c r="BN52" s="195">
        <f>ROUND((B52/(CE76+CF76)*BN76),0)</f>
        <v>1959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903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4215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685</v>
      </c>
      <c r="BZ52" s="195">
        <f>ROUND((B52/(CE76+CF76)*BZ76),0)</f>
        <v>0</v>
      </c>
      <c r="CA52" s="195">
        <f>ROUND((B52/(CE76+CF76)*CA76),0)</f>
        <v>6009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230798</v>
      </c>
    </row>
    <row r="53" spans="1:84" ht="12.6" customHeight="1" x14ac:dyDescent="0.25">
      <c r="A53" s="175" t="s">
        <v>206</v>
      </c>
      <c r="B53" s="195">
        <f>B51+B52</f>
        <v>1301781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/>
      <c r="E59" s="184">
        <v>1725</v>
      </c>
      <c r="F59" s="184"/>
      <c r="G59" s="184"/>
      <c r="H59" s="184"/>
      <c r="I59" s="184"/>
      <c r="J59" s="184">
        <v>387</v>
      </c>
      <c r="K59" s="184"/>
      <c r="L59" s="184">
        <v>49</v>
      </c>
      <c r="M59" s="184"/>
      <c r="N59" s="184"/>
      <c r="O59" s="184">
        <v>216</v>
      </c>
      <c r="P59" s="185">
        <v>116968</v>
      </c>
      <c r="Q59" s="185">
        <v>125899</v>
      </c>
      <c r="R59" s="185">
        <v>125724</v>
      </c>
      <c r="S59" s="247"/>
      <c r="T59" s="247"/>
      <c r="U59" s="224">
        <v>73713</v>
      </c>
      <c r="V59" s="185">
        <v>2350</v>
      </c>
      <c r="W59" s="185"/>
      <c r="X59" s="185"/>
      <c r="Y59" s="185"/>
      <c r="Z59" s="185"/>
      <c r="AA59" s="185"/>
      <c r="AB59" s="247"/>
      <c r="AC59" s="185">
        <v>1432</v>
      </c>
      <c r="AD59" s="185"/>
      <c r="AE59" s="185">
        <v>12540</v>
      </c>
      <c r="AF59" s="185"/>
      <c r="AG59" s="185">
        <v>8824</v>
      </c>
      <c r="AH59" s="185"/>
      <c r="AI59" s="185"/>
      <c r="AJ59" s="185"/>
      <c r="AK59" s="185"/>
      <c r="AL59" s="185"/>
      <c r="AM59" s="185"/>
      <c r="AN59" s="185"/>
      <c r="AO59" s="185"/>
      <c r="AP59" s="185">
        <v>19884</v>
      </c>
      <c r="AQ59" s="185"/>
      <c r="AR59" s="185"/>
      <c r="AS59" s="185"/>
      <c r="AT59" s="185"/>
      <c r="AU59" s="185"/>
      <c r="AV59" s="247"/>
      <c r="AW59" s="247"/>
      <c r="AX59" s="247"/>
      <c r="AY59" s="185">
        <v>8233</v>
      </c>
      <c r="AZ59" s="185"/>
      <c r="BA59" s="247"/>
      <c r="BB59" s="247"/>
      <c r="BC59" s="247"/>
      <c r="BD59" s="247"/>
      <c r="BE59" s="185">
        <v>82579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0</v>
      </c>
      <c r="D60" s="187"/>
      <c r="E60" s="187">
        <v>28.17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5.42</v>
      </c>
      <c r="P60" s="221">
        <v>9.9600000000000009</v>
      </c>
      <c r="Q60" s="221">
        <v>4.72</v>
      </c>
      <c r="R60" s="221">
        <v>0.21</v>
      </c>
      <c r="S60" s="221">
        <v>2.08</v>
      </c>
      <c r="T60" s="221"/>
      <c r="U60" s="221">
        <v>8.66</v>
      </c>
      <c r="V60" s="221"/>
      <c r="W60" s="221"/>
      <c r="X60" s="221"/>
      <c r="Y60" s="221">
        <v>10.97</v>
      </c>
      <c r="Z60" s="221"/>
      <c r="AA60" s="221"/>
      <c r="AB60" s="221">
        <v>2.0299999999999998</v>
      </c>
      <c r="AC60" s="221">
        <v>2.94</v>
      </c>
      <c r="AD60" s="221"/>
      <c r="AE60" s="221">
        <v>6.17</v>
      </c>
      <c r="AF60" s="221"/>
      <c r="AG60" s="221">
        <v>20.82</v>
      </c>
      <c r="AH60" s="221"/>
      <c r="AI60" s="221"/>
      <c r="AJ60" s="221"/>
      <c r="AK60" s="221"/>
      <c r="AL60" s="221"/>
      <c r="AM60" s="221"/>
      <c r="AN60" s="221"/>
      <c r="AO60" s="221"/>
      <c r="AP60" s="221">
        <v>37.380000000000003</v>
      </c>
      <c r="AQ60" s="221"/>
      <c r="AR60" s="221"/>
      <c r="AS60" s="221"/>
      <c r="AT60" s="221"/>
      <c r="AU60" s="221"/>
      <c r="AV60" s="221"/>
      <c r="AW60" s="221"/>
      <c r="AX60" s="221"/>
      <c r="AY60" s="221">
        <v>5.84</v>
      </c>
      <c r="AZ60" s="221"/>
      <c r="BA60" s="221"/>
      <c r="BB60" s="221"/>
      <c r="BC60" s="221"/>
      <c r="BD60" s="221">
        <v>1.81</v>
      </c>
      <c r="BE60" s="221">
        <v>3.12</v>
      </c>
      <c r="BF60" s="221">
        <v>9.16</v>
      </c>
      <c r="BG60" s="221">
        <v>0.39</v>
      </c>
      <c r="BH60" s="221">
        <v>2.85</v>
      </c>
      <c r="BI60" s="221"/>
      <c r="BJ60" s="221">
        <v>4.09</v>
      </c>
      <c r="BK60" s="221">
        <v>12.17</v>
      </c>
      <c r="BL60" s="221">
        <v>4.8099999999999996</v>
      </c>
      <c r="BM60" s="221"/>
      <c r="BN60" s="221">
        <v>3.35</v>
      </c>
      <c r="BO60" s="221">
        <v>0.3</v>
      </c>
      <c r="BP60" s="221"/>
      <c r="BQ60" s="221"/>
      <c r="BR60" s="221">
        <v>2.08</v>
      </c>
      <c r="BS60" s="221"/>
      <c r="BT60" s="221"/>
      <c r="BU60" s="221"/>
      <c r="BV60" s="221">
        <v>8.18</v>
      </c>
      <c r="BW60" s="221"/>
      <c r="BX60" s="221">
        <v>1.0900000000000001</v>
      </c>
      <c r="BY60" s="221">
        <v>2</v>
      </c>
      <c r="BZ60" s="221"/>
      <c r="CA60" s="221">
        <v>0.03</v>
      </c>
      <c r="CB60" s="221"/>
      <c r="CC60" s="221">
        <v>0.1</v>
      </c>
      <c r="CD60" s="248" t="s">
        <v>221</v>
      </c>
      <c r="CE60" s="250">
        <f t="shared" ref="CE60:CE70" si="0">SUM(C60:CD60)</f>
        <v>200.9</v>
      </c>
    </row>
    <row r="61" spans="1:84" ht="12.6" customHeight="1" x14ac:dyDescent="0.25">
      <c r="A61" s="171" t="s">
        <v>235</v>
      </c>
      <c r="B61" s="175"/>
      <c r="C61" s="184"/>
      <c r="D61" s="184"/>
      <c r="E61" s="184">
        <f>2058095-46473.19</f>
        <v>2011621.81</v>
      </c>
      <c r="F61" s="185"/>
      <c r="G61" s="184"/>
      <c r="H61" s="184"/>
      <c r="I61" s="185"/>
      <c r="J61" s="185"/>
      <c r="K61" s="185"/>
      <c r="L61" s="185">
        <v>46473.19</v>
      </c>
      <c r="M61" s="184"/>
      <c r="N61" s="184"/>
      <c r="O61" s="184">
        <v>470870</v>
      </c>
      <c r="P61" s="185">
        <v>754322</v>
      </c>
      <c r="Q61" s="185">
        <v>451511</v>
      </c>
      <c r="R61" s="185">
        <v>41960</v>
      </c>
      <c r="S61" s="185">
        <v>59500</v>
      </c>
      <c r="T61" s="185"/>
      <c r="U61" s="185">
        <f>540667</f>
        <v>540667</v>
      </c>
      <c r="V61" s="185">
        <v>930</v>
      </c>
      <c r="W61" s="185"/>
      <c r="X61" s="185"/>
      <c r="Y61" s="185">
        <v>805238</v>
      </c>
      <c r="Z61" s="185"/>
      <c r="AA61" s="185"/>
      <c r="AB61" s="185">
        <v>183173</v>
      </c>
      <c r="AC61" s="185">
        <v>225195</v>
      </c>
      <c r="AD61" s="185"/>
      <c r="AE61" s="185">
        <v>446500</v>
      </c>
      <c r="AF61" s="185"/>
      <c r="AG61" s="185">
        <v>1526279</v>
      </c>
      <c r="AH61" s="185"/>
      <c r="AI61" s="185"/>
      <c r="AJ61" s="185"/>
      <c r="AK61" s="185"/>
      <c r="AL61" s="185"/>
      <c r="AM61" s="185"/>
      <c r="AN61" s="185"/>
      <c r="AO61" s="185"/>
      <c r="AP61" s="185">
        <v>3962398</v>
      </c>
      <c r="AQ61" s="185"/>
      <c r="AR61" s="185"/>
      <c r="AS61" s="185"/>
      <c r="AT61" s="185"/>
      <c r="AU61" s="185"/>
      <c r="AV61" s="185"/>
      <c r="AW61" s="185"/>
      <c r="AX61" s="185"/>
      <c r="AY61" s="185">
        <v>221406</v>
      </c>
      <c r="AZ61" s="185"/>
      <c r="BA61" s="185"/>
      <c r="BB61" s="185"/>
      <c r="BC61" s="185"/>
      <c r="BD61" s="185">
        <v>88410</v>
      </c>
      <c r="BE61" s="185">
        <v>192005</v>
      </c>
      <c r="BF61" s="185">
        <v>308281</v>
      </c>
      <c r="BG61" s="185">
        <v>24181</v>
      </c>
      <c r="BH61" s="185">
        <v>212558</v>
      </c>
      <c r="BI61" s="185"/>
      <c r="BJ61" s="185">
        <v>363086</v>
      </c>
      <c r="BK61" s="185">
        <v>432784</v>
      </c>
      <c r="BL61" s="185">
        <v>166878</v>
      </c>
      <c r="BM61" s="185"/>
      <c r="BN61" s="185">
        <v>434865</v>
      </c>
      <c r="BO61" s="185">
        <v>40757</v>
      </c>
      <c r="BP61" s="185"/>
      <c r="BQ61" s="185"/>
      <c r="BR61" s="185">
        <v>167341</v>
      </c>
      <c r="BS61" s="185"/>
      <c r="BT61" s="185"/>
      <c r="BU61" s="185"/>
      <c r="BV61" s="185">
        <v>373757</v>
      </c>
      <c r="BW61" s="185"/>
      <c r="BX61" s="185">
        <v>74736</v>
      </c>
      <c r="BY61" s="185">
        <v>210367</v>
      </c>
      <c r="BZ61" s="185"/>
      <c r="CA61" s="185">
        <v>2548</v>
      </c>
      <c r="CB61" s="185"/>
      <c r="CC61" s="185">
        <v>24406</v>
      </c>
      <c r="CD61" s="248" t="s">
        <v>221</v>
      </c>
      <c r="CE61" s="195">
        <f t="shared" si="0"/>
        <v>14865004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0</v>
      </c>
      <c r="D62" s="195">
        <f t="shared" si="1"/>
        <v>0</v>
      </c>
      <c r="E62" s="195">
        <f t="shared" si="1"/>
        <v>516127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11924</v>
      </c>
      <c r="M62" s="195">
        <f t="shared" si="1"/>
        <v>0</v>
      </c>
      <c r="N62" s="195">
        <f t="shared" si="1"/>
        <v>0</v>
      </c>
      <c r="O62" s="195">
        <f t="shared" si="1"/>
        <v>142905</v>
      </c>
      <c r="P62" s="195">
        <f t="shared" si="1"/>
        <v>205235</v>
      </c>
      <c r="Q62" s="195">
        <f t="shared" si="1"/>
        <v>99330</v>
      </c>
      <c r="R62" s="195">
        <f t="shared" si="1"/>
        <v>9427</v>
      </c>
      <c r="S62" s="195">
        <f t="shared" si="1"/>
        <v>29879</v>
      </c>
      <c r="T62" s="195">
        <f t="shared" si="1"/>
        <v>0</v>
      </c>
      <c r="U62" s="195">
        <f t="shared" si="1"/>
        <v>133997</v>
      </c>
      <c r="V62" s="195">
        <f t="shared" si="1"/>
        <v>0</v>
      </c>
      <c r="W62" s="195">
        <f t="shared" si="1"/>
        <v>0</v>
      </c>
      <c r="X62" s="195">
        <f t="shared" si="1"/>
        <v>0</v>
      </c>
      <c r="Y62" s="195">
        <f t="shared" si="1"/>
        <v>204943</v>
      </c>
      <c r="Z62" s="195">
        <f t="shared" si="1"/>
        <v>0</v>
      </c>
      <c r="AA62" s="195">
        <f t="shared" si="1"/>
        <v>0</v>
      </c>
      <c r="AB62" s="195">
        <f t="shared" si="1"/>
        <v>41473</v>
      </c>
      <c r="AC62" s="195">
        <f t="shared" si="1"/>
        <v>54540</v>
      </c>
      <c r="AD62" s="195">
        <f t="shared" si="1"/>
        <v>0</v>
      </c>
      <c r="AE62" s="195">
        <f t="shared" si="1"/>
        <v>115333</v>
      </c>
      <c r="AF62" s="195">
        <f t="shared" si="1"/>
        <v>0</v>
      </c>
      <c r="AG62" s="195">
        <f t="shared" si="1"/>
        <v>338896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774073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91602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30423</v>
      </c>
      <c r="BE62" s="195">
        <f t="shared" si="1"/>
        <v>54313</v>
      </c>
      <c r="BF62" s="195">
        <f t="shared" si="1"/>
        <v>130148</v>
      </c>
      <c r="BG62" s="195">
        <f t="shared" si="1"/>
        <v>14831</v>
      </c>
      <c r="BH62" s="195">
        <f t="shared" si="1"/>
        <v>55193</v>
      </c>
      <c r="BI62" s="195">
        <f t="shared" si="1"/>
        <v>0</v>
      </c>
      <c r="BJ62" s="195">
        <f t="shared" si="1"/>
        <v>83768</v>
      </c>
      <c r="BK62" s="195">
        <f t="shared" si="1"/>
        <v>175919</v>
      </c>
      <c r="BL62" s="195">
        <f t="shared" si="1"/>
        <v>125972</v>
      </c>
      <c r="BM62" s="195">
        <f t="shared" si="1"/>
        <v>0</v>
      </c>
      <c r="BN62" s="195">
        <f t="shared" si="1"/>
        <v>78990</v>
      </c>
      <c r="BO62" s="195">
        <f t="shared" ref="BO62:CC62" si="2">ROUND(BO47+BO48,0)</f>
        <v>-10</v>
      </c>
      <c r="BP62" s="195">
        <f t="shared" si="2"/>
        <v>0</v>
      </c>
      <c r="BQ62" s="195">
        <f t="shared" si="2"/>
        <v>0</v>
      </c>
      <c r="BR62" s="195">
        <f t="shared" si="2"/>
        <v>39590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118329</v>
      </c>
      <c r="BW62" s="195">
        <f t="shared" si="2"/>
        <v>0</v>
      </c>
      <c r="BX62" s="195">
        <f t="shared" si="2"/>
        <v>19474</v>
      </c>
      <c r="BY62" s="195">
        <f t="shared" si="2"/>
        <v>65036</v>
      </c>
      <c r="BZ62" s="195">
        <f t="shared" si="2"/>
        <v>0</v>
      </c>
      <c r="CA62" s="195">
        <f t="shared" si="2"/>
        <v>10</v>
      </c>
      <c r="CB62" s="195">
        <f t="shared" si="2"/>
        <v>0</v>
      </c>
      <c r="CC62" s="195">
        <f t="shared" si="2"/>
        <v>2022</v>
      </c>
      <c r="CD62" s="248" t="s">
        <v>221</v>
      </c>
      <c r="CE62" s="195">
        <f t="shared" si="0"/>
        <v>3763692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>
        <f>480226-10843.81</f>
        <v>469382.19</v>
      </c>
      <c r="F63" s="185"/>
      <c r="G63" s="184"/>
      <c r="H63" s="184"/>
      <c r="I63" s="185"/>
      <c r="J63" s="185"/>
      <c r="K63" s="185"/>
      <c r="L63" s="185">
        <v>10843.81</v>
      </c>
      <c r="M63" s="184"/>
      <c r="N63" s="184"/>
      <c r="O63" s="184">
        <v>546819</v>
      </c>
      <c r="P63" s="185">
        <v>30751</v>
      </c>
      <c r="Q63" s="185"/>
      <c r="R63" s="185">
        <v>765371</v>
      </c>
      <c r="S63" s="185"/>
      <c r="T63" s="185"/>
      <c r="U63" s="185">
        <v>80586</v>
      </c>
      <c r="V63" s="185"/>
      <c r="W63" s="185"/>
      <c r="X63" s="185"/>
      <c r="Y63" s="185">
        <v>792721</v>
      </c>
      <c r="Z63" s="185"/>
      <c r="AA63" s="185"/>
      <c r="AB63" s="185">
        <v>71930</v>
      </c>
      <c r="AC63" s="185"/>
      <c r="AD63" s="185"/>
      <c r="AE63" s="185"/>
      <c r="AF63" s="185"/>
      <c r="AG63" s="185">
        <v>1718484</v>
      </c>
      <c r="AH63" s="185"/>
      <c r="AI63" s="185"/>
      <c r="AJ63" s="185"/>
      <c r="AK63" s="185"/>
      <c r="AL63" s="185"/>
      <c r="AM63" s="185"/>
      <c r="AN63" s="185"/>
      <c r="AO63" s="185"/>
      <c r="AP63" s="185">
        <v>17124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70392</v>
      </c>
      <c r="BK63" s="185">
        <v>29049</v>
      </c>
      <c r="BL63" s="185"/>
      <c r="BM63" s="185"/>
      <c r="BN63" s="185">
        <v>87078</v>
      </c>
      <c r="BO63" s="185"/>
      <c r="BP63" s="185"/>
      <c r="BQ63" s="185"/>
      <c r="BR63" s="185">
        <v>8904</v>
      </c>
      <c r="BS63" s="185"/>
      <c r="BT63" s="185"/>
      <c r="BU63" s="185"/>
      <c r="BV63" s="185"/>
      <c r="BW63" s="185"/>
      <c r="BX63" s="185"/>
      <c r="BY63" s="185"/>
      <c r="BZ63" s="185"/>
      <c r="CA63" s="185">
        <v>5500</v>
      </c>
      <c r="CB63" s="185"/>
      <c r="CC63" s="185"/>
      <c r="CD63" s="248" t="s">
        <v>221</v>
      </c>
      <c r="CE63" s="195">
        <f t="shared" si="0"/>
        <v>4704935</v>
      </c>
      <c r="CF63" s="251"/>
    </row>
    <row r="64" spans="1:84" ht="12.6" customHeight="1" x14ac:dyDescent="0.25">
      <c r="A64" s="171" t="s">
        <v>237</v>
      </c>
      <c r="B64" s="175"/>
      <c r="C64" s="184"/>
      <c r="D64" s="184"/>
      <c r="E64" s="185">
        <f>74643-1685.48</f>
        <v>72957.52</v>
      </c>
      <c r="F64" s="185"/>
      <c r="G64" s="184"/>
      <c r="H64" s="184"/>
      <c r="I64" s="185"/>
      <c r="J64" s="185"/>
      <c r="K64" s="185"/>
      <c r="L64" s="185">
        <v>1685.48</v>
      </c>
      <c r="M64" s="184"/>
      <c r="N64" s="184"/>
      <c r="O64" s="184">
        <v>31383</v>
      </c>
      <c r="P64" s="185">
        <v>83885</v>
      </c>
      <c r="Q64" s="185">
        <v>12584</v>
      </c>
      <c r="R64" s="185">
        <v>2169</v>
      </c>
      <c r="S64" s="185">
        <v>2144202</v>
      </c>
      <c r="T64" s="185"/>
      <c r="U64" s="185">
        <f>336303+85978</f>
        <v>422281</v>
      </c>
      <c r="V64" s="185"/>
      <c r="W64" s="185"/>
      <c r="X64" s="185"/>
      <c r="Y64" s="185">
        <v>301077</v>
      </c>
      <c r="Z64" s="185"/>
      <c r="AA64" s="185"/>
      <c r="AB64" s="185">
        <v>480029</v>
      </c>
      <c r="AC64" s="185">
        <v>27446</v>
      </c>
      <c r="AD64" s="185"/>
      <c r="AE64" s="185">
        <v>15213</v>
      </c>
      <c r="AF64" s="185"/>
      <c r="AG64" s="185">
        <v>79027</v>
      </c>
      <c r="AH64" s="185"/>
      <c r="AI64" s="185"/>
      <c r="AJ64" s="185"/>
      <c r="AK64" s="185"/>
      <c r="AL64" s="185"/>
      <c r="AM64" s="185"/>
      <c r="AN64" s="185"/>
      <c r="AO64" s="185"/>
      <c r="AP64" s="185">
        <v>174861</v>
      </c>
      <c r="AQ64" s="185"/>
      <c r="AR64" s="185"/>
      <c r="AS64" s="185"/>
      <c r="AT64" s="185"/>
      <c r="AU64" s="185"/>
      <c r="AV64" s="185"/>
      <c r="AW64" s="185"/>
      <c r="AX64" s="185"/>
      <c r="AY64" s="185">
        <v>153494</v>
      </c>
      <c r="AZ64" s="185"/>
      <c r="BA64" s="185"/>
      <c r="BB64" s="185"/>
      <c r="BC64" s="185"/>
      <c r="BD64" s="185">
        <v>738</v>
      </c>
      <c r="BE64" s="185">
        <f>38699+7</f>
        <v>38706</v>
      </c>
      <c r="BF64" s="185">
        <v>31440</v>
      </c>
      <c r="BG64" s="185">
        <v>17</v>
      </c>
      <c r="BH64" s="185">
        <v>22321</v>
      </c>
      <c r="BI64" s="185"/>
      <c r="BJ64" s="185">
        <v>22123</v>
      </c>
      <c r="BK64" s="185">
        <v>46905</v>
      </c>
      <c r="BL64" s="185">
        <v>5174</v>
      </c>
      <c r="BM64" s="185"/>
      <c r="BN64" s="185">
        <v>3564</v>
      </c>
      <c r="BO64" s="185"/>
      <c r="BP64" s="185"/>
      <c r="BQ64" s="185"/>
      <c r="BR64" s="185">
        <v>454</v>
      </c>
      <c r="BS64" s="185"/>
      <c r="BT64" s="185"/>
      <c r="BU64" s="185"/>
      <c r="BV64" s="185">
        <v>3316</v>
      </c>
      <c r="BW64" s="185"/>
      <c r="BX64" s="185"/>
      <c r="BY64" s="185">
        <v>61</v>
      </c>
      <c r="BZ64" s="185"/>
      <c r="CA64" s="185">
        <v>19012</v>
      </c>
      <c r="CB64" s="185"/>
      <c r="CC64" s="185"/>
      <c r="CD64" s="248" t="s">
        <v>221</v>
      </c>
      <c r="CE64" s="195">
        <f t="shared" si="0"/>
        <v>4196125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>
        <v>0</v>
      </c>
      <c r="F65" s="184"/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43685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285316+42973</f>
        <v>328289</v>
      </c>
      <c r="BF65" s="185"/>
      <c r="BG65" s="185">
        <v>79181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f t="shared" si="0"/>
        <v>451155</v>
      </c>
      <c r="CF65" s="251"/>
    </row>
    <row r="66" spans="1:84" ht="12.6" customHeight="1" x14ac:dyDescent="0.25">
      <c r="A66" s="171" t="s">
        <v>239</v>
      </c>
      <c r="B66" s="175"/>
      <c r="C66" s="184"/>
      <c r="D66" s="184"/>
      <c r="E66" s="184">
        <f>186197-4204.49</f>
        <v>181992.51</v>
      </c>
      <c r="F66" s="184"/>
      <c r="G66" s="184"/>
      <c r="H66" s="184"/>
      <c r="I66" s="184"/>
      <c r="J66" s="184"/>
      <c r="K66" s="185"/>
      <c r="L66" s="185">
        <v>4204.49</v>
      </c>
      <c r="M66" s="184"/>
      <c r="N66" s="184"/>
      <c r="O66" s="185">
        <v>51081</v>
      </c>
      <c r="P66" s="185">
        <v>116160</v>
      </c>
      <c r="Q66" s="185">
        <v>5416</v>
      </c>
      <c r="R66" s="185">
        <v>3025</v>
      </c>
      <c r="S66" s="184">
        <v>10683</v>
      </c>
      <c r="T66" s="184"/>
      <c r="U66" s="185">
        <v>132853</v>
      </c>
      <c r="V66" s="185"/>
      <c r="W66" s="185"/>
      <c r="X66" s="185"/>
      <c r="Y66" s="185">
        <v>456305</v>
      </c>
      <c r="Z66" s="185"/>
      <c r="AA66" s="185"/>
      <c r="AB66" s="185">
        <v>17169</v>
      </c>
      <c r="AC66" s="185">
        <v>8962</v>
      </c>
      <c r="AD66" s="185"/>
      <c r="AE66" s="185">
        <v>27288</v>
      </c>
      <c r="AF66" s="185"/>
      <c r="AG66" s="185">
        <v>77831</v>
      </c>
      <c r="AH66" s="185"/>
      <c r="AI66" s="185"/>
      <c r="AJ66" s="185"/>
      <c r="AK66" s="185"/>
      <c r="AL66" s="185"/>
      <c r="AM66" s="185"/>
      <c r="AN66" s="185"/>
      <c r="AO66" s="185"/>
      <c r="AP66" s="185">
        <v>176083</v>
      </c>
      <c r="AQ66" s="185"/>
      <c r="AR66" s="185"/>
      <c r="AS66" s="185"/>
      <c r="AT66" s="185"/>
      <c r="AU66" s="185"/>
      <c r="AV66" s="185"/>
      <c r="AW66" s="185"/>
      <c r="AX66" s="185"/>
      <c r="AY66" s="185">
        <v>6123</v>
      </c>
      <c r="AZ66" s="185"/>
      <c r="BA66" s="185">
        <v>132438</v>
      </c>
      <c r="BB66" s="185"/>
      <c r="BC66" s="185"/>
      <c r="BD66" s="185">
        <v>5136</v>
      </c>
      <c r="BE66" s="185">
        <f>81017+927</f>
        <v>81944</v>
      </c>
      <c r="BF66" s="185">
        <v>3003</v>
      </c>
      <c r="BG66" s="185">
        <v>13459</v>
      </c>
      <c r="BH66" s="185">
        <v>218004</v>
      </c>
      <c r="BI66" s="185"/>
      <c r="BJ66" s="185">
        <v>28192</v>
      </c>
      <c r="BK66" s="185">
        <v>135030</v>
      </c>
      <c r="BL66" s="185">
        <v>7108</v>
      </c>
      <c r="BM66" s="185"/>
      <c r="BN66" s="185">
        <v>70271</v>
      </c>
      <c r="BO66" s="185"/>
      <c r="BP66" s="185"/>
      <c r="BQ66" s="185"/>
      <c r="BR66" s="185">
        <v>7176</v>
      </c>
      <c r="BS66" s="185"/>
      <c r="BT66" s="185"/>
      <c r="BU66" s="185"/>
      <c r="BV66" s="185">
        <v>97454</v>
      </c>
      <c r="BW66" s="185"/>
      <c r="BX66" s="185"/>
      <c r="BY66" s="185"/>
      <c r="BZ66" s="185"/>
      <c r="CA66" s="185">
        <v>35778</v>
      </c>
      <c r="CB66" s="185"/>
      <c r="CC66" s="185"/>
      <c r="CD66" s="248" t="s">
        <v>221</v>
      </c>
      <c r="CE66" s="195">
        <f t="shared" si="0"/>
        <v>2110169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0</v>
      </c>
      <c r="D67" s="195">
        <f>ROUND(D51+D52,0)</f>
        <v>0</v>
      </c>
      <c r="E67" s="195">
        <f t="shared" ref="E67:BP67" si="3">ROUND(E51+E52,0)</f>
        <v>58619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397</v>
      </c>
      <c r="K67" s="195">
        <f t="shared" si="3"/>
        <v>0</v>
      </c>
      <c r="L67" s="195">
        <f t="shared" si="3"/>
        <v>942</v>
      </c>
      <c r="M67" s="195">
        <f t="shared" si="3"/>
        <v>0</v>
      </c>
      <c r="N67" s="195">
        <f t="shared" si="3"/>
        <v>0</v>
      </c>
      <c r="O67" s="195">
        <f t="shared" si="3"/>
        <v>45748</v>
      </c>
      <c r="P67" s="195">
        <f t="shared" si="3"/>
        <v>316369</v>
      </c>
      <c r="Q67" s="195">
        <f t="shared" si="3"/>
        <v>8040</v>
      </c>
      <c r="R67" s="195">
        <f t="shared" si="3"/>
        <v>0</v>
      </c>
      <c r="S67" s="195">
        <f t="shared" si="3"/>
        <v>5304</v>
      </c>
      <c r="T67" s="195">
        <f t="shared" si="3"/>
        <v>0</v>
      </c>
      <c r="U67" s="195">
        <f t="shared" si="3"/>
        <v>25869</v>
      </c>
      <c r="V67" s="195">
        <f t="shared" si="3"/>
        <v>366</v>
      </c>
      <c r="W67" s="195">
        <f t="shared" si="3"/>
        <v>0</v>
      </c>
      <c r="X67" s="195">
        <f t="shared" si="3"/>
        <v>0</v>
      </c>
      <c r="Y67" s="195">
        <f t="shared" si="3"/>
        <v>373052</v>
      </c>
      <c r="Z67" s="195">
        <f t="shared" si="3"/>
        <v>0</v>
      </c>
      <c r="AA67" s="195">
        <f t="shared" si="3"/>
        <v>0</v>
      </c>
      <c r="AB67" s="195">
        <f t="shared" si="3"/>
        <v>1643</v>
      </c>
      <c r="AC67" s="195">
        <f t="shared" si="3"/>
        <v>12680</v>
      </c>
      <c r="AD67" s="195">
        <f t="shared" si="3"/>
        <v>0</v>
      </c>
      <c r="AE67" s="195">
        <f t="shared" si="3"/>
        <v>6573</v>
      </c>
      <c r="AF67" s="195">
        <f t="shared" si="3"/>
        <v>0</v>
      </c>
      <c r="AG67" s="195">
        <f t="shared" si="3"/>
        <v>166614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99144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12997</v>
      </c>
      <c r="AZ67" s="195">
        <f>ROUND(AZ51+AZ52,0)</f>
        <v>0</v>
      </c>
      <c r="BA67" s="195">
        <f>ROUND(BA51+BA52,0)</f>
        <v>1414</v>
      </c>
      <c r="BB67" s="195">
        <f t="shared" si="3"/>
        <v>0</v>
      </c>
      <c r="BC67" s="195">
        <f t="shared" si="3"/>
        <v>0</v>
      </c>
      <c r="BD67" s="195">
        <f t="shared" si="3"/>
        <v>959</v>
      </c>
      <c r="BE67" s="195">
        <f t="shared" si="3"/>
        <v>97024</v>
      </c>
      <c r="BF67" s="195">
        <f t="shared" si="3"/>
        <v>1360</v>
      </c>
      <c r="BG67" s="195">
        <f t="shared" si="3"/>
        <v>816</v>
      </c>
      <c r="BH67" s="195">
        <f t="shared" si="3"/>
        <v>21172</v>
      </c>
      <c r="BI67" s="195">
        <f t="shared" si="3"/>
        <v>0</v>
      </c>
      <c r="BJ67" s="195">
        <f t="shared" si="3"/>
        <v>20815</v>
      </c>
      <c r="BK67" s="195">
        <f t="shared" si="3"/>
        <v>4899</v>
      </c>
      <c r="BL67" s="195">
        <f t="shared" si="3"/>
        <v>704</v>
      </c>
      <c r="BM67" s="195">
        <f t="shared" si="3"/>
        <v>0</v>
      </c>
      <c r="BN67" s="195">
        <f t="shared" si="3"/>
        <v>1959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903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4680</v>
      </c>
      <c r="BW67" s="195">
        <f t="shared" si="4"/>
        <v>0</v>
      </c>
      <c r="BX67" s="195">
        <f t="shared" si="4"/>
        <v>0</v>
      </c>
      <c r="BY67" s="195">
        <f t="shared" si="4"/>
        <v>685</v>
      </c>
      <c r="BZ67" s="195">
        <f t="shared" si="4"/>
        <v>0</v>
      </c>
      <c r="CA67" s="195">
        <f t="shared" si="4"/>
        <v>10035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1301782</v>
      </c>
      <c r="CF67" s="251"/>
    </row>
    <row r="68" spans="1:84" ht="12.6" customHeight="1" x14ac:dyDescent="0.25">
      <c r="A68" s="171" t="s">
        <v>240</v>
      </c>
      <c r="B68" s="175"/>
      <c r="C68" s="184"/>
      <c r="D68" s="184"/>
      <c r="E68" s="184">
        <f>66405-1499.4</f>
        <v>64905.599999999999</v>
      </c>
      <c r="F68" s="184"/>
      <c r="G68" s="184"/>
      <c r="H68" s="184"/>
      <c r="I68" s="184"/>
      <c r="J68" s="184"/>
      <c r="K68" s="185"/>
      <c r="L68" s="185">
        <v>1499.4</v>
      </c>
      <c r="M68" s="184"/>
      <c r="N68" s="184"/>
      <c r="O68" s="184">
        <v>7427</v>
      </c>
      <c r="P68" s="185">
        <v>5387</v>
      </c>
      <c r="Q68" s="185">
        <v>31037</v>
      </c>
      <c r="R68" s="185">
        <v>12481</v>
      </c>
      <c r="S68" s="185"/>
      <c r="T68" s="185"/>
      <c r="U68" s="185">
        <v>60434</v>
      </c>
      <c r="V68" s="185"/>
      <c r="W68" s="185"/>
      <c r="X68" s="185"/>
      <c r="Y68" s="185">
        <v>82838</v>
      </c>
      <c r="Z68" s="185"/>
      <c r="AA68" s="185"/>
      <c r="AB68" s="185">
        <v>4577</v>
      </c>
      <c r="AC68" s="185">
        <v>21060</v>
      </c>
      <c r="AD68" s="185"/>
      <c r="AE68" s="185">
        <v>1352</v>
      </c>
      <c r="AF68" s="185"/>
      <c r="AG68" s="185">
        <v>13518</v>
      </c>
      <c r="AH68" s="185"/>
      <c r="AI68" s="185"/>
      <c r="AJ68" s="185"/>
      <c r="AK68" s="185"/>
      <c r="AL68" s="185"/>
      <c r="AM68" s="185"/>
      <c r="AN68" s="185"/>
      <c r="AO68" s="185"/>
      <c r="AP68" s="185">
        <v>13326</v>
      </c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>
        <v>714</v>
      </c>
      <c r="BF68" s="185"/>
      <c r="BG68" s="185">
        <v>2771</v>
      </c>
      <c r="BH68" s="185">
        <v>27000</v>
      </c>
      <c r="BI68" s="185"/>
      <c r="BJ68" s="185">
        <v>8501</v>
      </c>
      <c r="BK68" s="185">
        <v>14992</v>
      </c>
      <c r="BL68" s="185">
        <v>1485</v>
      </c>
      <c r="BM68" s="185"/>
      <c r="BN68" s="185">
        <v>7414</v>
      </c>
      <c r="BO68" s="185"/>
      <c r="BP68" s="185"/>
      <c r="BQ68" s="185"/>
      <c r="BR68" s="185"/>
      <c r="BS68" s="185"/>
      <c r="BT68" s="185"/>
      <c r="BU68" s="185"/>
      <c r="BV68" s="185">
        <v>1740</v>
      </c>
      <c r="BW68" s="185"/>
      <c r="BX68" s="185"/>
      <c r="BY68" s="185"/>
      <c r="BZ68" s="185"/>
      <c r="CA68" s="185"/>
      <c r="CB68" s="185"/>
      <c r="CC68" s="185"/>
      <c r="CD68" s="248" t="s">
        <v>221</v>
      </c>
      <c r="CE68" s="195">
        <f t="shared" si="0"/>
        <v>384459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5">
        <f>2851-64.38</f>
        <v>2786.62</v>
      </c>
      <c r="F69" s="185"/>
      <c r="G69" s="184"/>
      <c r="H69" s="184"/>
      <c r="I69" s="185"/>
      <c r="J69" s="185"/>
      <c r="K69" s="185"/>
      <c r="L69" s="185">
        <v>64.38</v>
      </c>
      <c r="M69" s="184"/>
      <c r="N69" s="184"/>
      <c r="O69" s="184">
        <v>2460</v>
      </c>
      <c r="P69" s="185"/>
      <c r="Q69" s="185">
        <v>971</v>
      </c>
      <c r="R69" s="224">
        <v>120</v>
      </c>
      <c r="S69" s="185"/>
      <c r="T69" s="184"/>
      <c r="U69" s="185">
        <f>1502+195</f>
        <v>1697</v>
      </c>
      <c r="V69" s="185"/>
      <c r="W69" s="184"/>
      <c r="X69" s="185"/>
      <c r="Y69" s="185">
        <v>10792</v>
      </c>
      <c r="Z69" s="185"/>
      <c r="AA69" s="185"/>
      <c r="AB69" s="185">
        <v>545</v>
      </c>
      <c r="AC69" s="185">
        <v>913</v>
      </c>
      <c r="AD69" s="185"/>
      <c r="AE69" s="185">
        <v>8012</v>
      </c>
      <c r="AF69" s="185"/>
      <c r="AG69" s="185">
        <v>5607</v>
      </c>
      <c r="AH69" s="185"/>
      <c r="AI69" s="185"/>
      <c r="AJ69" s="185"/>
      <c r="AK69" s="185"/>
      <c r="AL69" s="185"/>
      <c r="AM69" s="185"/>
      <c r="AN69" s="185"/>
      <c r="AO69" s="184"/>
      <c r="AP69" s="185">
        <v>54719</v>
      </c>
      <c r="AQ69" s="184"/>
      <c r="AR69" s="184"/>
      <c r="AS69" s="184"/>
      <c r="AT69" s="184"/>
      <c r="AU69" s="185"/>
      <c r="AV69" s="185"/>
      <c r="AW69" s="185"/>
      <c r="AX69" s="185"/>
      <c r="AY69" s="185">
        <v>1177</v>
      </c>
      <c r="AZ69" s="185"/>
      <c r="BA69" s="185"/>
      <c r="BB69" s="185"/>
      <c r="BC69" s="185"/>
      <c r="BD69" s="185">
        <v>2427</v>
      </c>
      <c r="BE69" s="185">
        <v>2399</v>
      </c>
      <c r="BF69" s="185">
        <v>2742</v>
      </c>
      <c r="BG69" s="185"/>
      <c r="BH69" s="224">
        <v>415</v>
      </c>
      <c r="BI69" s="185"/>
      <c r="BJ69" s="185">
        <v>6630</v>
      </c>
      <c r="BK69" s="185">
        <v>5875</v>
      </c>
      <c r="BL69" s="185">
        <v>1</v>
      </c>
      <c r="BM69" s="185"/>
      <c r="BN69" s="185">
        <v>75759</v>
      </c>
      <c r="BO69" s="185">
        <v>1732</v>
      </c>
      <c r="BP69" s="185"/>
      <c r="BQ69" s="185"/>
      <c r="BR69" s="185">
        <v>41892</v>
      </c>
      <c r="BS69" s="185"/>
      <c r="BT69" s="185"/>
      <c r="BU69" s="185"/>
      <c r="BV69" s="185">
        <v>1628</v>
      </c>
      <c r="BW69" s="185"/>
      <c r="BX69" s="185">
        <v>71</v>
      </c>
      <c r="BY69" s="185">
        <v>4137</v>
      </c>
      <c r="BZ69" s="185"/>
      <c r="CA69" s="185">
        <v>802</v>
      </c>
      <c r="CB69" s="185"/>
      <c r="CC69" s="185">
        <v>4268</v>
      </c>
      <c r="CD69" s="188">
        <f>458355.27+312018.42+7254.2+164476.08</f>
        <v>942103.96999999986</v>
      </c>
      <c r="CE69" s="195">
        <f t="shared" si="0"/>
        <v>1182745.9699999997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2421.6</v>
      </c>
      <c r="T70" s="184"/>
      <c r="U70" s="185"/>
      <c r="V70" s="184"/>
      <c r="W70" s="184"/>
      <c r="X70" s="185"/>
      <c r="Y70" s="185"/>
      <c r="Z70" s="185"/>
      <c r="AA70" s="185"/>
      <c r="AB70" s="185">
        <v>16567.34</v>
      </c>
      <c r="AC70" s="185"/>
      <c r="AD70" s="185"/>
      <c r="AE70" s="185">
        <v>9667.9500000000007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v>39053</v>
      </c>
      <c r="AQ70" s="185"/>
      <c r="AR70" s="185"/>
      <c r="AS70" s="185"/>
      <c r="AT70" s="185"/>
      <c r="AU70" s="185"/>
      <c r="AV70" s="185"/>
      <c r="AW70" s="185"/>
      <c r="AX70" s="185"/>
      <c r="AY70" s="185">
        <v>108712.83</v>
      </c>
      <c r="AZ70" s="185"/>
      <c r="BA70" s="185"/>
      <c r="BB70" s="185"/>
      <c r="BC70" s="185"/>
      <c r="BD70" s="185"/>
      <c r="BE70" s="185"/>
      <c r="BF70" s="185"/>
      <c r="BG70" s="185">
        <v>1177.8</v>
      </c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16948.599999999999</v>
      </c>
      <c r="BW70" s="185"/>
      <c r="BX70" s="185"/>
      <c r="BY70" s="185"/>
      <c r="BZ70" s="185"/>
      <c r="CA70" s="185">
        <v>2150</v>
      </c>
      <c r="CB70" s="185"/>
      <c r="CC70" s="185"/>
      <c r="CD70" s="188">
        <v>265543</v>
      </c>
      <c r="CE70" s="195">
        <f t="shared" si="0"/>
        <v>462242.12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0</v>
      </c>
      <c r="D71" s="195">
        <f t="shared" ref="D71:AI71" si="5">SUM(D61:D69)-D70</f>
        <v>0</v>
      </c>
      <c r="E71" s="195">
        <f t="shared" si="5"/>
        <v>3378392.2500000005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397</v>
      </c>
      <c r="K71" s="195">
        <f t="shared" si="5"/>
        <v>0</v>
      </c>
      <c r="L71" s="195">
        <f t="shared" si="5"/>
        <v>77636.75</v>
      </c>
      <c r="M71" s="195">
        <f t="shared" si="5"/>
        <v>0</v>
      </c>
      <c r="N71" s="195">
        <f t="shared" si="5"/>
        <v>0</v>
      </c>
      <c r="O71" s="195">
        <f t="shared" si="5"/>
        <v>1298693</v>
      </c>
      <c r="P71" s="195">
        <f t="shared" si="5"/>
        <v>1512109</v>
      </c>
      <c r="Q71" s="195">
        <f t="shared" si="5"/>
        <v>608889</v>
      </c>
      <c r="R71" s="195">
        <f t="shared" si="5"/>
        <v>834553</v>
      </c>
      <c r="S71" s="195">
        <f t="shared" si="5"/>
        <v>2247146.4</v>
      </c>
      <c r="T71" s="195">
        <f t="shared" si="5"/>
        <v>0</v>
      </c>
      <c r="U71" s="195">
        <f t="shared" si="5"/>
        <v>1398384</v>
      </c>
      <c r="V71" s="195">
        <f t="shared" si="5"/>
        <v>1296</v>
      </c>
      <c r="W71" s="195">
        <f t="shared" si="5"/>
        <v>0</v>
      </c>
      <c r="X71" s="195">
        <f t="shared" si="5"/>
        <v>0</v>
      </c>
      <c r="Y71" s="195">
        <f t="shared" si="5"/>
        <v>3026966</v>
      </c>
      <c r="Z71" s="195">
        <f t="shared" si="5"/>
        <v>0</v>
      </c>
      <c r="AA71" s="195">
        <f t="shared" si="5"/>
        <v>0</v>
      </c>
      <c r="AB71" s="195">
        <f t="shared" si="5"/>
        <v>783971.66</v>
      </c>
      <c r="AC71" s="195">
        <f t="shared" si="5"/>
        <v>350796</v>
      </c>
      <c r="AD71" s="195">
        <f t="shared" si="5"/>
        <v>0</v>
      </c>
      <c r="AE71" s="195">
        <f t="shared" si="5"/>
        <v>610603.05000000005</v>
      </c>
      <c r="AF71" s="195">
        <f t="shared" si="5"/>
        <v>0</v>
      </c>
      <c r="AG71" s="195">
        <f t="shared" si="5"/>
        <v>3926256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5276360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378086.17</v>
      </c>
      <c r="AZ71" s="195">
        <f t="shared" si="6"/>
        <v>0</v>
      </c>
      <c r="BA71" s="195">
        <f t="shared" si="6"/>
        <v>133852</v>
      </c>
      <c r="BB71" s="195">
        <f t="shared" si="6"/>
        <v>0</v>
      </c>
      <c r="BC71" s="195">
        <f t="shared" si="6"/>
        <v>0</v>
      </c>
      <c r="BD71" s="195">
        <f t="shared" si="6"/>
        <v>128093</v>
      </c>
      <c r="BE71" s="195">
        <f t="shared" si="6"/>
        <v>795394</v>
      </c>
      <c r="BF71" s="195">
        <f t="shared" si="6"/>
        <v>476974</v>
      </c>
      <c r="BG71" s="195">
        <f t="shared" si="6"/>
        <v>134078.20000000001</v>
      </c>
      <c r="BH71" s="195">
        <f t="shared" si="6"/>
        <v>556663</v>
      </c>
      <c r="BI71" s="195">
        <f t="shared" si="6"/>
        <v>0</v>
      </c>
      <c r="BJ71" s="195">
        <f t="shared" si="6"/>
        <v>603507</v>
      </c>
      <c r="BK71" s="195">
        <f t="shared" si="6"/>
        <v>845453</v>
      </c>
      <c r="BL71" s="195">
        <f t="shared" si="6"/>
        <v>307322</v>
      </c>
      <c r="BM71" s="195">
        <f t="shared" si="6"/>
        <v>0</v>
      </c>
      <c r="BN71" s="195">
        <f t="shared" si="6"/>
        <v>759900</v>
      </c>
      <c r="BO71" s="195">
        <f t="shared" si="6"/>
        <v>42479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266260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583955.4</v>
      </c>
      <c r="BW71" s="195">
        <f t="shared" si="7"/>
        <v>0</v>
      </c>
      <c r="BX71" s="195">
        <f t="shared" si="7"/>
        <v>94281</v>
      </c>
      <c r="BY71" s="195">
        <f t="shared" si="7"/>
        <v>280286</v>
      </c>
      <c r="BZ71" s="195">
        <f t="shared" si="7"/>
        <v>0</v>
      </c>
      <c r="CA71" s="195">
        <f t="shared" si="7"/>
        <v>71535</v>
      </c>
      <c r="CB71" s="195">
        <f t="shared" si="7"/>
        <v>0</v>
      </c>
      <c r="CC71" s="195">
        <f t="shared" si="7"/>
        <v>30696</v>
      </c>
      <c r="CD71" s="244">
        <f>CD69-CD70</f>
        <v>676560.96999999986</v>
      </c>
      <c r="CE71" s="195">
        <f>SUM(CE61:CE69)-CE70</f>
        <v>32497824.849999998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88">
        <v>1039314</v>
      </c>
      <c r="CF72" s="251"/>
    </row>
    <row r="73" spans="1:84" ht="12.6" customHeight="1" x14ac:dyDescent="0.25">
      <c r="A73" s="171" t="s">
        <v>245</v>
      </c>
      <c r="B73" s="175"/>
      <c r="C73" s="184"/>
      <c r="D73" s="184"/>
      <c r="E73" s="185">
        <f>2686919-62631</f>
        <v>2624288</v>
      </c>
      <c r="F73" s="185"/>
      <c r="G73" s="184"/>
      <c r="H73" s="184"/>
      <c r="I73" s="185"/>
      <c r="J73" s="185">
        <v>416629</v>
      </c>
      <c r="K73" s="185"/>
      <c r="L73" s="185">
        <v>62631</v>
      </c>
      <c r="M73" s="184"/>
      <c r="N73" s="184"/>
      <c r="O73" s="184">
        <v>1145924</v>
      </c>
      <c r="P73" s="185">
        <v>1570778</v>
      </c>
      <c r="Q73" s="185">
        <v>234554</v>
      </c>
      <c r="R73" s="185">
        <v>689764</v>
      </c>
      <c r="S73" s="185">
        <v>2014356</v>
      </c>
      <c r="T73" s="185"/>
      <c r="U73" s="185">
        <f>1030217+157369</f>
        <v>1187586</v>
      </c>
      <c r="V73" s="185">
        <v>33822</v>
      </c>
      <c r="W73" s="185"/>
      <c r="X73" s="185"/>
      <c r="Y73" s="185">
        <v>876252</v>
      </c>
      <c r="Z73" s="185"/>
      <c r="AA73" s="185"/>
      <c r="AB73" s="185">
        <v>761087</v>
      </c>
      <c r="AC73" s="185">
        <v>248636</v>
      </c>
      <c r="AD73" s="185"/>
      <c r="AE73" s="185">
        <v>67705</v>
      </c>
      <c r="AF73" s="185"/>
      <c r="AG73" s="185">
        <v>266775</v>
      </c>
      <c r="AH73" s="185"/>
      <c r="AI73" s="185"/>
      <c r="AJ73" s="185"/>
      <c r="AK73" s="185"/>
      <c r="AL73" s="185"/>
      <c r="AM73" s="185"/>
      <c r="AN73" s="185"/>
      <c r="AO73" s="185"/>
      <c r="AP73" s="185">
        <v>1204063</v>
      </c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13404850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f>1594737+11601</f>
        <v>1606338</v>
      </c>
      <c r="F74" s="185"/>
      <c r="G74" s="184"/>
      <c r="H74" s="184"/>
      <c r="I74" s="184"/>
      <c r="J74" s="185">
        <v>3024</v>
      </c>
      <c r="K74" s="185"/>
      <c r="L74" s="185"/>
      <c r="M74" s="184"/>
      <c r="N74" s="184"/>
      <c r="O74" s="184">
        <v>102551</v>
      </c>
      <c r="P74" s="185">
        <v>4093324</v>
      </c>
      <c r="Q74" s="185">
        <v>1396886</v>
      </c>
      <c r="R74" s="185">
        <v>1455285</v>
      </c>
      <c r="S74" s="185">
        <v>4873989</v>
      </c>
      <c r="T74" s="185"/>
      <c r="U74" s="185">
        <f>4877533+302272</f>
        <v>5179805</v>
      </c>
      <c r="V74" s="185">
        <v>217780</v>
      </c>
      <c r="W74" s="185"/>
      <c r="X74" s="185"/>
      <c r="Y74" s="185">
        <v>15769057</v>
      </c>
      <c r="Z74" s="185"/>
      <c r="AA74" s="185"/>
      <c r="AB74" s="185">
        <v>2157860</v>
      </c>
      <c r="AC74" s="185">
        <v>331411</v>
      </c>
      <c r="AD74" s="185"/>
      <c r="AE74" s="185">
        <v>1627826</v>
      </c>
      <c r="AF74" s="185"/>
      <c r="AG74" s="185">
        <v>6570869</v>
      </c>
      <c r="AH74" s="185"/>
      <c r="AI74" s="185"/>
      <c r="AJ74" s="185"/>
      <c r="AK74" s="185"/>
      <c r="AL74" s="185"/>
      <c r="AM74" s="185"/>
      <c r="AN74" s="185"/>
      <c r="AO74" s="185"/>
      <c r="AP74" s="185">
        <v>6835495</v>
      </c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52221500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0</v>
      </c>
      <c r="D75" s="195">
        <f t="shared" si="9"/>
        <v>0</v>
      </c>
      <c r="E75" s="195">
        <f t="shared" si="9"/>
        <v>4230626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419653</v>
      </c>
      <c r="K75" s="195">
        <f t="shared" si="9"/>
        <v>0</v>
      </c>
      <c r="L75" s="195">
        <f t="shared" si="9"/>
        <v>62631</v>
      </c>
      <c r="M75" s="195">
        <f t="shared" si="9"/>
        <v>0</v>
      </c>
      <c r="N75" s="195">
        <f t="shared" si="9"/>
        <v>0</v>
      </c>
      <c r="O75" s="195">
        <f t="shared" si="9"/>
        <v>1248475</v>
      </c>
      <c r="P75" s="195">
        <f t="shared" si="9"/>
        <v>5664102</v>
      </c>
      <c r="Q75" s="195">
        <f t="shared" si="9"/>
        <v>1631440</v>
      </c>
      <c r="R75" s="195">
        <f t="shared" si="9"/>
        <v>2145049</v>
      </c>
      <c r="S75" s="195">
        <f t="shared" si="9"/>
        <v>6888345</v>
      </c>
      <c r="T75" s="195">
        <f t="shared" si="9"/>
        <v>0</v>
      </c>
      <c r="U75" s="195">
        <f t="shared" si="9"/>
        <v>6367391</v>
      </c>
      <c r="V75" s="195">
        <f t="shared" si="9"/>
        <v>251602</v>
      </c>
      <c r="W75" s="195">
        <f t="shared" si="9"/>
        <v>0</v>
      </c>
      <c r="X75" s="195">
        <f t="shared" si="9"/>
        <v>0</v>
      </c>
      <c r="Y75" s="195">
        <f t="shared" si="9"/>
        <v>16645309</v>
      </c>
      <c r="Z75" s="195">
        <f t="shared" si="9"/>
        <v>0</v>
      </c>
      <c r="AA75" s="195">
        <f t="shared" si="9"/>
        <v>0</v>
      </c>
      <c r="AB75" s="195">
        <f t="shared" si="9"/>
        <v>2918947</v>
      </c>
      <c r="AC75" s="195">
        <f t="shared" si="9"/>
        <v>580047</v>
      </c>
      <c r="AD75" s="195">
        <f t="shared" si="9"/>
        <v>0</v>
      </c>
      <c r="AE75" s="195">
        <f t="shared" si="9"/>
        <v>1695531</v>
      </c>
      <c r="AF75" s="195">
        <f t="shared" si="9"/>
        <v>0</v>
      </c>
      <c r="AG75" s="195">
        <f t="shared" si="9"/>
        <v>6837644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8039558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65626350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f>5137+1058+188</f>
        <v>6383</v>
      </c>
      <c r="F76" s="185"/>
      <c r="G76" s="184"/>
      <c r="H76" s="184"/>
      <c r="I76" s="185"/>
      <c r="J76" s="185">
        <v>142</v>
      </c>
      <c r="K76" s="185"/>
      <c r="L76" s="185"/>
      <c r="M76" s="185"/>
      <c r="N76" s="185"/>
      <c r="O76" s="185">
        <v>1533</v>
      </c>
      <c r="P76" s="185">
        <v>4085</v>
      </c>
      <c r="Q76" s="185">
        <v>1211</v>
      </c>
      <c r="R76" s="185"/>
      <c r="S76" s="185">
        <v>1628</v>
      </c>
      <c r="T76" s="185"/>
      <c r="U76" s="185">
        <v>1213</v>
      </c>
      <c r="V76" s="185"/>
      <c r="W76" s="185"/>
      <c r="X76" s="185"/>
      <c r="Y76" s="185">
        <v>5596</v>
      </c>
      <c r="Z76" s="185"/>
      <c r="AA76" s="185"/>
      <c r="AB76" s="185">
        <v>588</v>
      </c>
      <c r="AC76" s="185">
        <v>394</v>
      </c>
      <c r="AD76" s="185"/>
      <c r="AE76" s="185">
        <v>2332</v>
      </c>
      <c r="AF76" s="185"/>
      <c r="AG76" s="185">
        <v>3601</v>
      </c>
      <c r="AH76" s="185"/>
      <c r="AI76" s="185"/>
      <c r="AJ76" s="185"/>
      <c r="AK76" s="185"/>
      <c r="AL76" s="185"/>
      <c r="AM76" s="185"/>
      <c r="AN76" s="185"/>
      <c r="AO76" s="185"/>
      <c r="AP76" s="185">
        <v>15629</v>
      </c>
      <c r="AQ76" s="185"/>
      <c r="AR76" s="185"/>
      <c r="AS76" s="185"/>
      <c r="AT76" s="185"/>
      <c r="AU76" s="185"/>
      <c r="AV76" s="185"/>
      <c r="AW76" s="185"/>
      <c r="AX76" s="185"/>
      <c r="AY76" s="185">
        <f>1849+305</f>
        <v>2154</v>
      </c>
      <c r="AZ76" s="185"/>
      <c r="BA76" s="185">
        <v>506</v>
      </c>
      <c r="BB76" s="185"/>
      <c r="BC76" s="185"/>
      <c r="BD76" s="185">
        <v>343</v>
      </c>
      <c r="BE76" s="185">
        <f>1822+8954+1689+13935</f>
        <v>26400</v>
      </c>
      <c r="BF76" s="185">
        <f>156+194</f>
        <v>350</v>
      </c>
      <c r="BG76" s="185">
        <v>292</v>
      </c>
      <c r="BH76" s="185">
        <f>436+216</f>
        <v>652</v>
      </c>
      <c r="BI76" s="185"/>
      <c r="BJ76" s="185">
        <f>138+477</f>
        <v>615</v>
      </c>
      <c r="BK76" s="185">
        <f>82+1671</f>
        <v>1753</v>
      </c>
      <c r="BL76" s="185">
        <v>252</v>
      </c>
      <c r="BM76" s="185"/>
      <c r="BN76" s="185">
        <f>701</f>
        <v>701</v>
      </c>
      <c r="BO76" s="185"/>
      <c r="BP76" s="185"/>
      <c r="BQ76" s="185"/>
      <c r="BR76" s="185">
        <v>323</v>
      </c>
      <c r="BS76" s="185"/>
      <c r="BT76" s="185"/>
      <c r="BU76" s="185"/>
      <c r="BV76" s="185">
        <v>1508</v>
      </c>
      <c r="BW76" s="185"/>
      <c r="BX76" s="185"/>
      <c r="BY76" s="185">
        <v>245</v>
      </c>
      <c r="BZ76" s="185"/>
      <c r="CA76" s="185">
        <f>31+2119</f>
        <v>2150</v>
      </c>
      <c r="CB76" s="185"/>
      <c r="CC76" s="185"/>
      <c r="CD76" s="248" t="s">
        <v>221</v>
      </c>
      <c r="CE76" s="195">
        <f t="shared" si="8"/>
        <v>82579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/>
      <c r="D77" s="184"/>
      <c r="E77" s="184">
        <v>6175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2058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8233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/>
      <c r="D78" s="184"/>
      <c r="E78" s="184">
        <f>4925.94+121.21</f>
        <v>5047.1499999999996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742.7</v>
      </c>
      <c r="P78" s="184">
        <v>1292.8900000000001</v>
      </c>
      <c r="Q78" s="184">
        <v>966.1</v>
      </c>
      <c r="R78" s="184"/>
      <c r="S78" s="184">
        <v>181.81</v>
      </c>
      <c r="T78" s="184"/>
      <c r="U78" s="184">
        <v>564.45000000000005</v>
      </c>
      <c r="V78" s="184"/>
      <c r="W78" s="184"/>
      <c r="X78" s="184"/>
      <c r="Y78" s="184">
        <v>1023.52</v>
      </c>
      <c r="Z78" s="184"/>
      <c r="AA78" s="184"/>
      <c r="AB78" s="184">
        <v>143.79</v>
      </c>
      <c r="AC78" s="184">
        <v>111.7</v>
      </c>
      <c r="AD78" s="184"/>
      <c r="AE78" s="184">
        <v>323.22000000000003</v>
      </c>
      <c r="AF78" s="184"/>
      <c r="AG78" s="184">
        <f>2564.38+1315.46</f>
        <v>3879.84</v>
      </c>
      <c r="AH78" s="184"/>
      <c r="AI78" s="184"/>
      <c r="AJ78" s="184"/>
      <c r="AK78" s="184"/>
      <c r="AL78" s="184"/>
      <c r="AM78" s="184"/>
      <c r="AN78" s="184"/>
      <c r="AO78" s="184"/>
      <c r="AP78" s="184">
        <v>1679.5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323.22000000000003</v>
      </c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16279.890000000001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54654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5607</v>
      </c>
      <c r="P79" s="184">
        <v>30425</v>
      </c>
      <c r="Q79" s="184"/>
      <c r="R79" s="184"/>
      <c r="S79" s="184"/>
      <c r="T79" s="184"/>
      <c r="U79" s="184"/>
      <c r="V79" s="184"/>
      <c r="W79" s="184"/>
      <c r="X79" s="184"/>
      <c r="Y79" s="184">
        <v>11687</v>
      </c>
      <c r="Z79" s="184"/>
      <c r="AA79" s="184"/>
      <c r="AB79" s="184"/>
      <c r="AC79" s="184"/>
      <c r="AD79" s="184"/>
      <c r="AE79" s="184"/>
      <c r="AF79" s="184"/>
      <c r="AG79" s="184">
        <v>14134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116507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/>
      <c r="D80" s="187"/>
      <c r="E80" s="187">
        <v>13.12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4.74</v>
      </c>
      <c r="P80" s="187">
        <v>3.57</v>
      </c>
      <c r="Q80" s="187">
        <v>4.1399999999999997</v>
      </c>
      <c r="R80" s="187"/>
      <c r="S80" s="187"/>
      <c r="T80" s="187"/>
      <c r="U80" s="187"/>
      <c r="V80" s="187"/>
      <c r="W80" s="187"/>
      <c r="X80" s="187"/>
      <c r="Y80" s="187">
        <v>0.27</v>
      </c>
      <c r="Z80" s="187"/>
      <c r="AA80" s="187"/>
      <c r="AB80" s="187"/>
      <c r="AC80" s="187"/>
      <c r="AD80" s="187"/>
      <c r="AE80" s="187"/>
      <c r="AF80" s="187"/>
      <c r="AG80" s="187">
        <v>7.98</v>
      </c>
      <c r="AH80" s="187"/>
      <c r="AI80" s="187"/>
      <c r="AJ80" s="187"/>
      <c r="AK80" s="187"/>
      <c r="AL80" s="187"/>
      <c r="AM80" s="187"/>
      <c r="AN80" s="187"/>
      <c r="AO80" s="187"/>
      <c r="AP80" s="187">
        <v>11.58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45.4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1267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69" t="s">
        <v>1277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 t="s">
        <v>1278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694</v>
      </c>
      <c r="D111" s="174">
        <v>1725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</v>
      </c>
      <c r="D112" s="174">
        <v>49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216</v>
      </c>
      <c r="D114" s="174">
        <v>387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44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62631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291</v>
      </c>
      <c r="C138" s="189">
        <v>254</v>
      </c>
      <c r="D138" s="174">
        <v>149</v>
      </c>
      <c r="E138" s="175">
        <f>SUM(B138:D138)</f>
        <v>694</v>
      </c>
    </row>
    <row r="139" spans="1:6" ht="12.6" customHeight="1" x14ac:dyDescent="0.25">
      <c r="A139" s="173" t="s">
        <v>215</v>
      </c>
      <c r="B139" s="174">
        <v>791</v>
      </c>
      <c r="C139" s="189">
        <v>550</v>
      </c>
      <c r="D139" s="174">
        <v>384</v>
      </c>
      <c r="E139" s="175">
        <f>SUM(B139:D139)</f>
        <v>1725</v>
      </c>
    </row>
    <row r="140" spans="1:6" ht="12.6" customHeight="1" x14ac:dyDescent="0.25">
      <c r="A140" s="173" t="s">
        <v>298</v>
      </c>
      <c r="B140" s="174">
        <f>8937+2371</f>
        <v>11308</v>
      </c>
      <c r="C140" s="174">
        <f>1339+5981+1503+162</f>
        <v>8985</v>
      </c>
      <c r="D140" s="174">
        <f>7282+2724</f>
        <v>10006</v>
      </c>
      <c r="E140" s="175">
        <f>SUM(B140:D140)</f>
        <v>30299</v>
      </c>
    </row>
    <row r="141" spans="1:6" ht="12.6" customHeight="1" x14ac:dyDescent="0.25">
      <c r="A141" s="173" t="s">
        <v>245</v>
      </c>
      <c r="B141" s="174">
        <v>5907726</v>
      </c>
      <c r="C141" s="189">
        <v>4512588.54</v>
      </c>
      <c r="D141" s="174">
        <v>3295061.92</v>
      </c>
      <c r="E141" s="175">
        <f>SUM(B141:D141)</f>
        <v>13715376.459999999</v>
      </c>
      <c r="F141" s="199"/>
    </row>
    <row r="142" spans="1:6" ht="12.6" customHeight="1" x14ac:dyDescent="0.25">
      <c r="A142" s="173" t="s">
        <v>246</v>
      </c>
      <c r="B142" s="174">
        <v>19396055.370000001</v>
      </c>
      <c r="C142" s="189">
        <v>15509474.1</v>
      </c>
      <c r="D142" s="174">
        <f>17235086.81-296741+4453</f>
        <v>16942798.809999999</v>
      </c>
      <c r="E142" s="175">
        <f>SUM(B142:D142)</f>
        <v>51848328.280000001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1</v>
      </c>
      <c r="C144" s="189"/>
      <c r="D144" s="174"/>
      <c r="E144" s="175">
        <f>SUM(B144:D144)</f>
        <v>1</v>
      </c>
    </row>
    <row r="145" spans="1:5" ht="12.6" customHeight="1" x14ac:dyDescent="0.25">
      <c r="A145" s="173" t="s">
        <v>215</v>
      </c>
      <c r="B145" s="174">
        <v>49</v>
      </c>
      <c r="C145" s="189"/>
      <c r="D145" s="174"/>
      <c r="E145" s="175">
        <f>SUM(B145:D145)</f>
        <v>49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62631</v>
      </c>
      <c r="C147" s="189"/>
      <c r="D147" s="174"/>
      <c r="E147" s="175">
        <f>SUM(B147:D147)</f>
        <v>62631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7784106.9900000002</v>
      </c>
      <c r="C157" s="174">
        <v>3663018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1005798.47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20568.8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251850.42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2255325.38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37129.379999999997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168411.41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395.21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29713.25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3769192.32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2600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381859.6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384459.6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394755.33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63599.94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458355.27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25746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164476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190222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312018.42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312018.42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146306</v>
      </c>
      <c r="C195" s="189"/>
      <c r="D195" s="174"/>
      <c r="E195" s="175">
        <f t="shared" ref="E195:E203" si="10">SUM(B195:C195)-D195</f>
        <v>146306</v>
      </c>
    </row>
    <row r="196" spans="1:8" ht="12.6" customHeight="1" x14ac:dyDescent="0.25">
      <c r="A196" s="173" t="s">
        <v>333</v>
      </c>
      <c r="B196" s="174">
        <v>1137603</v>
      </c>
      <c r="C196" s="189"/>
      <c r="D196" s="174">
        <v>9587.5400000000009</v>
      </c>
      <c r="E196" s="175">
        <f t="shared" si="10"/>
        <v>1128015.46</v>
      </c>
    </row>
    <row r="197" spans="1:8" ht="12.6" customHeight="1" x14ac:dyDescent="0.25">
      <c r="A197" s="173" t="s">
        <v>334</v>
      </c>
      <c r="B197" s="174">
        <v>7762021</v>
      </c>
      <c r="C197" s="189">
        <v>161598.71</v>
      </c>
      <c r="D197" s="174">
        <v>21690.23</v>
      </c>
      <c r="E197" s="175">
        <f t="shared" si="10"/>
        <v>7901929.4799999995</v>
      </c>
    </row>
    <row r="198" spans="1:8" ht="12.6" customHeight="1" x14ac:dyDescent="0.25">
      <c r="A198" s="173" t="s">
        <v>335</v>
      </c>
      <c r="B198" s="174">
        <v>5553719</v>
      </c>
      <c r="C198" s="189">
        <v>309592.7</v>
      </c>
      <c r="D198" s="174"/>
      <c r="E198" s="175">
        <f t="shared" si="10"/>
        <v>5863311.7000000002</v>
      </c>
    </row>
    <row r="199" spans="1:8" ht="12.6" customHeight="1" x14ac:dyDescent="0.25">
      <c r="A199" s="173" t="s">
        <v>336</v>
      </c>
      <c r="B199" s="174">
        <v>322224</v>
      </c>
      <c r="C199" s="189">
        <v>1859.27</v>
      </c>
      <c r="D199" s="174"/>
      <c r="E199" s="175">
        <f t="shared" si="10"/>
        <v>324083.27</v>
      </c>
    </row>
    <row r="200" spans="1:8" ht="12.6" customHeight="1" x14ac:dyDescent="0.25">
      <c r="A200" s="173" t="s">
        <v>337</v>
      </c>
      <c r="B200" s="174">
        <v>8164031</v>
      </c>
      <c r="C200" s="189">
        <v>111507.66</v>
      </c>
      <c r="D200" s="174">
        <v>64278.28</v>
      </c>
      <c r="E200" s="175">
        <f t="shared" si="10"/>
        <v>8211260.3799999999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20313</v>
      </c>
      <c r="C203" s="189">
        <f>1162485.21-459082</f>
        <v>703403.21</v>
      </c>
      <c r="D203" s="174"/>
      <c r="E203" s="175">
        <f t="shared" si="10"/>
        <v>723716.21</v>
      </c>
    </row>
    <row r="204" spans="1:8" ht="12.6" customHeight="1" x14ac:dyDescent="0.25">
      <c r="A204" s="173" t="s">
        <v>203</v>
      </c>
      <c r="B204" s="175">
        <f>SUM(B195:B203)</f>
        <v>23106217</v>
      </c>
      <c r="C204" s="191">
        <f>SUM(C195:C203)</f>
        <v>1287961.55</v>
      </c>
      <c r="D204" s="175">
        <f>SUM(D195:D203)</f>
        <v>95556.05</v>
      </c>
      <c r="E204" s="175">
        <f>SUM(E195:E203)</f>
        <v>24298622.5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731211.96</v>
      </c>
      <c r="C209" s="189">
        <v>76340.83</v>
      </c>
      <c r="D209" s="174">
        <v>9587.5400000000009</v>
      </c>
      <c r="E209" s="175">
        <f t="shared" ref="E209:E216" si="11">SUM(B209:C209)-D209</f>
        <v>797965.24999999988</v>
      </c>
      <c r="H209" s="258"/>
    </row>
    <row r="210" spans="1:8" ht="12.6" customHeight="1" x14ac:dyDescent="0.25">
      <c r="A210" s="173" t="s">
        <v>334</v>
      </c>
      <c r="B210" s="174">
        <v>3982685</v>
      </c>
      <c r="C210" s="189">
        <v>314382.8</v>
      </c>
      <c r="D210" s="174">
        <v>9496.2800000000007</v>
      </c>
      <c r="E210" s="175">
        <f t="shared" si="11"/>
        <v>4287571.5199999996</v>
      </c>
      <c r="H210" s="258"/>
    </row>
    <row r="211" spans="1:8" ht="12.6" customHeight="1" x14ac:dyDescent="0.25">
      <c r="A211" s="173" t="s">
        <v>335</v>
      </c>
      <c r="B211" s="174">
        <v>2322429</v>
      </c>
      <c r="C211" s="189">
        <v>288105.3</v>
      </c>
      <c r="D211" s="174">
        <v>10114.4</v>
      </c>
      <c r="E211" s="175">
        <f t="shared" si="11"/>
        <v>2600419.9</v>
      </c>
      <c r="H211" s="258"/>
    </row>
    <row r="212" spans="1:8" ht="12.6" customHeight="1" x14ac:dyDescent="0.25">
      <c r="A212" s="173" t="s">
        <v>336</v>
      </c>
      <c r="B212" s="174">
        <v>174714</v>
      </c>
      <c r="C212" s="189">
        <v>13951.37</v>
      </c>
      <c r="D212" s="174"/>
      <c r="E212" s="175">
        <f t="shared" si="11"/>
        <v>188665.37</v>
      </c>
      <c r="H212" s="258"/>
    </row>
    <row r="213" spans="1:8" ht="12.6" customHeight="1" x14ac:dyDescent="0.25">
      <c r="A213" s="173" t="s">
        <v>337</v>
      </c>
      <c r="B213" s="174">
        <v>5965441</v>
      </c>
      <c r="C213" s="189">
        <v>609000.88</v>
      </c>
      <c r="D213" s="174">
        <f>60503.32-20243.02</f>
        <v>40260.300000000003</v>
      </c>
      <c r="E213" s="175">
        <f t="shared" si="11"/>
        <v>6534181.5800000001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13176480.960000001</v>
      </c>
      <c r="C217" s="191">
        <f>SUM(C208:C216)</f>
        <v>1301781.18</v>
      </c>
      <c r="D217" s="175">
        <f>SUM(D208:D216)</f>
        <v>69458.52</v>
      </c>
      <c r="E217" s="175">
        <f>SUM(E208:E216)</f>
        <v>14408803.620000001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712101</v>
      </c>
      <c r="D221" s="172">
        <f>C221</f>
        <v>712101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12533810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11743888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1182150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677598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6160130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32297576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578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209133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710969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920102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822951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8655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831606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34761385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v>1908199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10319599-1887636</f>
        <v>8431963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4624213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398273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144193+72213</f>
        <v>216406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819876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348644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7499148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f>2098826+1855</f>
        <v>2100681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2100681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146305.63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1128015.8799999999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7901929.5300000003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5863312.0899999999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324083.28000000003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8211260.1699999999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723716.01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24298622.59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14408803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9889819.5899999999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f>56221.9+36717.59+1453541.96+11851.78</f>
        <v>1558333.23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1266088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292245.23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19781893.82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1795016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114900+855321</f>
        <v>970221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329711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24275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f>670019+508224</f>
        <v>1178243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4297466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f>4787202+670019</f>
        <v>5457221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1499124+508224</f>
        <v>2007348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609229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8073798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1178243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6895555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8588873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19781894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19781893.82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13404848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52221500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65626348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712101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32297576.809999999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920102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831605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34761384.810000002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30864963.189999998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462242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1039314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1501556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32366519.189999998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14865003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3763692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4704936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4196122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451155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2110167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1301781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384460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458355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190222.1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312018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412369-190222.1</f>
        <v>222146.9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32960058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-593538.81000000238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24288+315306+507495-132417+7394</f>
        <v>722066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128527.18999999762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f>-39563</f>
        <v>-39563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88964.189999997616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Mid Valley Hospital   H-0     FYE 12/31/2018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694</v>
      </c>
      <c r="C414" s="194">
        <f>E138</f>
        <v>694</v>
      </c>
      <c r="D414" s="179"/>
    </row>
    <row r="415" spans="1:5" ht="12.6" customHeight="1" x14ac:dyDescent="0.25">
      <c r="A415" s="179" t="s">
        <v>464</v>
      </c>
      <c r="B415" s="179">
        <f>D111</f>
        <v>1725</v>
      </c>
      <c r="C415" s="179">
        <f>E139</f>
        <v>1725</v>
      </c>
      <c r="D415" s="194">
        <f>SUM(C59:H59)+N59</f>
        <v>1725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</v>
      </c>
      <c r="C417" s="194">
        <f>E144</f>
        <v>1</v>
      </c>
      <c r="D417" s="179"/>
    </row>
    <row r="418" spans="1:7" ht="12.6" customHeight="1" x14ac:dyDescent="0.25">
      <c r="A418" s="179" t="s">
        <v>466</v>
      </c>
      <c r="B418" s="179">
        <f>D112</f>
        <v>49</v>
      </c>
      <c r="C418" s="179">
        <f>E145</f>
        <v>49</v>
      </c>
      <c r="D418" s="179">
        <f>K59+L59</f>
        <v>49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216</v>
      </c>
    </row>
    <row r="424" spans="1:7" ht="12.6" customHeight="1" x14ac:dyDescent="0.25">
      <c r="A424" s="179" t="s">
        <v>1244</v>
      </c>
      <c r="B424" s="179">
        <f>D114</f>
        <v>387</v>
      </c>
      <c r="D424" s="179">
        <f>J59</f>
        <v>387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14865003</v>
      </c>
      <c r="C427" s="179">
        <f t="shared" ref="C427:C434" si="13">CE61</f>
        <v>14865004</v>
      </c>
      <c r="D427" s="179"/>
    </row>
    <row r="428" spans="1:7" ht="12.6" customHeight="1" x14ac:dyDescent="0.25">
      <c r="A428" s="179" t="s">
        <v>3</v>
      </c>
      <c r="B428" s="179">
        <f t="shared" si="12"/>
        <v>3763692</v>
      </c>
      <c r="C428" s="179">
        <f t="shared" si="13"/>
        <v>3763692</v>
      </c>
      <c r="D428" s="179">
        <f>D173</f>
        <v>3769192.32</v>
      </c>
    </row>
    <row r="429" spans="1:7" ht="12.6" customHeight="1" x14ac:dyDescent="0.25">
      <c r="A429" s="179" t="s">
        <v>236</v>
      </c>
      <c r="B429" s="179">
        <f t="shared" si="12"/>
        <v>4704936</v>
      </c>
      <c r="C429" s="179">
        <f t="shared" si="13"/>
        <v>4704935</v>
      </c>
      <c r="D429" s="179"/>
    </row>
    <row r="430" spans="1:7" ht="12.6" customHeight="1" x14ac:dyDescent="0.25">
      <c r="A430" s="179" t="s">
        <v>237</v>
      </c>
      <c r="B430" s="179">
        <f t="shared" si="12"/>
        <v>4196122</v>
      </c>
      <c r="C430" s="179">
        <f t="shared" si="13"/>
        <v>4196125</v>
      </c>
      <c r="D430" s="179"/>
    </row>
    <row r="431" spans="1:7" ht="12.6" customHeight="1" x14ac:dyDescent="0.25">
      <c r="A431" s="179" t="s">
        <v>444</v>
      </c>
      <c r="B431" s="179">
        <f t="shared" si="12"/>
        <v>451155</v>
      </c>
      <c r="C431" s="179">
        <f t="shared" si="13"/>
        <v>451155</v>
      </c>
      <c r="D431" s="179"/>
    </row>
    <row r="432" spans="1:7" ht="12.6" customHeight="1" x14ac:dyDescent="0.25">
      <c r="A432" s="179" t="s">
        <v>445</v>
      </c>
      <c r="B432" s="179">
        <f t="shared" si="12"/>
        <v>2110167</v>
      </c>
      <c r="C432" s="179">
        <f t="shared" si="13"/>
        <v>2110169</v>
      </c>
      <c r="D432" s="179"/>
    </row>
    <row r="433" spans="1:7" ht="12.6" customHeight="1" x14ac:dyDescent="0.25">
      <c r="A433" s="179" t="s">
        <v>6</v>
      </c>
      <c r="B433" s="179">
        <f t="shared" si="12"/>
        <v>1301781</v>
      </c>
      <c r="C433" s="179">
        <f t="shared" si="13"/>
        <v>1301782</v>
      </c>
      <c r="D433" s="179">
        <f>C217</f>
        <v>1301781.18</v>
      </c>
    </row>
    <row r="434" spans="1:7" ht="12.6" customHeight="1" x14ac:dyDescent="0.25">
      <c r="A434" s="179" t="s">
        <v>474</v>
      </c>
      <c r="B434" s="179">
        <f t="shared" si="12"/>
        <v>384460</v>
      </c>
      <c r="C434" s="179">
        <f t="shared" si="13"/>
        <v>384459</v>
      </c>
      <c r="D434" s="179">
        <f>D177</f>
        <v>384459.6</v>
      </c>
    </row>
    <row r="435" spans="1:7" ht="12.6" customHeight="1" x14ac:dyDescent="0.25">
      <c r="A435" s="179" t="s">
        <v>447</v>
      </c>
      <c r="B435" s="179">
        <f t="shared" si="12"/>
        <v>458355</v>
      </c>
      <c r="C435" s="179"/>
      <c r="D435" s="179">
        <f>D181</f>
        <v>458355.27</v>
      </c>
    </row>
    <row r="436" spans="1:7" ht="12.6" customHeight="1" x14ac:dyDescent="0.25">
      <c r="A436" s="179" t="s">
        <v>475</v>
      </c>
      <c r="B436" s="179">
        <f t="shared" si="12"/>
        <v>190222.1</v>
      </c>
      <c r="C436" s="179"/>
      <c r="D436" s="179">
        <f>D186</f>
        <v>190222</v>
      </c>
    </row>
    <row r="437" spans="1:7" ht="12.6" customHeight="1" x14ac:dyDescent="0.25">
      <c r="A437" s="194" t="s">
        <v>449</v>
      </c>
      <c r="B437" s="194">
        <f t="shared" si="12"/>
        <v>312018</v>
      </c>
      <c r="C437" s="194"/>
      <c r="D437" s="194">
        <f>D190</f>
        <v>312018.42</v>
      </c>
    </row>
    <row r="438" spans="1:7" ht="12.6" customHeight="1" x14ac:dyDescent="0.25">
      <c r="A438" s="194" t="s">
        <v>476</v>
      </c>
      <c r="B438" s="194">
        <f>C386+C387+C388</f>
        <v>960595.1</v>
      </c>
      <c r="C438" s="194">
        <f>CD69</f>
        <v>942103.96999999986</v>
      </c>
      <c r="D438" s="194">
        <f>D181+D186+D190</f>
        <v>960595.69</v>
      </c>
    </row>
    <row r="439" spans="1:7" ht="12.6" customHeight="1" x14ac:dyDescent="0.25">
      <c r="A439" s="179" t="s">
        <v>451</v>
      </c>
      <c r="B439" s="194">
        <f>C389</f>
        <v>222146.9</v>
      </c>
      <c r="C439" s="194">
        <f>SUM(C69:CC69)</f>
        <v>240642</v>
      </c>
      <c r="D439" s="179"/>
    </row>
    <row r="440" spans="1:7" ht="12.6" customHeight="1" x14ac:dyDescent="0.25">
      <c r="A440" s="179" t="s">
        <v>477</v>
      </c>
      <c r="B440" s="194">
        <f>B438+B439</f>
        <v>1182742</v>
      </c>
      <c r="C440" s="194">
        <f>CE69</f>
        <v>1182745.9699999997</v>
      </c>
      <c r="D440" s="179"/>
    </row>
    <row r="441" spans="1:7" ht="12.6" customHeight="1" x14ac:dyDescent="0.25">
      <c r="A441" s="179" t="s">
        <v>478</v>
      </c>
      <c r="B441" s="179">
        <f>D390</f>
        <v>32960058</v>
      </c>
      <c r="C441" s="179">
        <f>SUM(C427:C437)+C440</f>
        <v>32960066.969999999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712101</v>
      </c>
      <c r="C444" s="179">
        <f>C363</f>
        <v>712101</v>
      </c>
      <c r="D444" s="179"/>
    </row>
    <row r="445" spans="1:7" ht="12.6" customHeight="1" x14ac:dyDescent="0.25">
      <c r="A445" s="179" t="s">
        <v>343</v>
      </c>
      <c r="B445" s="179">
        <f>D229</f>
        <v>32297576</v>
      </c>
      <c r="C445" s="179">
        <f>C364</f>
        <v>32297576.809999999</v>
      </c>
      <c r="D445" s="179"/>
    </row>
    <row r="446" spans="1:7" ht="12.6" customHeight="1" x14ac:dyDescent="0.25">
      <c r="A446" s="179" t="s">
        <v>351</v>
      </c>
      <c r="B446" s="179">
        <f>D236</f>
        <v>920102</v>
      </c>
      <c r="C446" s="179">
        <f>C365</f>
        <v>920102</v>
      </c>
      <c r="D446" s="179"/>
    </row>
    <row r="447" spans="1:7" ht="12.6" customHeight="1" x14ac:dyDescent="0.25">
      <c r="A447" s="179" t="s">
        <v>356</v>
      </c>
      <c r="B447" s="179">
        <f>D240</f>
        <v>831606</v>
      </c>
      <c r="C447" s="179">
        <f>C366</f>
        <v>831605</v>
      </c>
      <c r="D447" s="179"/>
    </row>
    <row r="448" spans="1:7" ht="12.6" customHeight="1" x14ac:dyDescent="0.25">
      <c r="A448" s="179" t="s">
        <v>358</v>
      </c>
      <c r="B448" s="179">
        <f>D242</f>
        <v>34761385</v>
      </c>
      <c r="C448" s="179">
        <f>D367</f>
        <v>34761384.810000002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578</v>
      </c>
    </row>
    <row r="454" spans="1:7" ht="12.6" customHeight="1" x14ac:dyDescent="0.25">
      <c r="A454" s="179" t="s">
        <v>168</v>
      </c>
      <c r="B454" s="179">
        <f>C233</f>
        <v>209133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710969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462242</v>
      </c>
      <c r="C458" s="194">
        <f>CE70</f>
        <v>462242.12</v>
      </c>
      <c r="D458" s="194"/>
    </row>
    <row r="459" spans="1:7" ht="12.6" customHeight="1" x14ac:dyDescent="0.25">
      <c r="A459" s="179" t="s">
        <v>244</v>
      </c>
      <c r="B459" s="194">
        <f>C371</f>
        <v>1039314</v>
      </c>
      <c r="C459" s="194">
        <f>CE72</f>
        <v>1039314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13404848</v>
      </c>
      <c r="C463" s="194">
        <f>CE73</f>
        <v>13404850</v>
      </c>
      <c r="D463" s="194">
        <f>E141+E147+E153</f>
        <v>13778007.459999999</v>
      </c>
    </row>
    <row r="464" spans="1:7" ht="12.6" customHeight="1" x14ac:dyDescent="0.25">
      <c r="A464" s="179" t="s">
        <v>246</v>
      </c>
      <c r="B464" s="194">
        <f>C360</f>
        <v>52221500</v>
      </c>
      <c r="C464" s="194">
        <f>CE74</f>
        <v>52221500</v>
      </c>
      <c r="D464" s="194">
        <f>E142+E148+E154</f>
        <v>51848328.280000001</v>
      </c>
    </row>
    <row r="465" spans="1:7" ht="12.6" customHeight="1" x14ac:dyDescent="0.25">
      <c r="A465" s="179" t="s">
        <v>247</v>
      </c>
      <c r="B465" s="194">
        <f>D361</f>
        <v>65626348</v>
      </c>
      <c r="C465" s="194">
        <f>CE75</f>
        <v>65626350</v>
      </c>
      <c r="D465" s="194">
        <f>D463+D464</f>
        <v>65626335.740000002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146305.63</v>
      </c>
      <c r="C468" s="179">
        <f>E195</f>
        <v>146306</v>
      </c>
      <c r="D468" s="179"/>
    </row>
    <row r="469" spans="1:7" ht="12.6" customHeight="1" x14ac:dyDescent="0.25">
      <c r="A469" s="179" t="s">
        <v>333</v>
      </c>
      <c r="B469" s="179">
        <f t="shared" si="14"/>
        <v>1128015.8799999999</v>
      </c>
      <c r="C469" s="179">
        <f>E196</f>
        <v>1128015.46</v>
      </c>
      <c r="D469" s="179"/>
    </row>
    <row r="470" spans="1:7" ht="12.6" customHeight="1" x14ac:dyDescent="0.25">
      <c r="A470" s="179" t="s">
        <v>334</v>
      </c>
      <c r="B470" s="179">
        <f t="shared" si="14"/>
        <v>7901929.5300000003</v>
      </c>
      <c r="C470" s="179">
        <f>E197</f>
        <v>7901929.4799999995</v>
      </c>
      <c r="D470" s="179"/>
    </row>
    <row r="471" spans="1:7" ht="12.6" customHeight="1" x14ac:dyDescent="0.25">
      <c r="A471" s="179" t="s">
        <v>494</v>
      </c>
      <c r="B471" s="179">
        <f t="shared" si="14"/>
        <v>5863312.0899999999</v>
      </c>
      <c r="C471" s="179">
        <f>E198</f>
        <v>5863311.7000000002</v>
      </c>
      <c r="D471" s="179"/>
    </row>
    <row r="472" spans="1:7" ht="12.6" customHeight="1" x14ac:dyDescent="0.25">
      <c r="A472" s="179" t="s">
        <v>377</v>
      </c>
      <c r="B472" s="179">
        <f t="shared" si="14"/>
        <v>324083.28000000003</v>
      </c>
      <c r="C472" s="179">
        <f>E199</f>
        <v>324083.27</v>
      </c>
      <c r="D472" s="179"/>
    </row>
    <row r="473" spans="1:7" ht="12.6" customHeight="1" x14ac:dyDescent="0.25">
      <c r="A473" s="179" t="s">
        <v>495</v>
      </c>
      <c r="B473" s="179">
        <f t="shared" si="14"/>
        <v>8211260.1699999999</v>
      </c>
      <c r="C473" s="179">
        <f>SUM(E200:E201)</f>
        <v>8211260.3799999999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723716.01</v>
      </c>
      <c r="C475" s="179">
        <f>E203</f>
        <v>723716.21</v>
      </c>
      <c r="D475" s="179"/>
    </row>
    <row r="476" spans="1:7" ht="12.6" customHeight="1" x14ac:dyDescent="0.25">
      <c r="A476" s="179" t="s">
        <v>203</v>
      </c>
      <c r="B476" s="179">
        <f>D275</f>
        <v>24298622.59</v>
      </c>
      <c r="C476" s="179">
        <f>E204</f>
        <v>24298622.5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14408803</v>
      </c>
      <c r="C478" s="179">
        <f>E217</f>
        <v>14408803.620000001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19781893.82</v>
      </c>
    </row>
    <row r="482" spans="1:12" ht="12.6" customHeight="1" x14ac:dyDescent="0.25">
      <c r="A482" s="180" t="s">
        <v>499</v>
      </c>
      <c r="C482" s="180">
        <f>D339</f>
        <v>19781894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147</v>
      </c>
      <c r="B493" s="260" t="str">
        <f>RIGHT('Prior Year'!C82,4)</f>
        <v>2017</v>
      </c>
      <c r="C493" s="260" t="str">
        <f>RIGHT(C82,4)</f>
        <v>2018</v>
      </c>
      <c r="D493" s="260" t="str">
        <f>RIGHT('Prior Year'!C82,4)</f>
        <v>2017</v>
      </c>
      <c r="E493" s="260" t="str">
        <f>RIGHT(C82,4)</f>
        <v>2018</v>
      </c>
      <c r="F493" s="260" t="str">
        <f>RIGHT('Prior Year'!C82,4)</f>
        <v>2017</v>
      </c>
      <c r="G493" s="260" t="str">
        <f>RIGHT(C82,4)</f>
        <v>2018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f>'Prior Year'!C71</f>
        <v>21593</v>
      </c>
      <c r="C496" s="239">
        <f>C71</f>
        <v>0</v>
      </c>
      <c r="D496" s="239">
        <f>'Prior Year'!C59</f>
        <v>0</v>
      </c>
      <c r="E496" s="180">
        <f>C59</f>
        <v>0</v>
      </c>
      <c r="F496" s="262" t="str">
        <f t="shared" ref="F496:G511" si="15">IF(B496=0,"",IF(D496=0,"",B496/D496))</f>
        <v/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f>'Prior Year'!D71</f>
        <v>0</v>
      </c>
      <c r="C497" s="239">
        <f>D71</f>
        <v>0</v>
      </c>
      <c r="D497" s="239">
        <f>'Prior Year'!D59</f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f>'Prior Year'!E71</f>
        <v>3358147.02</v>
      </c>
      <c r="C498" s="239">
        <f>E71</f>
        <v>3378392.2500000005</v>
      </c>
      <c r="D498" s="239">
        <f>'Prior Year'!E59</f>
        <v>2072</v>
      </c>
      <c r="E498" s="180">
        <f>E59</f>
        <v>1725</v>
      </c>
      <c r="F498" s="262">
        <f t="shared" si="15"/>
        <v>1620.7273262548263</v>
      </c>
      <c r="G498" s="262">
        <f t="shared" si="15"/>
        <v>1958.4882608695655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f>'Prior Year'!F71</f>
        <v>0</v>
      </c>
      <c r="C499" s="239">
        <f>F71</f>
        <v>0</v>
      </c>
      <c r="D499" s="239">
        <f>'Prior Year'!F59</f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f>'Prior Year'!G71</f>
        <v>0</v>
      </c>
      <c r="C500" s="239">
        <f>G71</f>
        <v>0</v>
      </c>
      <c r="D500" s="239">
        <f>'Prior Year'!G59</f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f>'Prior Year'!H71</f>
        <v>0</v>
      </c>
      <c r="C501" s="239">
        <f>H71</f>
        <v>0</v>
      </c>
      <c r="D501" s="239">
        <f>'Prior Year'!H59</f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f>'Prior Year'!I71</f>
        <v>0</v>
      </c>
      <c r="C502" s="239">
        <f>I71</f>
        <v>0</v>
      </c>
      <c r="D502" s="239">
        <f>'Prior Year'!I59</f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f>'Prior Year'!J71</f>
        <v>1116</v>
      </c>
      <c r="C503" s="239">
        <f>J71</f>
        <v>397</v>
      </c>
      <c r="D503" s="239">
        <f>'Prior Year'!J59</f>
        <v>373</v>
      </c>
      <c r="E503" s="180">
        <f>J59</f>
        <v>387</v>
      </c>
      <c r="F503" s="262">
        <f t="shared" si="15"/>
        <v>2.991957104557641</v>
      </c>
      <c r="G503" s="262">
        <f t="shared" si="15"/>
        <v>1.0258397932816536</v>
      </c>
      <c r="H503" s="264">
        <f t="shared" si="16"/>
        <v>-0.65713419095514625</v>
      </c>
      <c r="I503" s="266" t="s">
        <v>1280</v>
      </c>
      <c r="K503" s="260"/>
      <c r="L503" s="260"/>
    </row>
    <row r="504" spans="1:12" ht="12.6" customHeight="1" x14ac:dyDescent="0.25">
      <c r="A504" s="180" t="s">
        <v>520</v>
      </c>
      <c r="B504" s="239">
        <f>'Prior Year'!K71</f>
        <v>0</v>
      </c>
      <c r="C504" s="239">
        <f>K71</f>
        <v>0</v>
      </c>
      <c r="D504" s="239">
        <f>'Prior Year'!K59</f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f>'Prior Year'!L71</f>
        <v>50161</v>
      </c>
      <c r="C505" s="239">
        <f>L71</f>
        <v>77636.75</v>
      </c>
      <c r="D505" s="239">
        <f>'Prior Year'!L59</f>
        <v>41</v>
      </c>
      <c r="E505" s="180">
        <f>L59</f>
        <v>49</v>
      </c>
      <c r="F505" s="262">
        <f t="shared" si="15"/>
        <v>1223.439024390244</v>
      </c>
      <c r="G505" s="262">
        <f t="shared" si="15"/>
        <v>1584.4234693877552</v>
      </c>
      <c r="H505" s="264">
        <f t="shared" si="16"/>
        <v>0.29505716084005429</v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f>'Prior Year'!M71</f>
        <v>0</v>
      </c>
      <c r="C506" s="239">
        <f>M71</f>
        <v>0</v>
      </c>
      <c r="D506" s="239">
        <f>'Prior Year'!M59</f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f>'Prior Year'!N71</f>
        <v>0</v>
      </c>
      <c r="C507" s="239">
        <f>N71</f>
        <v>0</v>
      </c>
      <c r="D507" s="239">
        <f>'Prior Year'!N59</f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f>'Prior Year'!O71</f>
        <v>1150827.3899999999</v>
      </c>
      <c r="C508" s="239">
        <f>O71</f>
        <v>1298693</v>
      </c>
      <c r="D508" s="239">
        <f>'Prior Year'!O59</f>
        <v>229</v>
      </c>
      <c r="E508" s="180">
        <f>O59</f>
        <v>216</v>
      </c>
      <c r="F508" s="262">
        <f t="shared" si="15"/>
        <v>5025.4471179039301</v>
      </c>
      <c r="G508" s="262">
        <f t="shared" si="15"/>
        <v>6012.4675925925922</v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f>'Prior Year'!P71</f>
        <v>1401020.66</v>
      </c>
      <c r="C509" s="239">
        <f>P71</f>
        <v>1512109</v>
      </c>
      <c r="D509" s="239">
        <f>'Prior Year'!P59</f>
        <v>122028</v>
      </c>
      <c r="E509" s="180">
        <f>P59</f>
        <v>116968</v>
      </c>
      <c r="F509" s="262">
        <f t="shared" si="15"/>
        <v>11.481140885698364</v>
      </c>
      <c r="G509" s="262">
        <f t="shared" si="15"/>
        <v>12.927544285616579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f>'Prior Year'!Q71</f>
        <v>560044</v>
      </c>
      <c r="C510" s="239">
        <f>Q71</f>
        <v>608889</v>
      </c>
      <c r="D510" s="239">
        <f>'Prior Year'!Q59</f>
        <v>120673</v>
      </c>
      <c r="E510" s="180">
        <f>Q59</f>
        <v>125899</v>
      </c>
      <c r="F510" s="262">
        <f t="shared" si="15"/>
        <v>4.6410050301227281</v>
      </c>
      <c r="G510" s="262">
        <f t="shared" si="15"/>
        <v>4.8363291209620414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f>'Prior Year'!R71</f>
        <v>805335</v>
      </c>
      <c r="C511" s="239">
        <f>R71</f>
        <v>834553</v>
      </c>
      <c r="D511" s="239">
        <f>'Prior Year'!R59</f>
        <v>121959</v>
      </c>
      <c r="E511" s="180">
        <f>R59</f>
        <v>125724</v>
      </c>
      <c r="F511" s="262">
        <f t="shared" si="15"/>
        <v>6.6033257078198409</v>
      </c>
      <c r="G511" s="262">
        <f t="shared" si="15"/>
        <v>6.6379768381534152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f>'Prior Year'!S71</f>
        <v>2046600.93</v>
      </c>
      <c r="C512" s="239">
        <f>S71</f>
        <v>2247146.4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f>'Prior Year'!T71</f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f>'Prior Year'!U71</f>
        <v>1317790.69</v>
      </c>
      <c r="C514" s="239">
        <f>U71</f>
        <v>1398384</v>
      </c>
      <c r="D514" s="239">
        <f>'Prior Year'!U59</f>
        <v>69668</v>
      </c>
      <c r="E514" s="180">
        <f>U59</f>
        <v>73713</v>
      </c>
      <c r="F514" s="262">
        <f t="shared" si="17"/>
        <v>18.915293822127804</v>
      </c>
      <c r="G514" s="262">
        <f t="shared" si="17"/>
        <v>18.97065646493834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f>'Prior Year'!V71</f>
        <v>19368</v>
      </c>
      <c r="C515" s="239">
        <f>V71</f>
        <v>1296</v>
      </c>
      <c r="D515" s="239">
        <f>'Prior Year'!V59</f>
        <v>0</v>
      </c>
      <c r="E515" s="180">
        <f>V59</f>
        <v>2350</v>
      </c>
      <c r="F515" s="262" t="str">
        <f t="shared" si="17"/>
        <v/>
      </c>
      <c r="G515" s="262">
        <f t="shared" si="17"/>
        <v>0.5514893617021277</v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f>'Prior Year'!W71</f>
        <v>0</v>
      </c>
      <c r="C516" s="239">
        <f>W71</f>
        <v>0</v>
      </c>
      <c r="D516" s="239">
        <f>'Prior Year'!W59</f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f>'Prior Year'!X71</f>
        <v>0</v>
      </c>
      <c r="C517" s="239">
        <f>X71</f>
        <v>0</v>
      </c>
      <c r="D517" s="239">
        <f>'Prior Year'!X59</f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f>'Prior Year'!Y71</f>
        <v>2944709.8</v>
      </c>
      <c r="C518" s="239">
        <f>Y71</f>
        <v>3026966</v>
      </c>
      <c r="D518" s="239">
        <f>'Prior Year'!Y59</f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f>'Prior Year'!Z71</f>
        <v>0</v>
      </c>
      <c r="C519" s="239">
        <f>Z71</f>
        <v>0</v>
      </c>
      <c r="D519" s="239">
        <f>'Prior Year'!Z59</f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f>'Prior Year'!AA71</f>
        <v>0</v>
      </c>
      <c r="C520" s="239">
        <f>AA71</f>
        <v>0</v>
      </c>
      <c r="D520" s="239">
        <f>'Prior Year'!AA59</f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f>'Prior Year'!AB71</f>
        <v>738886.80999999994</v>
      </c>
      <c r="C521" s="239">
        <f>AB71</f>
        <v>783971.66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f>'Prior Year'!AC71</f>
        <v>334360.28000000003</v>
      </c>
      <c r="C522" s="239">
        <f>AC71</f>
        <v>350796</v>
      </c>
      <c r="D522" s="239">
        <f>'Prior Year'!AC59</f>
        <v>1577</v>
      </c>
      <c r="E522" s="180">
        <f>AC59</f>
        <v>1432</v>
      </c>
      <c r="F522" s="262">
        <f t="shared" si="17"/>
        <v>212.02300570703869</v>
      </c>
      <c r="G522" s="262">
        <f t="shared" si="17"/>
        <v>244.96927374301677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f>'Prior Year'!AD71</f>
        <v>0</v>
      </c>
      <c r="C523" s="239">
        <f>AD71</f>
        <v>0</v>
      </c>
      <c r="D523" s="239">
        <f>'Prior Year'!AD59</f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f>'Prior Year'!AE71</f>
        <v>532014.65999999992</v>
      </c>
      <c r="C524" s="239">
        <f>AE71</f>
        <v>610603.05000000005</v>
      </c>
      <c r="D524" s="239">
        <f>'Prior Year'!AE59</f>
        <v>10042</v>
      </c>
      <c r="E524" s="180">
        <f>AE59</f>
        <v>12540</v>
      </c>
      <c r="F524" s="262">
        <f t="shared" si="17"/>
        <v>52.978954391555462</v>
      </c>
      <c r="G524" s="262">
        <f t="shared" si="17"/>
        <v>48.692428229665076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f>'Prior Year'!AF71</f>
        <v>0</v>
      </c>
      <c r="C525" s="239">
        <f>AF71</f>
        <v>0</v>
      </c>
      <c r="D525" s="239">
        <f>'Prior Year'!AF59</f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f>'Prior Year'!AG71</f>
        <v>3800215.78</v>
      </c>
      <c r="C526" s="239">
        <f>AG71</f>
        <v>3926256</v>
      </c>
      <c r="D526" s="239">
        <f>'Prior Year'!AG59</f>
        <v>8923</v>
      </c>
      <c r="E526" s="180">
        <f>AG59</f>
        <v>8824</v>
      </c>
      <c r="F526" s="262">
        <f t="shared" si="17"/>
        <v>425.88992267174717</v>
      </c>
      <c r="G526" s="262">
        <f t="shared" si="17"/>
        <v>444.95194922937441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f>'Prior Year'!AH71</f>
        <v>0</v>
      </c>
      <c r="C527" s="239">
        <f>AH71</f>
        <v>0</v>
      </c>
      <c r="D527" s="239">
        <f>'Prior Year'!AH59</f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f>'Prior Year'!AI71</f>
        <v>0</v>
      </c>
      <c r="C528" s="239">
        <f>AI71</f>
        <v>0</v>
      </c>
      <c r="D528" s="239">
        <f>'Prior Year'!AI59</f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f>'Prior Year'!AJ71</f>
        <v>0</v>
      </c>
      <c r="C529" s="239">
        <f>AJ71</f>
        <v>0</v>
      </c>
      <c r="D529" s="239">
        <f>'Prior Year'!AJ59</f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f>'Prior Year'!AK71</f>
        <v>0</v>
      </c>
      <c r="C530" s="239">
        <f>AK71</f>
        <v>0</v>
      </c>
      <c r="D530" s="239">
        <f>'Prior Year'!AK59</f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f>'Prior Year'!AL71</f>
        <v>0</v>
      </c>
      <c r="C531" s="239">
        <f>AL71</f>
        <v>0</v>
      </c>
      <c r="D531" s="239">
        <f>'Prior Year'!AL59</f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f>'Prior Year'!AM71</f>
        <v>0</v>
      </c>
      <c r="C532" s="239">
        <f>AM71</f>
        <v>0</v>
      </c>
      <c r="D532" s="239">
        <f>'Prior Year'!AM59</f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f>'Prior Year'!AN71</f>
        <v>0</v>
      </c>
      <c r="C533" s="239">
        <f>AN71</f>
        <v>0</v>
      </c>
      <c r="D533" s="239">
        <f>'Prior Year'!AN59</f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f>'Prior Year'!AO71</f>
        <v>0</v>
      </c>
      <c r="C534" s="239">
        <f>AO71</f>
        <v>0</v>
      </c>
      <c r="D534" s="239">
        <f>'Prior Year'!AO59</f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f>'Prior Year'!AP71</f>
        <v>5209362.34</v>
      </c>
      <c r="C535" s="239">
        <f>AP71</f>
        <v>5276360</v>
      </c>
      <c r="D535" s="239">
        <f>'Prior Year'!AP59</f>
        <v>17195</v>
      </c>
      <c r="E535" s="180">
        <f>AP59</f>
        <v>19884</v>
      </c>
      <c r="F535" s="262">
        <f t="shared" si="18"/>
        <v>302.95797266647281</v>
      </c>
      <c r="G535" s="262">
        <f t="shared" si="18"/>
        <v>265.35707101186881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f>'Prior Year'!AQ71</f>
        <v>0</v>
      </c>
      <c r="C536" s="239">
        <f>AQ71</f>
        <v>0</v>
      </c>
      <c r="D536" s="239">
        <f>'Prior Year'!AQ59</f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f>'Prior Year'!AR71</f>
        <v>0</v>
      </c>
      <c r="C537" s="239">
        <f>AR71</f>
        <v>0</v>
      </c>
      <c r="D537" s="239">
        <f>'Prior Year'!AR59</f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f>'Prior Year'!AS71</f>
        <v>0</v>
      </c>
      <c r="C538" s="239">
        <f>AS71</f>
        <v>0</v>
      </c>
      <c r="D538" s="239">
        <f>'Prior Year'!AS59</f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f>'Prior Year'!AT71</f>
        <v>0</v>
      </c>
      <c r="C539" s="239">
        <f>AT71</f>
        <v>0</v>
      </c>
      <c r="D539" s="239">
        <f>'Prior Year'!AT59</f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f>'Prior Year'!AU71</f>
        <v>0</v>
      </c>
      <c r="C540" s="239">
        <f>AU71</f>
        <v>0</v>
      </c>
      <c r="D540" s="239">
        <f>'Prior Year'!AU59</f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f>'Prior Year'!AV71</f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f>'Prior Year'!AW71</f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f>'Prior Year'!AX71</f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f>'Prior Year'!AY71</f>
        <v>366754.43000000005</v>
      </c>
      <c r="C544" s="239">
        <f>AY71</f>
        <v>378086.17</v>
      </c>
      <c r="D544" s="239">
        <f>'Prior Year'!AY59</f>
        <v>8797</v>
      </c>
      <c r="E544" s="180">
        <f>AY59</f>
        <v>8233</v>
      </c>
      <c r="F544" s="262">
        <f t="shared" ref="F544:G550" si="19">IF(B544=0,"",IF(D544=0,"",B544/D544))</f>
        <v>41.69085256337388</v>
      </c>
      <c r="G544" s="262">
        <f t="shared" si="19"/>
        <v>45.923256407141984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f>'Prior Year'!AZ71</f>
        <v>1490</v>
      </c>
      <c r="C545" s="239">
        <f>AZ71</f>
        <v>0</v>
      </c>
      <c r="D545" s="239">
        <f>'Prior Year'!AZ59</f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f>'Prior Year'!BA71</f>
        <v>119240</v>
      </c>
      <c r="C546" s="239">
        <f>BA71</f>
        <v>133852</v>
      </c>
      <c r="D546" s="239">
        <f>'Prior Year'!BA59</f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f>'Prior Year'!BB71</f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f>'Prior Year'!BC71</f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f>'Prior Year'!BD71</f>
        <v>127934.42</v>
      </c>
      <c r="C549" s="239">
        <f>BD71</f>
        <v>128093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f>'Prior Year'!BE71</f>
        <v>755162.77</v>
      </c>
      <c r="C550" s="239">
        <f>BE71</f>
        <v>795394</v>
      </c>
      <c r="D550" s="239">
        <f>'Prior Year'!BE59</f>
        <v>82579</v>
      </c>
      <c r="E550" s="180">
        <f>BE59</f>
        <v>82579</v>
      </c>
      <c r="F550" s="262">
        <f t="shared" si="19"/>
        <v>9.1447313481635764</v>
      </c>
      <c r="G550" s="262">
        <f t="shared" si="19"/>
        <v>9.6319161045786466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f>'Prior Year'!BF71</f>
        <v>459884.9</v>
      </c>
      <c r="C551" s="239">
        <f>BF71</f>
        <v>476974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f>'Prior Year'!BG71</f>
        <v>119495</v>
      </c>
      <c r="C552" s="239">
        <f>BG71</f>
        <v>134078.20000000001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f>'Prior Year'!BH71</f>
        <v>507072.49</v>
      </c>
      <c r="C553" s="239">
        <f>BH71</f>
        <v>556663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f>'Prior Year'!BI71</f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f>'Prior Year'!BJ71</f>
        <v>600288.06999999995</v>
      </c>
      <c r="C555" s="239">
        <f>BJ71</f>
        <v>603507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f>'Prior Year'!BK71</f>
        <v>686278.45</v>
      </c>
      <c r="C556" s="239">
        <f>BK71</f>
        <v>845453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f>'Prior Year'!BL71</f>
        <v>295740</v>
      </c>
      <c r="C557" s="239">
        <f>BL71</f>
        <v>307322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f>'Prior Year'!BM71</f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f>'Prior Year'!BN71</f>
        <v>535708.77</v>
      </c>
      <c r="C559" s="239">
        <f>BN71</f>
        <v>759900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f>'Prior Year'!BO71</f>
        <v>41233.74</v>
      </c>
      <c r="C560" s="239">
        <f>BO71</f>
        <v>42479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f>'Prior Year'!BP71</f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f>'Prior Year'!BQ71</f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f>'Prior Year'!BR71</f>
        <v>305037.49</v>
      </c>
      <c r="C563" s="239">
        <f>BR71</f>
        <v>266260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f>'Prior Year'!BS71</f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f>'Prior Year'!BT71</f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f>'Prior Year'!BU71</f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f>'Prior Year'!BV71</f>
        <v>591727.06000000006</v>
      </c>
      <c r="C567" s="239">
        <f>BV71</f>
        <v>583955.4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f>'Prior Year'!BW71</f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f>'Prior Year'!BX71</f>
        <v>99289</v>
      </c>
      <c r="C569" s="239">
        <f>BX71</f>
        <v>94281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f>'Prior Year'!BY71</f>
        <v>260767.91</v>
      </c>
      <c r="C570" s="239">
        <f>BY71</f>
        <v>280286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f>'Prior Year'!BZ71</f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f>'Prior Year'!CA71</f>
        <v>50549.73</v>
      </c>
      <c r="C572" s="239">
        <f>CA71</f>
        <v>71535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f>'Prior Year'!CB71</f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f>'Prior Year'!CC71</f>
        <v>37528.120000000003</v>
      </c>
      <c r="C574" s="239">
        <f>CC71</f>
        <v>30696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f>'Prior Year'!CD71</f>
        <v>728871.16000000015</v>
      </c>
      <c r="C575" s="239">
        <f>CD71</f>
        <v>676560.96999999986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56179</v>
      </c>
      <c r="E612" s="180">
        <f>SUM(C624:D647)+SUM(C668:D713)</f>
        <v>30927512.184652451</v>
      </c>
      <c r="F612" s="180">
        <f>CE64-(AX64+BD64+BE64+BG64+BJ64+BN64+BP64+BQ64+CB64+CC64+CD64)</f>
        <v>4130977</v>
      </c>
      <c r="G612" s="180">
        <f>CE77-(AX77+AY77+BD77+BE77+BG77+BJ77+BN77+BP77+BQ77+CB77+CC77+CD77)</f>
        <v>8233</v>
      </c>
      <c r="H612" s="197">
        <f>CE60-(AX60+AY60+AZ60+BD60+BE60+BG60+BJ60+BN60+BO60+BP60+BQ60+BR60+CB60+CC60+CD60)</f>
        <v>179.82</v>
      </c>
      <c r="I612" s="180">
        <f>CE78-(AX78+AY78+AZ78+BD78+BE78+BF78+BG78+BJ78+BN78+BO78+BP78+BQ78+BR78+CB78+CC78+CD78)</f>
        <v>16279.890000000001</v>
      </c>
      <c r="J612" s="180">
        <f>CE79-(AX79+AY79+AZ79+BA79+BD79+BE79+BF79+BG79+BJ79+BN79+BO79+BP79+BQ79+BR79+CB79+CC79+CD79)</f>
        <v>116507</v>
      </c>
      <c r="K612" s="180">
        <f>CE75-(AW75+AX75+AY75+AZ75+BA75+BB75+BC75+BD75+BE75+BF75+BG75+BH75+BI75+BJ75+BK75+BL75+BM75+BN75+BO75+BP75+BQ75+BR75+BS75+BT75+BU75+BV75+BW75+BX75+CB75+CC75+CD75)</f>
        <v>65626350</v>
      </c>
      <c r="L612" s="197">
        <f>CE80-(AW80+AX80+AY80+AZ80+BA80+BB80+BC80+BD80+BE80+BF80+BG80+BH80+BI80+BJ80+BK80+BL80+BM80+BN80+BO80+BP80+BQ80+BR80+BS80+BT80+BU80+BV80+BW80+BX80+BY80+BZ80+CA80+CB80+CC80+CD80)</f>
        <v>45.4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795394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676560.96999999986</v>
      </c>
      <c r="D615" s="265">
        <f>SUM(C614:C615)</f>
        <v>1471954.9699999997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603507</v>
      </c>
      <c r="D617" s="180">
        <f>(D615/D612)*BJ76</f>
        <v>16113.713425835273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134078.20000000001</v>
      </c>
      <c r="D618" s="180">
        <f>(D615/D612)*BG76</f>
        <v>7650.7387322665036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759900</v>
      </c>
      <c r="D619" s="180">
        <f>(D615/D612)*BN76</f>
        <v>18367.013189448011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30696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1570312.6653475498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128093</v>
      </c>
      <c r="D624" s="180">
        <f>(D615/D612)*BD76</f>
        <v>8986.9978944089416</v>
      </c>
      <c r="E624" s="180">
        <f>(E623/E612)*SUM(C624:D624)</f>
        <v>6960.0960974231293</v>
      </c>
      <c r="F624" s="180">
        <f>SUM(C624:E624)</f>
        <v>144040.09399183208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378086.17</v>
      </c>
      <c r="D625" s="180">
        <f>(D615/D612)*AY76</f>
        <v>56437.298730486466</v>
      </c>
      <c r="E625" s="180">
        <f>(E623/E612)*SUM(C625:D625)</f>
        <v>22062.482823200953</v>
      </c>
      <c r="F625" s="180">
        <f>(F624/F612)*AY64</f>
        <v>5352.0729326699893</v>
      </c>
      <c r="G625" s="180">
        <f>SUM(C625:F625)</f>
        <v>461938.0244863574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266260</v>
      </c>
      <c r="D626" s="180">
        <f>(D615/D612)*BR76</f>
        <v>8462.974693568769</v>
      </c>
      <c r="E626" s="180">
        <f>(E623/E612)*SUM(C626:D626)</f>
        <v>13948.776870496069</v>
      </c>
      <c r="F626" s="180">
        <f>(F624/F612)*BR64</f>
        <v>15.830202557964318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42479</v>
      </c>
      <c r="D627" s="180">
        <f>(D615/D612)*BO76</f>
        <v>0</v>
      </c>
      <c r="E627" s="180">
        <f>(E623/E612)*SUM(C627:D627)</f>
        <v>2156.8275945713017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0</v>
      </c>
      <c r="H628" s="180">
        <f>SUM(C626:G628)</f>
        <v>333323.40936119406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476974</v>
      </c>
      <c r="D629" s="180">
        <f>(D615/D612)*BF76</f>
        <v>9170.4060147030013</v>
      </c>
      <c r="E629" s="180">
        <f>(E623/E612)*SUM(C629:D629)</f>
        <v>24683.482893641234</v>
      </c>
      <c r="F629" s="180">
        <f>(F624/F612)*BF64</f>
        <v>1096.2589612828153</v>
      </c>
      <c r="G629" s="180">
        <f>(G625/G612)*BF77</f>
        <v>0</v>
      </c>
      <c r="H629" s="180">
        <f>(H628/H612)*BF60</f>
        <v>16979.437380427862</v>
      </c>
      <c r="I629" s="180">
        <f>SUM(C629:H629)</f>
        <v>528903.58525005484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133852</v>
      </c>
      <c r="D630" s="180">
        <f>(D615/D612)*BA76</f>
        <v>13257.786981256339</v>
      </c>
      <c r="E630" s="180">
        <f>(E623/E612)*SUM(C630:D630)</f>
        <v>7469.3483366529263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10500.821370692476</v>
      </c>
      <c r="J630" s="180">
        <f>SUM(C630:I630)</f>
        <v>165079.95668860176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845453</v>
      </c>
      <c r="D635" s="180">
        <f>(D615/D612)*BK76</f>
        <v>45930.633553641033</v>
      </c>
      <c r="E635" s="180">
        <f>(E623/E612)*SUM(C635:D635)</f>
        <v>45259.088448356277</v>
      </c>
      <c r="F635" s="180">
        <f>(F624/F612)*BK64</f>
        <v>1635.4970285932079</v>
      </c>
      <c r="G635" s="180">
        <f>(G625/G612)*BK77</f>
        <v>0</v>
      </c>
      <c r="H635" s="180">
        <f>(H628/H612)*BK60</f>
        <v>22558.924991245312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556663</v>
      </c>
      <c r="D636" s="180">
        <f>(D615/D612)*BH76</f>
        <v>17083.156347389591</v>
      </c>
      <c r="E636" s="180">
        <f>(E623/E612)*SUM(C636:D636)</f>
        <v>29131.371790514611</v>
      </c>
      <c r="F636" s="180">
        <f>(F624/F612)*BH64</f>
        <v>778.29504690819726</v>
      </c>
      <c r="G636" s="180">
        <f>(G625/G612)*BH77</f>
        <v>0</v>
      </c>
      <c r="H636" s="180">
        <f>(H628/H612)*BH60</f>
        <v>5282.903551770677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307322</v>
      </c>
      <c r="D637" s="180">
        <f>(D615/D612)*BL76</f>
        <v>6602.692330586161</v>
      </c>
      <c r="E637" s="180">
        <f>(E623/E612)*SUM(C637:D637)</f>
        <v>15939.203819202759</v>
      </c>
      <c r="F637" s="180">
        <f>(F624/F612)*BL64</f>
        <v>180.40851990067705</v>
      </c>
      <c r="G637" s="180">
        <f>(G625/G612)*BL77</f>
        <v>0</v>
      </c>
      <c r="H637" s="180">
        <f>(H628/H612)*BL60</f>
        <v>8916.0582750936683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583955.4</v>
      </c>
      <c r="D642" s="180">
        <f>(D615/D612)*BV76</f>
        <v>39511.349343348928</v>
      </c>
      <c r="E642" s="180">
        <f>(E623/E612)*SUM(C642:D642)</f>
        <v>31655.883831573337</v>
      </c>
      <c r="F642" s="180">
        <f>(F624/F612)*BV64</f>
        <v>115.62324159077022</v>
      </c>
      <c r="G642" s="180">
        <f>(G625/G612)*BV77</f>
        <v>0</v>
      </c>
      <c r="H642" s="180">
        <f>(H628/H612)*BV60</f>
        <v>15162.860018766363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94281</v>
      </c>
      <c r="D644" s="180">
        <f>(D615/D612)*BX76</f>
        <v>0</v>
      </c>
      <c r="E644" s="180">
        <f>(E623/E612)*SUM(C644:D644)</f>
        <v>4787.0209384349182</v>
      </c>
      <c r="F644" s="180">
        <f>(F624/F612)*BX64</f>
        <v>0</v>
      </c>
      <c r="G644" s="180">
        <f>(G625/G612)*BX77</f>
        <v>0</v>
      </c>
      <c r="H644" s="180">
        <f>(H628/H612)*BX60</f>
        <v>2020.4789022561538</v>
      </c>
      <c r="I644" s="180">
        <f>(I629/I612)*BX78</f>
        <v>0</v>
      </c>
      <c r="J644" s="180">
        <f>(J630/J612)*BX79</f>
        <v>0</v>
      </c>
      <c r="K644" s="180">
        <f>SUM(C631:J644)</f>
        <v>2680225.849979172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280286</v>
      </c>
      <c r="D645" s="180">
        <f>(D615/D612)*BY76</f>
        <v>6419.2842102921004</v>
      </c>
      <c r="E645" s="180">
        <f>(E623/E612)*SUM(C645:D645)</f>
        <v>14557.166329107693</v>
      </c>
      <c r="F645" s="180">
        <f>(F624/F612)*BY64</f>
        <v>2.1269655419291267</v>
      </c>
      <c r="G645" s="180">
        <f>(G625/G612)*BY77</f>
        <v>0</v>
      </c>
      <c r="H645" s="180">
        <f>(H628/H612)*BY60</f>
        <v>3707.3007380846857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71535</v>
      </c>
      <c r="D647" s="180">
        <f>(D615/D612)*CA76</f>
        <v>56332.494090318432</v>
      </c>
      <c r="E647" s="180">
        <f>(E623/E612)*SUM(C647:D647)</f>
        <v>6492.3406789868322</v>
      </c>
      <c r="F647" s="180">
        <f>(F624/F612)*CA64</f>
        <v>662.91588333043535</v>
      </c>
      <c r="G647" s="180">
        <f>(G625/G612)*CA77</f>
        <v>0</v>
      </c>
      <c r="H647" s="180">
        <f>(H628/H612)*CA60</f>
        <v>55.609511071270283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440050.23840673349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7165375.7400000002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0</v>
      </c>
      <c r="D668" s="180">
        <f>(D615/D612)*C76</f>
        <v>0</v>
      </c>
      <c r="E668" s="180">
        <f>(E623/E612)*SUM(C668:D668)</f>
        <v>0</v>
      </c>
      <c r="F668" s="180">
        <f>(F624/F612)*C64</f>
        <v>0</v>
      </c>
      <c r="G668" s="180">
        <f>(G625/G612)*C77</f>
        <v>0</v>
      </c>
      <c r="H668" s="180">
        <f>(H628/H612)*C60</f>
        <v>0</v>
      </c>
      <c r="I668" s="180">
        <f>(I629/I612)*C78</f>
        <v>0</v>
      </c>
      <c r="J668" s="180">
        <f>(J630/J612)*C79</f>
        <v>0</v>
      </c>
      <c r="K668" s="180">
        <f>(K644/K612)*C75</f>
        <v>0</v>
      </c>
      <c r="L668" s="180">
        <f>(L647/L612)*C80</f>
        <v>0</v>
      </c>
      <c r="M668" s="180">
        <f t="shared" ref="M668:M713" si="20">ROUND(SUM(D668:L668),0)</f>
        <v>0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3378392.2500000005</v>
      </c>
      <c r="D670" s="180">
        <f>(D615/D612)*E76</f>
        <v>167242.00454814074</v>
      </c>
      <c r="E670" s="180">
        <f>(E623/E612)*SUM(C670:D670)</f>
        <v>180025.93753305581</v>
      </c>
      <c r="F670" s="180">
        <f>(F624/F612)*E64</f>
        <v>2543.9037879443458</v>
      </c>
      <c r="G670" s="180">
        <f>(G625/G612)*E77</f>
        <v>346467.5453908972</v>
      </c>
      <c r="H670" s="180">
        <f>(H628/H612)*E60</f>
        <v>52217.330895922802</v>
      </c>
      <c r="I670" s="180">
        <f>(I629/I612)*E78</f>
        <v>163972.59012774742</v>
      </c>
      <c r="J670" s="180">
        <f>(J630/J612)*E79</f>
        <v>77439.810078869428</v>
      </c>
      <c r="K670" s="180">
        <f>(K644/K612)*E75</f>
        <v>172781.71293686127</v>
      </c>
      <c r="L670" s="180">
        <f>(L647/L612)*E80</f>
        <v>127168.7032576287</v>
      </c>
      <c r="M670" s="180">
        <f t="shared" si="20"/>
        <v>1289860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397</v>
      </c>
      <c r="D675" s="180">
        <f>(D615/D612)*J76</f>
        <v>3720.5647259652173</v>
      </c>
      <c r="E675" s="180">
        <f>(E623/E612)*SUM(C675:D675)</f>
        <v>209.06511978613435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17138.92085452428</v>
      </c>
      <c r="L675" s="180">
        <f>(L647/L612)*J80</f>
        <v>0</v>
      </c>
      <c r="M675" s="180">
        <f t="shared" si="20"/>
        <v>21069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77636.75</v>
      </c>
      <c r="D677" s="180">
        <f>(D615/D612)*L76</f>
        <v>0</v>
      </c>
      <c r="E677" s="180">
        <f>(E623/E612)*SUM(C677:D677)</f>
        <v>3941.9262400911862</v>
      </c>
      <c r="F677" s="180">
        <f>(F624/F612)*L64</f>
        <v>58.769801337880395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2557.8936693880664</v>
      </c>
      <c r="L677" s="180">
        <f>(L647/L612)*L80</f>
        <v>0</v>
      </c>
      <c r="M677" s="180">
        <f t="shared" si="20"/>
        <v>6559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1298693</v>
      </c>
      <c r="D680" s="180">
        <f>(D615/D612)*O76</f>
        <v>40166.378344399141</v>
      </c>
      <c r="E680" s="180">
        <f>(E623/E612)*SUM(C680:D680)</f>
        <v>67979.209785159226</v>
      </c>
      <c r="F680" s="180">
        <f>(F624/F612)*O64</f>
        <v>1094.2714688911767</v>
      </c>
      <c r="G680" s="180">
        <f>(G625/G612)*O77</f>
        <v>115470.47909546016</v>
      </c>
      <c r="H680" s="180">
        <f>(H628/H612)*O60</f>
        <v>10046.785000209498</v>
      </c>
      <c r="I680" s="180">
        <f>(I629/I612)*O78</f>
        <v>24128.952515355799</v>
      </c>
      <c r="J680" s="180">
        <f>(J630/J612)*O79</f>
        <v>7944.6154922278492</v>
      </c>
      <c r="K680" s="180">
        <f>(K644/K612)*O75</f>
        <v>50988.588700312401</v>
      </c>
      <c r="L680" s="180">
        <f>(L647/L612)*O80</f>
        <v>45943.571146429887</v>
      </c>
      <c r="M680" s="180">
        <f t="shared" si="20"/>
        <v>363763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1512109</v>
      </c>
      <c r="D681" s="180">
        <f>(D615/D612)*P76</f>
        <v>107031.73877160503</v>
      </c>
      <c r="E681" s="180">
        <f>(E623/E612)*SUM(C681:D681)</f>
        <v>82210.207982230306</v>
      </c>
      <c r="F681" s="180">
        <f>(F624/F612)*P64</f>
        <v>2924.926303028275</v>
      </c>
      <c r="G681" s="180">
        <f>(G625/G612)*P77</f>
        <v>0</v>
      </c>
      <c r="H681" s="180">
        <f>(H628/H612)*P60</f>
        <v>18462.357675661737</v>
      </c>
      <c r="I681" s="180">
        <f>(I629/I612)*P78</f>
        <v>42003.610364317166</v>
      </c>
      <c r="J681" s="180">
        <f>(J630/J612)*P79</f>
        <v>43109.492839492123</v>
      </c>
      <c r="K681" s="180">
        <f>(K644/K612)*P75</f>
        <v>231325.87135074139</v>
      </c>
      <c r="L681" s="180">
        <f>(L647/L612)*P80</f>
        <v>34603.069407754148</v>
      </c>
      <c r="M681" s="180">
        <f t="shared" si="20"/>
        <v>561671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608889</v>
      </c>
      <c r="D682" s="180">
        <f>(D615/D612)*Q76</f>
        <v>31729.604810872384</v>
      </c>
      <c r="E682" s="180">
        <f>(E623/E612)*SUM(C682:D682)</f>
        <v>32526.751676166037</v>
      </c>
      <c r="F682" s="180">
        <f>(F624/F612)*Q64</f>
        <v>438.78253081370701</v>
      </c>
      <c r="G682" s="180">
        <f>(G625/G612)*Q77</f>
        <v>0</v>
      </c>
      <c r="H682" s="180">
        <f>(H628/H612)*Q60</f>
        <v>8749.2297418798571</v>
      </c>
      <c r="I682" s="180">
        <f>(I629/I612)*Q78</f>
        <v>31386.80628125116</v>
      </c>
      <c r="J682" s="180">
        <f>(J630/J612)*Q79</f>
        <v>0</v>
      </c>
      <c r="K682" s="180">
        <f>(K644/K612)*Q75</f>
        <v>66629.146077604804</v>
      </c>
      <c r="L682" s="180">
        <f>(L647/L612)*Q80</f>
        <v>40127.929229160276</v>
      </c>
      <c r="M682" s="180">
        <f t="shared" si="20"/>
        <v>211588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834553</v>
      </c>
      <c r="D683" s="180">
        <f>(D615/D612)*R76</f>
        <v>0</v>
      </c>
      <c r="E683" s="180">
        <f>(E623/E612)*SUM(C683:D683)</f>
        <v>42373.571400745393</v>
      </c>
      <c r="F683" s="180">
        <f>(F624/F612)*R64</f>
        <v>75.629315744988119</v>
      </c>
      <c r="G683" s="180">
        <f>(G625/G612)*R77</f>
        <v>0</v>
      </c>
      <c r="H683" s="180">
        <f>(H628/H612)*R60</f>
        <v>389.26657749889199</v>
      </c>
      <c r="I683" s="180">
        <f>(I629/I612)*R78</f>
        <v>0</v>
      </c>
      <c r="J683" s="180">
        <f>(J630/J612)*R79</f>
        <v>0</v>
      </c>
      <c r="K683" s="180">
        <f>(K644/K612)*R75</f>
        <v>87605.295422828989</v>
      </c>
      <c r="L683" s="180">
        <f>(L647/L612)*R80</f>
        <v>0</v>
      </c>
      <c r="M683" s="180">
        <f t="shared" si="20"/>
        <v>130444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2247146.4</v>
      </c>
      <c r="D684" s="180">
        <f>(D615/D612)*S76</f>
        <v>42655.488548389956</v>
      </c>
      <c r="E684" s="180">
        <f>(E623/E612)*SUM(C684:D684)</f>
        <v>116262.33902216738</v>
      </c>
      <c r="F684" s="180">
        <f>(F624/F612)*S64</f>
        <v>74764.65194976257</v>
      </c>
      <c r="G684" s="180">
        <f>(G625/G612)*S77</f>
        <v>0</v>
      </c>
      <c r="H684" s="180">
        <f>(H628/H612)*S60</f>
        <v>3855.5927676080732</v>
      </c>
      <c r="I684" s="180">
        <f>(I629/I612)*S78</f>
        <v>5906.671410821109</v>
      </c>
      <c r="J684" s="180">
        <f>(J630/J612)*S79</f>
        <v>0</v>
      </c>
      <c r="K684" s="180">
        <f>(K644/K612)*S75</f>
        <v>281324.80829079752</v>
      </c>
      <c r="L684" s="180">
        <f>(L647/L612)*S80</f>
        <v>0</v>
      </c>
      <c r="M684" s="180">
        <f t="shared" si="20"/>
        <v>524770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1398384</v>
      </c>
      <c r="D686" s="180">
        <f>(D615/D612)*U76</f>
        <v>31782.007130956401</v>
      </c>
      <c r="E686" s="180">
        <f>(E623/E612)*SUM(C686:D686)</f>
        <v>72615.210080225617</v>
      </c>
      <c r="F686" s="180">
        <f>(F624/F612)*U64</f>
        <v>14724.215344448745</v>
      </c>
      <c r="G686" s="180">
        <f>(G625/G612)*U77</f>
        <v>0</v>
      </c>
      <c r="H686" s="180">
        <f>(H628/H612)*U60</f>
        <v>16052.61219590669</v>
      </c>
      <c r="I686" s="180">
        <f>(I629/I612)*U78</f>
        <v>18337.938935360955</v>
      </c>
      <c r="J686" s="180">
        <f>(J630/J612)*U79</f>
        <v>0</v>
      </c>
      <c r="K686" s="180">
        <f>(K644/K612)*U75</f>
        <v>260048.68402897206</v>
      </c>
      <c r="L686" s="180">
        <f>(L647/L612)*U80</f>
        <v>0</v>
      </c>
      <c r="M686" s="180">
        <f t="shared" si="20"/>
        <v>413561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1296</v>
      </c>
      <c r="D687" s="180">
        <f>(D615/D612)*V76</f>
        <v>0</v>
      </c>
      <c r="E687" s="180">
        <f>(E623/E612)*SUM(C687:D687)</f>
        <v>65.803068870839866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10275.600948497968</v>
      </c>
      <c r="L687" s="180">
        <f>(L647/L612)*V80</f>
        <v>0</v>
      </c>
      <c r="M687" s="180">
        <f t="shared" si="20"/>
        <v>10341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3026966</v>
      </c>
      <c r="D690" s="180">
        <f>(D615/D612)*Y76</f>
        <v>146621.69159507999</v>
      </c>
      <c r="E690" s="180">
        <f>(E623/E612)*SUM(C690:D690)</f>
        <v>161135.65543030924</v>
      </c>
      <c r="F690" s="180">
        <f>(F624/F612)*Y64</f>
        <v>10498.039417498288</v>
      </c>
      <c r="G690" s="180">
        <f>(G625/G612)*Y77</f>
        <v>0</v>
      </c>
      <c r="H690" s="180">
        <f>(H628/H612)*Y60</f>
        <v>20334.5445483945</v>
      </c>
      <c r="I690" s="180">
        <f>(I629/I612)*Y78</f>
        <v>33252.276125645571</v>
      </c>
      <c r="J690" s="180">
        <f>(J630/J612)*Y79</f>
        <v>16559.429509125534</v>
      </c>
      <c r="K690" s="180">
        <f>(K644/K612)*Y75</f>
        <v>679806.01485060435</v>
      </c>
      <c r="L690" s="180">
        <f>(L647/L612)*Y80</f>
        <v>2617.0388627713228</v>
      </c>
      <c r="M690" s="180">
        <f t="shared" si="20"/>
        <v>1070825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783971.66</v>
      </c>
      <c r="D693" s="180">
        <f>(D615/D612)*AB76</f>
        <v>15406.282104701042</v>
      </c>
      <c r="E693" s="180">
        <f>(E623/E612)*SUM(C693:D693)</f>
        <v>40587.593964618747</v>
      </c>
      <c r="F693" s="180">
        <f>(F624/F612)*AB64</f>
        <v>16737.789215191748</v>
      </c>
      <c r="G693" s="180">
        <f>(G625/G612)*AB77</f>
        <v>0</v>
      </c>
      <c r="H693" s="180">
        <f>(H628/H612)*AB60</f>
        <v>3762.9102491559556</v>
      </c>
      <c r="I693" s="180">
        <f>(I629/I612)*AB78</f>
        <v>4671.4717681203847</v>
      </c>
      <c r="J693" s="180">
        <f>(J630/J612)*AB79</f>
        <v>0</v>
      </c>
      <c r="K693" s="180">
        <f>(K644/K612)*AB75</f>
        <v>119211.82884800319</v>
      </c>
      <c r="L693" s="180">
        <f>(L647/L612)*AB80</f>
        <v>0</v>
      </c>
      <c r="M693" s="180">
        <f t="shared" si="20"/>
        <v>200378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350796</v>
      </c>
      <c r="D694" s="180">
        <f>(D615/D612)*AC76</f>
        <v>10323.257056551378</v>
      </c>
      <c r="E694" s="180">
        <f>(E623/E612)*SUM(C694:D694)</f>
        <v>18335.459369350909</v>
      </c>
      <c r="F694" s="180">
        <f>(F624/F612)*AC64</f>
        <v>956.99502071781649</v>
      </c>
      <c r="G694" s="180">
        <f>(G625/G612)*AC77</f>
        <v>0</v>
      </c>
      <c r="H694" s="180">
        <f>(H628/H612)*AC60</f>
        <v>5449.7320849844882</v>
      </c>
      <c r="I694" s="180">
        <f>(I629/I612)*AC78</f>
        <v>3628.926882947681</v>
      </c>
      <c r="J694" s="180">
        <f>(J630/J612)*AC79</f>
        <v>0</v>
      </c>
      <c r="K694" s="180">
        <f>(K644/K612)*AC75</f>
        <v>23689.523546606946</v>
      </c>
      <c r="L694" s="180">
        <f>(L647/L612)*AC80</f>
        <v>0</v>
      </c>
      <c r="M694" s="180">
        <f t="shared" si="20"/>
        <v>62384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610603.05000000005</v>
      </c>
      <c r="D696" s="180">
        <f>(D615/D612)*AE76</f>
        <v>61101.105217963996</v>
      </c>
      <c r="E696" s="180">
        <f>(E623/E612)*SUM(C696:D696)</f>
        <v>34105.088569935964</v>
      </c>
      <c r="F696" s="180">
        <f>(F624/F612)*AE64</f>
        <v>530.45125884209517</v>
      </c>
      <c r="G696" s="180">
        <f>(G625/G612)*AE77</f>
        <v>0</v>
      </c>
      <c r="H696" s="180">
        <f>(H628/H612)*AE60</f>
        <v>11437.022776991254</v>
      </c>
      <c r="I696" s="180">
        <f>(I629/I612)*AE78</f>
        <v>10500.821370692476</v>
      </c>
      <c r="J696" s="180">
        <f>(J630/J612)*AE79</f>
        <v>0</v>
      </c>
      <c r="K696" s="180">
        <f>(K644/K612)*AE75</f>
        <v>69246.66716404364</v>
      </c>
      <c r="L696" s="180">
        <f>(L647/L612)*AE80</f>
        <v>0</v>
      </c>
      <c r="M696" s="180">
        <f t="shared" si="20"/>
        <v>186921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3926256</v>
      </c>
      <c r="D698" s="180">
        <f>(D615/D612)*AG76</f>
        <v>94350.377311272881</v>
      </c>
      <c r="E698" s="180">
        <f>(E623/E612)*SUM(C698:D698)</f>
        <v>204142.1592197158</v>
      </c>
      <c r="F698" s="180">
        <f>(F624/F612)*AG64</f>
        <v>2755.5361620005424</v>
      </c>
      <c r="G698" s="180">
        <f>(G625/G612)*AG77</f>
        <v>0</v>
      </c>
      <c r="H698" s="180">
        <f>(H628/H612)*AG60</f>
        <v>38593.000683461578</v>
      </c>
      <c r="I698" s="180">
        <f>(I629/I612)*AG78</f>
        <v>126048.84223398147</v>
      </c>
      <c r="J698" s="180">
        <f>(J630/J612)*AG79</f>
        <v>20026.608768886825</v>
      </c>
      <c r="K698" s="180">
        <f>(K644/K612)*AG75</f>
        <v>279254.14413196809</v>
      </c>
      <c r="L698" s="180">
        <f>(L647/L612)*AG80</f>
        <v>77348.037499685757</v>
      </c>
      <c r="M698" s="180">
        <f t="shared" si="20"/>
        <v>842519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5276360</v>
      </c>
      <c r="D707" s="180">
        <f>(D615/D612)*AP76</f>
        <v>409497.93029655202</v>
      </c>
      <c r="E707" s="180">
        <f>(E623/E612)*SUM(C707:D707)</f>
        <v>288693.5964329592</v>
      </c>
      <c r="F707" s="180">
        <f>(F624/F612)*AP64</f>
        <v>6097.1036332339181</v>
      </c>
      <c r="G707" s="180">
        <f>(G625/G612)*AP77</f>
        <v>0</v>
      </c>
      <c r="H707" s="180">
        <f>(H628/H612)*AP60</f>
        <v>69289.450794802775</v>
      </c>
      <c r="I707" s="180">
        <f>(I629/I612)*AP78</f>
        <v>54563.855863121127</v>
      </c>
      <c r="J707" s="180">
        <f>(J630/J612)*AP79</f>
        <v>0</v>
      </c>
      <c r="K707" s="180">
        <f>(K644/K612)*AP75</f>
        <v>328341.14915741701</v>
      </c>
      <c r="L707" s="180">
        <f>(L647/L612)*AP80</f>
        <v>112241.88900330338</v>
      </c>
      <c r="M707" s="180">
        <f t="shared" si="20"/>
        <v>1268725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15" ht="12.6" customHeight="1" x14ac:dyDescent="0.25">
      <c r="C715" s="180">
        <f>SUM(C614:C647)+SUM(C668:C713)</f>
        <v>32497824.850000001</v>
      </c>
      <c r="D715" s="180">
        <f>SUM(D616:D647)+SUM(D668:D713)</f>
        <v>1471954.9699999997</v>
      </c>
      <c r="E715" s="180">
        <f>SUM(E624:E647)+SUM(E668:E713)</f>
        <v>1570312.6653475498</v>
      </c>
      <c r="F715" s="180">
        <f>SUM(F625:F648)+SUM(F668:F713)</f>
        <v>144040.09399183211</v>
      </c>
      <c r="G715" s="180">
        <f>SUM(G626:G647)+SUM(G668:G713)</f>
        <v>461938.02448635735</v>
      </c>
      <c r="H715" s="180">
        <f>SUM(H629:H647)+SUM(H668:H713)</f>
        <v>333323.40936119406</v>
      </c>
      <c r="I715" s="180">
        <f>SUM(I630:I647)+SUM(I668:I713)</f>
        <v>528903.58525005472</v>
      </c>
      <c r="J715" s="180">
        <f>SUM(J631:J647)+SUM(J668:J713)</f>
        <v>165079.95668860176</v>
      </c>
      <c r="K715" s="180">
        <f>SUM(K668:K713)</f>
        <v>2680225.849979172</v>
      </c>
      <c r="L715" s="180">
        <f>SUM(L668:L713)</f>
        <v>440050.23840673344</v>
      </c>
      <c r="M715" s="180">
        <f>SUM(M668:M713)</f>
        <v>7165378</v>
      </c>
      <c r="N715" s="198" t="s">
        <v>742</v>
      </c>
    </row>
    <row r="716" spans="1:15" ht="12.6" customHeight="1" x14ac:dyDescent="0.25">
      <c r="C716" s="180">
        <f>CE71</f>
        <v>32497824.849999998</v>
      </c>
      <c r="D716" s="180">
        <f>D615</f>
        <v>1471954.9699999997</v>
      </c>
      <c r="E716" s="180">
        <f>E623</f>
        <v>1570312.6653475498</v>
      </c>
      <c r="F716" s="180">
        <f>F624</f>
        <v>144040.09399183208</v>
      </c>
      <c r="G716" s="180">
        <f>G625</f>
        <v>461938.0244863574</v>
      </c>
      <c r="H716" s="180">
        <f>H628</f>
        <v>333323.40936119406</v>
      </c>
      <c r="I716" s="180">
        <f>I629</f>
        <v>528903.58525005484</v>
      </c>
      <c r="J716" s="180">
        <f>J630</f>
        <v>165079.95668860176</v>
      </c>
      <c r="K716" s="180">
        <f>K644</f>
        <v>2680225.849979172</v>
      </c>
      <c r="L716" s="180">
        <f>L647</f>
        <v>440050.23840673349</v>
      </c>
      <c r="M716" s="180">
        <f>C648</f>
        <v>7165375.7400000002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4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G21" sqref="G21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2" t="s">
        <v>1232</v>
      </c>
      <c r="B1" s="233"/>
      <c r="C1" s="233"/>
      <c r="D1" s="233"/>
      <c r="E1" s="233"/>
      <c r="F1" s="233"/>
    </row>
    <row r="2" spans="1:6" ht="12.75" customHeight="1" x14ac:dyDescent="0.25">
      <c r="A2" s="233" t="s">
        <v>1233</v>
      </c>
      <c r="B2" s="233"/>
      <c r="C2" s="234"/>
      <c r="D2" s="233"/>
      <c r="E2" s="233"/>
      <c r="F2" s="233"/>
    </row>
    <row r="3" spans="1:6" ht="12.75" customHeight="1" x14ac:dyDescent="0.25">
      <c r="A3" s="199"/>
      <c r="C3" s="235"/>
    </row>
    <row r="4" spans="1:6" ht="12.75" customHeight="1" x14ac:dyDescent="0.25">
      <c r="C4" s="235"/>
    </row>
    <row r="5" spans="1:6" ht="12.75" customHeight="1" x14ac:dyDescent="0.25">
      <c r="A5" s="199" t="s">
        <v>1258</v>
      </c>
      <c r="C5" s="235"/>
    </row>
    <row r="6" spans="1:6" ht="12.75" customHeight="1" x14ac:dyDescent="0.25">
      <c r="A6" s="199" t="s">
        <v>0</v>
      </c>
      <c r="C6" s="235"/>
    </row>
    <row r="7" spans="1:6" ht="12.75" customHeight="1" x14ac:dyDescent="0.25">
      <c r="A7" s="199" t="s">
        <v>1</v>
      </c>
      <c r="C7" s="235"/>
    </row>
    <row r="8" spans="1:6" ht="12.75" customHeight="1" x14ac:dyDescent="0.25">
      <c r="C8" s="235"/>
    </row>
    <row r="9" spans="1:6" ht="12.75" customHeight="1" x14ac:dyDescent="0.25">
      <c r="C9" s="235"/>
    </row>
    <row r="10" spans="1:6" ht="12.75" customHeight="1" x14ac:dyDescent="0.25">
      <c r="A10" s="198" t="s">
        <v>1228</v>
      </c>
      <c r="C10" s="235"/>
    </row>
    <row r="11" spans="1:6" ht="12.75" customHeight="1" x14ac:dyDescent="0.25">
      <c r="A11" s="198" t="s">
        <v>1231</v>
      </c>
      <c r="C11" s="235"/>
    </row>
    <row r="12" spans="1:6" ht="12.75" customHeight="1" x14ac:dyDescent="0.25">
      <c r="C12" s="235"/>
    </row>
    <row r="13" spans="1:6" ht="12.75" customHeight="1" x14ac:dyDescent="0.25">
      <c r="C13" s="235"/>
    </row>
    <row r="14" spans="1:6" ht="12.75" customHeight="1" x14ac:dyDescent="0.25">
      <c r="A14" s="199" t="s">
        <v>2</v>
      </c>
      <c r="C14" s="235"/>
    </row>
    <row r="15" spans="1:6" ht="12.75" customHeight="1" x14ac:dyDescent="0.25">
      <c r="A15" s="199"/>
      <c r="C15" s="235"/>
    </row>
    <row r="16" spans="1:6" ht="12.75" customHeight="1" x14ac:dyDescent="0.25">
      <c r="A16" s="180" t="s">
        <v>1260</v>
      </c>
      <c r="C16" s="235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7"/>
      <c r="C18" s="235"/>
    </row>
    <row r="19" spans="1:6" ht="12.75" customHeight="1" x14ac:dyDescent="0.25">
      <c r="C19" s="235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5"/>
    </row>
    <row r="22" spans="1:6" ht="12.6" customHeight="1" x14ac:dyDescent="0.25">
      <c r="A22" s="236" t="s">
        <v>1254</v>
      </c>
      <c r="B22" s="237"/>
      <c r="C22" s="238"/>
      <c r="D22" s="236"/>
      <c r="E22" s="236"/>
    </row>
    <row r="23" spans="1:6" ht="12.6" customHeight="1" x14ac:dyDescent="0.25">
      <c r="B23" s="199"/>
      <c r="C23" s="235"/>
    </row>
    <row r="24" spans="1:6" ht="12.6" customHeight="1" x14ac:dyDescent="0.25">
      <c r="A24" s="239" t="s">
        <v>3</v>
      </c>
      <c r="C24" s="235"/>
    </row>
    <row r="25" spans="1:6" ht="12.6" customHeight="1" x14ac:dyDescent="0.25">
      <c r="A25" s="198" t="s">
        <v>1235</v>
      </c>
      <c r="C25" s="235"/>
    </row>
    <row r="26" spans="1:6" ht="12.6" customHeight="1" x14ac:dyDescent="0.25">
      <c r="A26" s="199" t="s">
        <v>4</v>
      </c>
      <c r="C26" s="235"/>
    </row>
    <row r="27" spans="1:6" ht="12.6" customHeight="1" x14ac:dyDescent="0.25">
      <c r="A27" s="198" t="s">
        <v>1236</v>
      </c>
      <c r="C27" s="235"/>
    </row>
    <row r="28" spans="1:6" ht="12.6" customHeight="1" x14ac:dyDescent="0.25">
      <c r="A28" s="199" t="s">
        <v>5</v>
      </c>
      <c r="C28" s="235"/>
    </row>
    <row r="29" spans="1:6" ht="12.6" customHeight="1" x14ac:dyDescent="0.25">
      <c r="A29" s="198"/>
      <c r="C29" s="235"/>
    </row>
    <row r="30" spans="1:6" ht="12.6" customHeight="1" x14ac:dyDescent="0.25">
      <c r="A30" s="180" t="s">
        <v>6</v>
      </c>
      <c r="C30" s="235"/>
    </row>
    <row r="31" spans="1:6" ht="12.6" customHeight="1" x14ac:dyDescent="0.25">
      <c r="A31" s="199" t="s">
        <v>7</v>
      </c>
      <c r="C31" s="235"/>
    </row>
    <row r="32" spans="1:6" ht="12.6" customHeight="1" x14ac:dyDescent="0.25">
      <c r="A32" s="199" t="s">
        <v>8</v>
      </c>
      <c r="C32" s="235"/>
    </row>
    <row r="33" spans="1:83" ht="12.6" customHeight="1" x14ac:dyDescent="0.25">
      <c r="A33" s="198" t="s">
        <v>1237</v>
      </c>
      <c r="C33" s="235"/>
    </row>
    <row r="34" spans="1:83" ht="12.6" customHeight="1" x14ac:dyDescent="0.25">
      <c r="A34" s="199" t="s">
        <v>9</v>
      </c>
      <c r="C34" s="235"/>
    </row>
    <row r="35" spans="1:83" ht="12.6" customHeight="1" x14ac:dyDescent="0.25">
      <c r="A35" s="199"/>
      <c r="C35" s="235"/>
    </row>
    <row r="36" spans="1:83" ht="12.6" customHeight="1" x14ac:dyDescent="0.25">
      <c r="A36" s="198" t="s">
        <v>1238</v>
      </c>
      <c r="C36" s="235"/>
    </row>
    <row r="37" spans="1:83" ht="12.6" customHeight="1" x14ac:dyDescent="0.25">
      <c r="A37" s="199" t="s">
        <v>1229</v>
      </c>
      <c r="C37" s="235"/>
    </row>
    <row r="38" spans="1:83" ht="12" customHeight="1" x14ac:dyDescent="0.25">
      <c r="A38" s="198"/>
      <c r="C38" s="235"/>
    </row>
    <row r="39" spans="1:83" ht="12.6" customHeight="1" x14ac:dyDescent="0.25">
      <c r="A39" s="199"/>
      <c r="C39" s="235"/>
    </row>
    <row r="40" spans="1:83" ht="12" customHeight="1" x14ac:dyDescent="0.25">
      <c r="A40" s="199"/>
      <c r="C40" s="235"/>
    </row>
    <row r="41" spans="1:83" ht="12" customHeight="1" x14ac:dyDescent="0.25">
      <c r="A41" s="199"/>
      <c r="C41" s="240"/>
      <c r="D41" s="241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</row>
    <row r="42" spans="1:83" ht="12" customHeight="1" x14ac:dyDescent="0.25">
      <c r="A42" s="199"/>
      <c r="C42" s="240"/>
      <c r="D42" s="241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2"/>
    </row>
    <row r="43" spans="1:83" ht="12" customHeight="1" x14ac:dyDescent="0.25">
      <c r="A43" s="199"/>
      <c r="C43" s="235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3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v>3737345.56</v>
      </c>
      <c r="C47" s="184">
        <v>15386</v>
      </c>
      <c r="D47" s="184"/>
      <c r="E47" s="184">
        <f>505564-7470</f>
        <v>498094</v>
      </c>
      <c r="F47" s="184"/>
      <c r="G47" s="184"/>
      <c r="H47" s="184"/>
      <c r="I47" s="184"/>
      <c r="J47" s="184"/>
      <c r="K47" s="184"/>
      <c r="L47" s="184">
        <v>7470</v>
      </c>
      <c r="M47" s="184"/>
      <c r="N47" s="184"/>
      <c r="O47" s="184">
        <v>150868</v>
      </c>
      <c r="P47" s="184">
        <v>206160</v>
      </c>
      <c r="Q47" s="184">
        <v>99923</v>
      </c>
      <c r="R47" s="184">
        <v>83054</v>
      </c>
      <c r="S47" s="184">
        <v>27448</v>
      </c>
      <c r="T47" s="184"/>
      <c r="U47" s="184">
        <v>117364</v>
      </c>
      <c r="V47" s="184"/>
      <c r="W47" s="184"/>
      <c r="X47" s="184"/>
      <c r="Y47" s="184">
        <v>195563</v>
      </c>
      <c r="Z47" s="184"/>
      <c r="AA47" s="184"/>
      <c r="AB47" s="184">
        <v>41863</v>
      </c>
      <c r="AC47" s="184">
        <v>55891</v>
      </c>
      <c r="AD47" s="184"/>
      <c r="AE47" s="184">
        <v>111794</v>
      </c>
      <c r="AF47" s="184"/>
      <c r="AG47" s="184">
        <v>409048</v>
      </c>
      <c r="AH47" s="184"/>
      <c r="AI47" s="184"/>
      <c r="AJ47" s="184"/>
      <c r="AK47" s="184"/>
      <c r="AL47" s="184"/>
      <c r="AM47" s="184"/>
      <c r="AN47" s="184"/>
      <c r="AO47" s="184"/>
      <c r="AP47" s="184">
        <v>700337</v>
      </c>
      <c r="AQ47" s="184"/>
      <c r="AR47" s="184"/>
      <c r="AS47" s="184"/>
      <c r="AT47" s="184"/>
      <c r="AU47" s="184"/>
      <c r="AV47" s="184"/>
      <c r="AW47" s="184"/>
      <c r="AX47" s="184"/>
      <c r="AY47" s="184">
        <v>87906</v>
      </c>
      <c r="AZ47" s="184"/>
      <c r="BA47" s="184"/>
      <c r="BB47" s="184"/>
      <c r="BC47" s="184"/>
      <c r="BD47" s="184">
        <v>32145</v>
      </c>
      <c r="BE47" s="184">
        <v>53648</v>
      </c>
      <c r="BF47" s="184">
        <v>124932</v>
      </c>
      <c r="BG47" s="184">
        <v>14879</v>
      </c>
      <c r="BH47" s="184">
        <v>57657</v>
      </c>
      <c r="BI47" s="184"/>
      <c r="BJ47" s="184">
        <v>83665</v>
      </c>
      <c r="BK47" s="184">
        <v>147817</v>
      </c>
      <c r="BL47" s="184">
        <v>123473</v>
      </c>
      <c r="BM47" s="184"/>
      <c r="BN47" s="184">
        <v>46160</v>
      </c>
      <c r="BO47" s="184"/>
      <c r="BP47" s="184"/>
      <c r="BQ47" s="184"/>
      <c r="BR47" s="184">
        <v>40455</v>
      </c>
      <c r="BS47" s="184"/>
      <c r="BT47" s="184"/>
      <c r="BU47" s="184"/>
      <c r="BV47" s="184">
        <f>118837-1</f>
        <v>118836</v>
      </c>
      <c r="BW47" s="184"/>
      <c r="BX47" s="184">
        <v>19899</v>
      </c>
      <c r="BY47" s="184">
        <f>63034-1</f>
        <v>63033</v>
      </c>
      <c r="BZ47" s="184"/>
      <c r="CA47" s="184">
        <v>22</v>
      </c>
      <c r="CB47" s="184"/>
      <c r="CC47" s="184">
        <v>2556</v>
      </c>
      <c r="CD47" s="195"/>
      <c r="CE47" s="195">
        <f>SUM(C47:CC47)</f>
        <v>3737346</v>
      </c>
    </row>
    <row r="48" spans="1:83" ht="12.6" customHeight="1" x14ac:dyDescent="0.25">
      <c r="A48" s="175" t="s">
        <v>205</v>
      </c>
      <c r="B48" s="183">
        <v>2936.9</v>
      </c>
      <c r="C48" s="244">
        <f>ROUND(((B48/CE61)*C61),0)</f>
        <v>1</v>
      </c>
      <c r="D48" s="244">
        <f>ROUND(((B48/CE61)*D61),0)</f>
        <v>0</v>
      </c>
      <c r="E48" s="195">
        <f>ROUND(((B48/CE61)*E61),0)</f>
        <v>370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6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101</v>
      </c>
      <c r="P48" s="195">
        <f>ROUND(((B48/CE61)*P61),0)</f>
        <v>144</v>
      </c>
      <c r="Q48" s="195">
        <f>ROUND(((B48/CE61)*Q61),0)</f>
        <v>80</v>
      </c>
      <c r="R48" s="195">
        <f>ROUND(((B48/CE61)*R61),0)</f>
        <v>121</v>
      </c>
      <c r="S48" s="195">
        <f>ROUND(((B48/CE61)*S61),0)</f>
        <v>12</v>
      </c>
      <c r="T48" s="195">
        <f>ROUND(((B48/CE61)*T61),0)</f>
        <v>0</v>
      </c>
      <c r="U48" s="195">
        <f>ROUND(((B48/CE61)*U61),0)</f>
        <v>92</v>
      </c>
      <c r="V48" s="195">
        <f>ROUND(((B48/CE61)*V61),0)</f>
        <v>4</v>
      </c>
      <c r="W48" s="195">
        <f>ROUND(((B48/CE61)*W61),0)</f>
        <v>0</v>
      </c>
      <c r="X48" s="195">
        <f>ROUND(((B48/CE61)*X61),0)</f>
        <v>0</v>
      </c>
      <c r="Y48" s="195">
        <f>ROUND(((B48/CE61)*Y61),0)</f>
        <v>145</v>
      </c>
      <c r="Z48" s="195">
        <f>ROUND(((B48/CE61)*Z61),0)</f>
        <v>0</v>
      </c>
      <c r="AA48" s="195">
        <f>ROUND(((B48/CE61)*AA61),0)</f>
        <v>0</v>
      </c>
      <c r="AB48" s="195">
        <f>ROUND(((B48/CE61)*AB61),0)</f>
        <v>34</v>
      </c>
      <c r="AC48" s="195">
        <f>ROUND(((B48/CE61)*AC61),0)</f>
        <v>42</v>
      </c>
      <c r="AD48" s="195">
        <f>ROUND(((B48/CE61)*AD61),0)</f>
        <v>0</v>
      </c>
      <c r="AE48" s="195">
        <f>ROUND(((B48/CE61)*AE61),0)</f>
        <v>77</v>
      </c>
      <c r="AF48" s="195">
        <f>ROUND(((B48/CE61)*AF61),0)</f>
        <v>0</v>
      </c>
      <c r="AG48" s="195">
        <f>ROUND(((B48/CE61)*AG61),0)</f>
        <v>462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0</v>
      </c>
      <c r="AK48" s="195">
        <f>ROUND(((B48/CE61)*AK61),0)</f>
        <v>0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685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41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17</v>
      </c>
      <c r="BE48" s="195">
        <f>ROUND(((B48/CE61)*BE61),0)</f>
        <v>37</v>
      </c>
      <c r="BF48" s="195">
        <f>ROUND(((B48/CE61)*BF61),0)</f>
        <v>58</v>
      </c>
      <c r="BG48" s="195">
        <f>ROUND(((B48/CE61)*BG61),0)</f>
        <v>5</v>
      </c>
      <c r="BH48" s="195">
        <f>ROUND(((B48/CE61)*BH61),0)</f>
        <v>40</v>
      </c>
      <c r="BI48" s="195">
        <f>ROUND(((B48/CE61)*BI61),0)</f>
        <v>0</v>
      </c>
      <c r="BJ48" s="195">
        <f>ROUND(((B48/CE61)*BJ61),0)</f>
        <v>69</v>
      </c>
      <c r="BK48" s="195">
        <f>ROUND(((B48/CE61)*BK61),0)</f>
        <v>68</v>
      </c>
      <c r="BL48" s="195">
        <f>ROUND(((B48/CE61)*BL61),0)</f>
        <v>30</v>
      </c>
      <c r="BM48" s="195">
        <f>ROUND(((B48/CE61)*BM61),0)</f>
        <v>0</v>
      </c>
      <c r="BN48" s="195">
        <f>ROUND(((B48/CE61)*BN61),0)</f>
        <v>31</v>
      </c>
      <c r="BO48" s="195">
        <f>ROUND(((B48/CE61)*BO61),0)</f>
        <v>7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31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69</v>
      </c>
      <c r="BW48" s="195">
        <f>ROUND(((B48/CE61)*BW61),0)</f>
        <v>0</v>
      </c>
      <c r="BX48" s="195">
        <f>ROUND(((B48/CE61)*BX61),0)</f>
        <v>15</v>
      </c>
      <c r="BY48" s="195">
        <f>ROUND(((B48/CE61)*BY61),0)</f>
        <v>37</v>
      </c>
      <c r="BZ48" s="195">
        <f>ROUND(((B48/CE61)*BZ61),0)</f>
        <v>0</v>
      </c>
      <c r="CA48" s="195">
        <f>ROUND(((B48/CE61)*CA61),0)</f>
        <v>1</v>
      </c>
      <c r="CB48" s="195">
        <f>ROUND(((B48/CE61)*CB61),0)</f>
        <v>0</v>
      </c>
      <c r="CC48" s="195">
        <f>ROUND(((B48/CE61)*CC61),0)</f>
        <v>6</v>
      </c>
      <c r="CD48" s="195"/>
      <c r="CE48" s="195">
        <f>SUM(C48:CD48)</f>
        <v>2938</v>
      </c>
    </row>
    <row r="49" spans="1:84" ht="12.6" customHeight="1" x14ac:dyDescent="0.25">
      <c r="A49" s="175" t="s">
        <v>206</v>
      </c>
      <c r="B49" s="195">
        <f>B47+B48</f>
        <v>3740282.46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v>956037.76</v>
      </c>
      <c r="C51" s="184">
        <v>144</v>
      </c>
      <c r="D51" s="184"/>
      <c r="E51" s="184">
        <f>36460-539</f>
        <v>35921</v>
      </c>
      <c r="F51" s="184"/>
      <c r="G51" s="184"/>
      <c r="H51" s="184"/>
      <c r="I51" s="184"/>
      <c r="J51" s="184">
        <v>85</v>
      </c>
      <c r="K51" s="184"/>
      <c r="L51" s="184">
        <v>539</v>
      </c>
      <c r="M51" s="184"/>
      <c r="N51" s="184"/>
      <c r="O51" s="184">
        <v>45255</v>
      </c>
      <c r="P51" s="184">
        <v>186125</v>
      </c>
      <c r="Q51" s="184">
        <v>3048</v>
      </c>
      <c r="R51" s="184"/>
      <c r="S51" s="184">
        <v>5052</v>
      </c>
      <c r="T51" s="184"/>
      <c r="U51" s="184">
        <v>22490</v>
      </c>
      <c r="V51" s="184"/>
      <c r="W51" s="184"/>
      <c r="X51" s="184"/>
      <c r="Y51" s="184">
        <v>358282</v>
      </c>
      <c r="Z51" s="184"/>
      <c r="AA51" s="184"/>
      <c r="AB51" s="184"/>
      <c r="AC51" s="184">
        <v>11457</v>
      </c>
      <c r="AD51" s="184"/>
      <c r="AE51" s="184">
        <v>658</v>
      </c>
      <c r="AF51" s="184"/>
      <c r="AG51" s="184">
        <v>156314</v>
      </c>
      <c r="AH51" s="184"/>
      <c r="AI51" s="184"/>
      <c r="AJ51" s="184"/>
      <c r="AK51" s="184"/>
      <c r="AL51" s="184"/>
      <c r="AM51" s="184"/>
      <c r="AN51" s="184"/>
      <c r="AO51" s="184"/>
      <c r="AP51" s="184">
        <v>68167</v>
      </c>
      <c r="AQ51" s="184"/>
      <c r="AR51" s="184"/>
      <c r="AS51" s="184"/>
      <c r="AT51" s="184"/>
      <c r="AU51" s="184"/>
      <c r="AV51" s="184"/>
      <c r="AW51" s="184"/>
      <c r="AX51" s="184"/>
      <c r="AY51" s="184">
        <v>2708</v>
      </c>
      <c r="AZ51" s="184"/>
      <c r="BA51" s="184"/>
      <c r="BB51" s="184"/>
      <c r="BC51" s="184"/>
      <c r="BD51" s="184"/>
      <c r="BE51" s="184">
        <f>2006+21755</f>
        <v>23761</v>
      </c>
      <c r="BF51" s="184">
        <v>487</v>
      </c>
      <c r="BG51" s="184"/>
      <c r="BH51" s="184">
        <v>14466</v>
      </c>
      <c r="BI51" s="184"/>
      <c r="BJ51" s="184">
        <v>17300</v>
      </c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>
        <v>465</v>
      </c>
      <c r="BW51" s="184"/>
      <c r="BX51" s="184"/>
      <c r="BY51" s="184"/>
      <c r="BZ51" s="184"/>
      <c r="CA51" s="184">
        <v>3315</v>
      </c>
      <c r="CB51" s="184"/>
      <c r="CC51" s="184"/>
      <c r="CD51" s="195"/>
      <c r="CE51" s="195">
        <f>SUM(C51:CD51)</f>
        <v>956039</v>
      </c>
    </row>
    <row r="52" spans="1:84" ht="12.6" customHeight="1" x14ac:dyDescent="0.25">
      <c r="A52" s="171" t="s">
        <v>208</v>
      </c>
      <c r="B52" s="184">
        <v>189008.39</v>
      </c>
      <c r="C52" s="195">
        <f>ROUND((B52/(CE76+CF76)*C76),0)</f>
        <v>0</v>
      </c>
      <c r="D52" s="195">
        <f>ROUND((B52/(CE76+CF76)*D76),0)</f>
        <v>0</v>
      </c>
      <c r="E52" s="195">
        <f>ROUND((B52/(CE76+CF76)*E76),0)</f>
        <v>13408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325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3509</v>
      </c>
      <c r="P52" s="195">
        <f>ROUND((B52/(CE76+CF76)*P76),0)</f>
        <v>9753</v>
      </c>
      <c r="Q52" s="195">
        <f>ROUND((B52/(CE76+CF76)*Q76),0)</f>
        <v>4623</v>
      </c>
      <c r="R52" s="195">
        <f>ROUND((B52/(CE76+CF76)*R76),0)</f>
        <v>0</v>
      </c>
      <c r="S52" s="195">
        <f>ROUND((B52/(CE76+CF76)*S76),0)</f>
        <v>3726</v>
      </c>
      <c r="T52" s="195">
        <f>ROUND((B52/(CE76+CF76)*T76),0)</f>
        <v>0</v>
      </c>
      <c r="U52" s="195">
        <f>ROUND((B52/(CE76+CF76)*U76),0)</f>
        <v>2776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0</v>
      </c>
      <c r="Y52" s="195">
        <f>ROUND((B52/(CE76+CF76)*Y76),0)</f>
        <v>11494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1346</v>
      </c>
      <c r="AC52" s="195">
        <f>ROUND((B52/(CE76+CF76)*AC76),0)</f>
        <v>902</v>
      </c>
      <c r="AD52" s="195">
        <f>ROUND((B52/(CE76+CF76)*AD76),0)</f>
        <v>0</v>
      </c>
      <c r="AE52" s="195">
        <f>ROUND((B52/(CE76+CF76)*AE76),0)</f>
        <v>5338</v>
      </c>
      <c r="AF52" s="195">
        <f>ROUND((B52/(CE76+CF76)*AF76),0)</f>
        <v>0</v>
      </c>
      <c r="AG52" s="195">
        <f>ROUND((B52/(CE76+CF76)*AG76),0)</f>
        <v>8503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0</v>
      </c>
      <c r="AL52" s="195">
        <f>ROUND((B52/(CE76+CF76)*AL76),0)</f>
        <v>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35772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3440</v>
      </c>
      <c r="AZ52" s="195">
        <f>ROUND((B52/(CE76+CF76)*AZ76),0)</f>
        <v>1490</v>
      </c>
      <c r="BA52" s="195">
        <f>ROUND((B52/(CE76+CF76)*BA76),0)</f>
        <v>1158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785</v>
      </c>
      <c r="BE52" s="195">
        <f>ROUND((B52/(CE76+CF76)*BE76),0)</f>
        <v>60425</v>
      </c>
      <c r="BF52" s="195">
        <f>ROUND((B52/(CE76+CF76)*BF76),0)</f>
        <v>801</v>
      </c>
      <c r="BG52" s="195">
        <f>ROUND((B52/(CE76+CF76)*BG76),0)</f>
        <v>668</v>
      </c>
      <c r="BH52" s="195">
        <f>ROUND((B52/(CE76+CF76)*BH76),0)</f>
        <v>1492</v>
      </c>
      <c r="BI52" s="195">
        <f>ROUND((B52/(CE76+CF76)*BI76),0)</f>
        <v>0</v>
      </c>
      <c r="BJ52" s="195">
        <f>ROUND((B52/(CE76+CF76)*BJ76),0)</f>
        <v>1595</v>
      </c>
      <c r="BK52" s="195">
        <f>ROUND((B52/(CE76+CF76)*BK76),0)</f>
        <v>3825</v>
      </c>
      <c r="BL52" s="195">
        <f>ROUND((B52/(CE76+CF76)*BL76),0)</f>
        <v>577</v>
      </c>
      <c r="BM52" s="195">
        <f>ROUND((B52/(CE76+CF76)*BM76),0)</f>
        <v>0</v>
      </c>
      <c r="BN52" s="195">
        <f>ROUND((B52/(CE76+CF76)*BN76),0)</f>
        <v>1472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716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3452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716</v>
      </c>
      <c r="BZ52" s="195">
        <f>ROUND((B52/(CE76+CF76)*BZ76),0)</f>
        <v>0</v>
      </c>
      <c r="CA52" s="195">
        <f>ROUND((B52/(CE76+CF76)*CA76),0)</f>
        <v>4921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189008</v>
      </c>
    </row>
    <row r="53" spans="1:84" ht="12.6" customHeight="1" x14ac:dyDescent="0.25">
      <c r="A53" s="175" t="s">
        <v>206</v>
      </c>
      <c r="B53" s="195">
        <f>B51+B52</f>
        <v>1145046.1499999999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5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3" t="s">
        <v>220</v>
      </c>
      <c r="S58" s="246" t="s">
        <v>221</v>
      </c>
      <c r="T58" s="246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6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6" t="s">
        <v>221</v>
      </c>
      <c r="AW58" s="246" t="s">
        <v>221</v>
      </c>
      <c r="AX58" s="246" t="s">
        <v>221</v>
      </c>
      <c r="AY58" s="170" t="s">
        <v>231</v>
      </c>
      <c r="AZ58" s="170" t="s">
        <v>231</v>
      </c>
      <c r="BA58" s="246" t="s">
        <v>221</v>
      </c>
      <c r="BB58" s="246" t="s">
        <v>221</v>
      </c>
      <c r="BC58" s="246" t="s">
        <v>221</v>
      </c>
      <c r="BD58" s="246" t="s">
        <v>221</v>
      </c>
      <c r="BE58" s="170" t="s">
        <v>232</v>
      </c>
      <c r="BF58" s="246" t="s">
        <v>221</v>
      </c>
      <c r="BG58" s="246" t="s">
        <v>221</v>
      </c>
      <c r="BH58" s="246" t="s">
        <v>221</v>
      </c>
      <c r="BI58" s="246" t="s">
        <v>221</v>
      </c>
      <c r="BJ58" s="246" t="s">
        <v>221</v>
      </c>
      <c r="BK58" s="246" t="s">
        <v>221</v>
      </c>
      <c r="BL58" s="246" t="s">
        <v>221</v>
      </c>
      <c r="BM58" s="246" t="s">
        <v>221</v>
      </c>
      <c r="BN58" s="246" t="s">
        <v>221</v>
      </c>
      <c r="BO58" s="246" t="s">
        <v>221</v>
      </c>
      <c r="BP58" s="246" t="s">
        <v>221</v>
      </c>
      <c r="BQ58" s="246" t="s">
        <v>221</v>
      </c>
      <c r="BR58" s="246" t="s">
        <v>221</v>
      </c>
      <c r="BS58" s="246" t="s">
        <v>221</v>
      </c>
      <c r="BT58" s="246" t="s">
        <v>221</v>
      </c>
      <c r="BU58" s="246" t="s">
        <v>221</v>
      </c>
      <c r="BV58" s="246" t="s">
        <v>221</v>
      </c>
      <c r="BW58" s="246" t="s">
        <v>221</v>
      </c>
      <c r="BX58" s="246" t="s">
        <v>221</v>
      </c>
      <c r="BY58" s="246" t="s">
        <v>221</v>
      </c>
      <c r="BZ58" s="246" t="s">
        <v>221</v>
      </c>
      <c r="CA58" s="246" t="s">
        <v>221</v>
      </c>
      <c r="CB58" s="246" t="s">
        <v>221</v>
      </c>
      <c r="CC58" s="246" t="s">
        <v>221</v>
      </c>
      <c r="CD58" s="246" t="s">
        <v>221</v>
      </c>
      <c r="CE58" s="246" t="s">
        <v>221</v>
      </c>
    </row>
    <row r="59" spans="1:84" ht="12.6" customHeight="1" x14ac:dyDescent="0.25">
      <c r="A59" s="171" t="s">
        <v>233</v>
      </c>
      <c r="B59" s="175"/>
      <c r="C59" s="184">
        <v>0</v>
      </c>
      <c r="D59" s="184"/>
      <c r="E59" s="184">
        <v>2072</v>
      </c>
      <c r="F59" s="184"/>
      <c r="G59" s="184"/>
      <c r="H59" s="184"/>
      <c r="I59" s="184"/>
      <c r="J59" s="184">
        <v>373</v>
      </c>
      <c r="K59" s="184"/>
      <c r="L59" s="184">
        <v>41</v>
      </c>
      <c r="M59" s="184"/>
      <c r="N59" s="184"/>
      <c r="O59" s="184">
        <v>229</v>
      </c>
      <c r="P59" s="185">
        <v>122028</v>
      </c>
      <c r="Q59" s="185">
        <v>120673</v>
      </c>
      <c r="R59" s="185">
        <v>121959</v>
      </c>
      <c r="S59" s="247"/>
      <c r="T59" s="247"/>
      <c r="U59" s="224">
        <v>69668</v>
      </c>
      <c r="V59" s="185"/>
      <c r="W59" s="185"/>
      <c r="X59" s="185"/>
      <c r="Y59" s="185"/>
      <c r="Z59" s="185"/>
      <c r="AA59" s="185"/>
      <c r="AB59" s="247"/>
      <c r="AC59" s="185">
        <v>1577</v>
      </c>
      <c r="AD59" s="185"/>
      <c r="AE59" s="185">
        <v>10042</v>
      </c>
      <c r="AF59" s="185"/>
      <c r="AG59" s="185">
        <v>8923</v>
      </c>
      <c r="AH59" s="185"/>
      <c r="AI59" s="185"/>
      <c r="AJ59" s="185"/>
      <c r="AK59" s="185"/>
      <c r="AL59" s="185"/>
      <c r="AM59" s="185"/>
      <c r="AN59" s="185"/>
      <c r="AO59" s="185"/>
      <c r="AP59" s="185">
        <v>17195</v>
      </c>
      <c r="AQ59" s="185"/>
      <c r="AR59" s="185"/>
      <c r="AS59" s="185"/>
      <c r="AT59" s="185"/>
      <c r="AU59" s="185"/>
      <c r="AV59" s="247"/>
      <c r="AW59" s="247"/>
      <c r="AX59" s="247"/>
      <c r="AY59" s="185">
        <v>8797</v>
      </c>
      <c r="AZ59" s="185"/>
      <c r="BA59" s="247"/>
      <c r="BB59" s="247"/>
      <c r="BC59" s="247"/>
      <c r="BD59" s="247"/>
      <c r="BE59" s="185">
        <v>82579</v>
      </c>
      <c r="BF59" s="247"/>
      <c r="BG59" s="247"/>
      <c r="BH59" s="247"/>
      <c r="BI59" s="247"/>
      <c r="BJ59" s="247"/>
      <c r="BK59" s="247"/>
      <c r="BL59" s="247"/>
      <c r="BM59" s="247"/>
      <c r="BN59" s="247"/>
      <c r="BO59" s="247"/>
      <c r="BP59" s="247"/>
      <c r="BQ59" s="247"/>
      <c r="BR59" s="247"/>
      <c r="BS59" s="247"/>
      <c r="BT59" s="247"/>
      <c r="BU59" s="247"/>
      <c r="BV59" s="247"/>
      <c r="BW59" s="247"/>
      <c r="BX59" s="247"/>
      <c r="BY59" s="247"/>
      <c r="BZ59" s="247"/>
      <c r="CA59" s="247"/>
      <c r="CB59" s="247"/>
      <c r="CC59" s="247"/>
      <c r="CD59" s="248"/>
      <c r="CE59" s="195"/>
    </row>
    <row r="60" spans="1:84" ht="12.6" customHeight="1" x14ac:dyDescent="0.25">
      <c r="A60" s="249" t="s">
        <v>234</v>
      </c>
      <c r="B60" s="175"/>
      <c r="C60" s="186">
        <v>0.23</v>
      </c>
      <c r="D60" s="187"/>
      <c r="E60" s="187">
        <v>27.19</v>
      </c>
      <c r="F60" s="223"/>
      <c r="G60" s="187"/>
      <c r="H60" s="187"/>
      <c r="I60" s="187"/>
      <c r="J60" s="223"/>
      <c r="K60" s="187"/>
      <c r="L60" s="187"/>
      <c r="M60" s="187"/>
      <c r="N60" s="187"/>
      <c r="O60" s="187">
        <v>5.93</v>
      </c>
      <c r="P60" s="221">
        <v>9.84</v>
      </c>
      <c r="Q60" s="221">
        <v>4.42</v>
      </c>
      <c r="R60" s="221">
        <v>2.86</v>
      </c>
      <c r="S60" s="221">
        <v>1.94</v>
      </c>
      <c r="T60" s="221"/>
      <c r="U60" s="221">
        <v>7.31</v>
      </c>
      <c r="V60" s="221"/>
      <c r="W60" s="221"/>
      <c r="X60" s="221"/>
      <c r="Y60" s="221">
        <v>10.24</v>
      </c>
      <c r="Z60" s="221"/>
      <c r="AA60" s="221"/>
      <c r="AB60" s="221">
        <v>2.0299999999999998</v>
      </c>
      <c r="AC60" s="221">
        <v>2.97</v>
      </c>
      <c r="AD60" s="221"/>
      <c r="AE60" s="221">
        <v>5.45</v>
      </c>
      <c r="AF60" s="221"/>
      <c r="AG60" s="221">
        <v>22.9</v>
      </c>
      <c r="AH60" s="221"/>
      <c r="AI60" s="221"/>
      <c r="AJ60" s="221"/>
      <c r="AK60" s="221"/>
      <c r="AL60" s="221"/>
      <c r="AM60" s="221"/>
      <c r="AN60" s="221"/>
      <c r="AO60" s="221"/>
      <c r="AP60" s="221">
        <v>33.35</v>
      </c>
      <c r="AQ60" s="221"/>
      <c r="AR60" s="221"/>
      <c r="AS60" s="221"/>
      <c r="AT60" s="221"/>
      <c r="AU60" s="221"/>
      <c r="AV60" s="221"/>
      <c r="AW60" s="221"/>
      <c r="AX60" s="221"/>
      <c r="AY60" s="221">
        <v>5.86</v>
      </c>
      <c r="AZ60" s="221"/>
      <c r="BA60" s="221"/>
      <c r="BB60" s="221"/>
      <c r="BC60" s="221"/>
      <c r="BD60" s="221">
        <v>1.88</v>
      </c>
      <c r="BE60" s="221">
        <v>3.14</v>
      </c>
      <c r="BF60" s="221">
        <v>9.84</v>
      </c>
      <c r="BG60" s="221">
        <v>0.38</v>
      </c>
      <c r="BH60" s="221">
        <v>2.87</v>
      </c>
      <c r="BI60" s="221"/>
      <c r="BJ60" s="221">
        <v>4.09</v>
      </c>
      <c r="BK60" s="221">
        <v>10.09</v>
      </c>
      <c r="BL60" s="221">
        <v>4.58</v>
      </c>
      <c r="BM60" s="221"/>
      <c r="BN60" s="221">
        <v>1.66</v>
      </c>
      <c r="BO60" s="221">
        <v>0.28999999999999998</v>
      </c>
      <c r="BP60" s="221"/>
      <c r="BQ60" s="221"/>
      <c r="BR60" s="221">
        <v>2.02</v>
      </c>
      <c r="BS60" s="221"/>
      <c r="BT60" s="221"/>
      <c r="BU60" s="221"/>
      <c r="BV60" s="221">
        <v>7.81</v>
      </c>
      <c r="BW60" s="221"/>
      <c r="BX60" s="221">
        <v>1.1000000000000001</v>
      </c>
      <c r="BY60" s="221">
        <v>1.89</v>
      </c>
      <c r="BZ60" s="221"/>
      <c r="CA60" s="221">
        <f>0.05</f>
        <v>0.05</v>
      </c>
      <c r="CB60" s="221"/>
      <c r="CC60" s="221">
        <v>0.13</v>
      </c>
      <c r="CD60" s="248" t="s">
        <v>221</v>
      </c>
      <c r="CE60" s="250">
        <f t="shared" ref="CE60:CE70" si="0">SUM(C60:CD60)</f>
        <v>194.34</v>
      </c>
    </row>
    <row r="61" spans="1:84" ht="12.6" customHeight="1" x14ac:dyDescent="0.25">
      <c r="A61" s="171" t="s">
        <v>235</v>
      </c>
      <c r="B61" s="175"/>
      <c r="C61" s="184">
        <v>3889</v>
      </c>
      <c r="D61" s="184"/>
      <c r="E61" s="184">
        <f>1936846-28617</f>
        <v>1908229</v>
      </c>
      <c r="F61" s="185"/>
      <c r="G61" s="184"/>
      <c r="H61" s="184"/>
      <c r="I61" s="185"/>
      <c r="J61" s="185">
        <v>706</v>
      </c>
      <c r="K61" s="185"/>
      <c r="L61" s="185">
        <v>28617</v>
      </c>
      <c r="M61" s="184"/>
      <c r="N61" s="184"/>
      <c r="O61" s="184">
        <v>523161</v>
      </c>
      <c r="P61" s="185">
        <v>742712</v>
      </c>
      <c r="Q61" s="185">
        <v>411686</v>
      </c>
      <c r="R61" s="185">
        <v>623726</v>
      </c>
      <c r="S61" s="185">
        <v>60254</v>
      </c>
      <c r="T61" s="185"/>
      <c r="U61" s="185">
        <v>474308</v>
      </c>
      <c r="V61" s="185">
        <v>19364</v>
      </c>
      <c r="W61" s="185"/>
      <c r="X61" s="185"/>
      <c r="Y61" s="185">
        <v>748522</v>
      </c>
      <c r="Z61" s="185"/>
      <c r="AA61" s="185"/>
      <c r="AB61" s="185">
        <v>176511</v>
      </c>
      <c r="AC61" s="185">
        <v>215210</v>
      </c>
      <c r="AD61" s="185"/>
      <c r="AE61" s="185">
        <v>397078</v>
      </c>
      <c r="AF61" s="185"/>
      <c r="AG61" s="185">
        <v>2381843</v>
      </c>
      <c r="AH61" s="185"/>
      <c r="AI61" s="185"/>
      <c r="AJ61" s="185"/>
      <c r="AK61" s="185"/>
      <c r="AL61" s="185"/>
      <c r="AM61" s="185"/>
      <c r="AN61" s="185"/>
      <c r="AO61" s="185"/>
      <c r="AP61" s="185">
        <v>3532720</v>
      </c>
      <c r="AQ61" s="185"/>
      <c r="AR61" s="185"/>
      <c r="AS61" s="185"/>
      <c r="AT61" s="185"/>
      <c r="AU61" s="185"/>
      <c r="AV61" s="185"/>
      <c r="AW61" s="185"/>
      <c r="AX61" s="185"/>
      <c r="AY61" s="185">
        <v>211270</v>
      </c>
      <c r="AZ61" s="185"/>
      <c r="BA61" s="185"/>
      <c r="BB61" s="185"/>
      <c r="BC61" s="185"/>
      <c r="BD61" s="185">
        <v>89424</v>
      </c>
      <c r="BE61" s="185">
        <v>188690</v>
      </c>
      <c r="BF61" s="185">
        <v>298820</v>
      </c>
      <c r="BG61" s="185">
        <v>25118</v>
      </c>
      <c r="BH61" s="185">
        <v>207755</v>
      </c>
      <c r="BI61" s="185"/>
      <c r="BJ61" s="185">
        <v>354720</v>
      </c>
      <c r="BK61" s="185">
        <v>350142</v>
      </c>
      <c r="BL61" s="185">
        <v>154067</v>
      </c>
      <c r="BM61" s="185"/>
      <c r="BN61" s="185">
        <v>162434</v>
      </c>
      <c r="BO61" s="185">
        <v>37039</v>
      </c>
      <c r="BP61" s="185"/>
      <c r="BQ61" s="185"/>
      <c r="BR61" s="185">
        <v>158683</v>
      </c>
      <c r="BS61" s="185"/>
      <c r="BT61" s="185"/>
      <c r="BU61" s="185"/>
      <c r="BV61" s="185">
        <f>355863+1</f>
        <v>355864</v>
      </c>
      <c r="BW61" s="185"/>
      <c r="BX61" s="185">
        <v>74851</v>
      </c>
      <c r="BY61" s="185">
        <v>192761</v>
      </c>
      <c r="BZ61" s="185"/>
      <c r="CA61" s="185">
        <v>3947</v>
      </c>
      <c r="CB61" s="185"/>
      <c r="CC61" s="185">
        <v>30780</v>
      </c>
      <c r="CD61" s="248" t="s">
        <v>221</v>
      </c>
      <c r="CE61" s="195">
        <f t="shared" si="0"/>
        <v>15144901</v>
      </c>
      <c r="CF61" s="251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15387</v>
      </c>
      <c r="D62" s="195">
        <f t="shared" si="1"/>
        <v>0</v>
      </c>
      <c r="E62" s="195">
        <f t="shared" si="1"/>
        <v>498464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7476</v>
      </c>
      <c r="M62" s="195">
        <f t="shared" si="1"/>
        <v>0</v>
      </c>
      <c r="N62" s="195">
        <f t="shared" si="1"/>
        <v>0</v>
      </c>
      <c r="O62" s="195">
        <f t="shared" si="1"/>
        <v>150969</v>
      </c>
      <c r="P62" s="195">
        <f t="shared" si="1"/>
        <v>206304</v>
      </c>
      <c r="Q62" s="195">
        <f t="shared" si="1"/>
        <v>100003</v>
      </c>
      <c r="R62" s="195">
        <f t="shared" si="1"/>
        <v>83175</v>
      </c>
      <c r="S62" s="195">
        <f t="shared" si="1"/>
        <v>27460</v>
      </c>
      <c r="T62" s="195">
        <f t="shared" si="1"/>
        <v>0</v>
      </c>
      <c r="U62" s="195">
        <f t="shared" si="1"/>
        <v>117456</v>
      </c>
      <c r="V62" s="195">
        <f t="shared" si="1"/>
        <v>4</v>
      </c>
      <c r="W62" s="195">
        <f t="shared" si="1"/>
        <v>0</v>
      </c>
      <c r="X62" s="195">
        <f t="shared" si="1"/>
        <v>0</v>
      </c>
      <c r="Y62" s="195">
        <f t="shared" si="1"/>
        <v>195708</v>
      </c>
      <c r="Z62" s="195">
        <f t="shared" si="1"/>
        <v>0</v>
      </c>
      <c r="AA62" s="195">
        <f t="shared" si="1"/>
        <v>0</v>
      </c>
      <c r="AB62" s="195">
        <f t="shared" si="1"/>
        <v>41897</v>
      </c>
      <c r="AC62" s="195">
        <f t="shared" si="1"/>
        <v>55933</v>
      </c>
      <c r="AD62" s="195">
        <f t="shared" si="1"/>
        <v>0</v>
      </c>
      <c r="AE62" s="195">
        <f t="shared" si="1"/>
        <v>111871</v>
      </c>
      <c r="AF62" s="195">
        <f t="shared" si="1"/>
        <v>0</v>
      </c>
      <c r="AG62" s="195">
        <f t="shared" si="1"/>
        <v>409510</v>
      </c>
      <c r="AH62" s="195">
        <f t="shared" si="1"/>
        <v>0</v>
      </c>
      <c r="AI62" s="195">
        <f t="shared" si="1"/>
        <v>0</v>
      </c>
      <c r="AJ62" s="195">
        <f t="shared" si="1"/>
        <v>0</v>
      </c>
      <c r="AK62" s="195">
        <f t="shared" si="1"/>
        <v>0</v>
      </c>
      <c r="AL62" s="195">
        <f t="shared" si="1"/>
        <v>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701022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0</v>
      </c>
      <c r="AX62" s="195">
        <f t="shared" si="1"/>
        <v>0</v>
      </c>
      <c r="AY62" s="195">
        <f>ROUND(AY47+AY48,0)</f>
        <v>87947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32162</v>
      </c>
      <c r="BE62" s="195">
        <f t="shared" si="1"/>
        <v>53685</v>
      </c>
      <c r="BF62" s="195">
        <f t="shared" si="1"/>
        <v>124990</v>
      </c>
      <c r="BG62" s="195">
        <f t="shared" si="1"/>
        <v>14884</v>
      </c>
      <c r="BH62" s="195">
        <f t="shared" si="1"/>
        <v>57697</v>
      </c>
      <c r="BI62" s="195">
        <f t="shared" si="1"/>
        <v>0</v>
      </c>
      <c r="BJ62" s="195">
        <f t="shared" si="1"/>
        <v>83734</v>
      </c>
      <c r="BK62" s="195">
        <f t="shared" si="1"/>
        <v>147885</v>
      </c>
      <c r="BL62" s="195">
        <f t="shared" si="1"/>
        <v>123503</v>
      </c>
      <c r="BM62" s="195">
        <f t="shared" si="1"/>
        <v>0</v>
      </c>
      <c r="BN62" s="195">
        <f t="shared" si="1"/>
        <v>46191</v>
      </c>
      <c r="BO62" s="195">
        <f t="shared" ref="BO62:CC62" si="2">ROUND(BO47+BO48,0)</f>
        <v>7</v>
      </c>
      <c r="BP62" s="195">
        <f t="shared" si="2"/>
        <v>0</v>
      </c>
      <c r="BQ62" s="195">
        <f t="shared" si="2"/>
        <v>0</v>
      </c>
      <c r="BR62" s="195">
        <f t="shared" si="2"/>
        <v>40486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118905</v>
      </c>
      <c r="BW62" s="195">
        <f t="shared" si="2"/>
        <v>0</v>
      </c>
      <c r="BX62" s="195">
        <f t="shared" si="2"/>
        <v>19914</v>
      </c>
      <c r="BY62" s="195">
        <f t="shared" si="2"/>
        <v>63070</v>
      </c>
      <c r="BZ62" s="195">
        <f t="shared" si="2"/>
        <v>0</v>
      </c>
      <c r="CA62" s="195">
        <f t="shared" si="2"/>
        <v>23</v>
      </c>
      <c r="CB62" s="195">
        <f t="shared" si="2"/>
        <v>0</v>
      </c>
      <c r="CC62" s="195">
        <f t="shared" si="2"/>
        <v>2562</v>
      </c>
      <c r="CD62" s="248" t="s">
        <v>221</v>
      </c>
      <c r="CE62" s="195">
        <f t="shared" si="0"/>
        <v>3740284</v>
      </c>
      <c r="CF62" s="251"/>
    </row>
    <row r="63" spans="1:84" ht="12.6" customHeight="1" x14ac:dyDescent="0.25">
      <c r="A63" s="171" t="s">
        <v>236</v>
      </c>
      <c r="B63" s="175"/>
      <c r="C63" s="184"/>
      <c r="D63" s="184"/>
      <c r="E63" s="184">
        <f>593289-8766</f>
        <v>584523</v>
      </c>
      <c r="F63" s="185"/>
      <c r="G63" s="184"/>
      <c r="H63" s="184"/>
      <c r="I63" s="185"/>
      <c r="J63" s="185"/>
      <c r="K63" s="185"/>
      <c r="L63" s="185">
        <v>8766</v>
      </c>
      <c r="M63" s="184"/>
      <c r="N63" s="184"/>
      <c r="O63" s="184">
        <v>332169</v>
      </c>
      <c r="P63" s="185">
        <v>19846</v>
      </c>
      <c r="Q63" s="185"/>
      <c r="R63" s="185">
        <v>72074</v>
      </c>
      <c r="S63" s="185"/>
      <c r="T63" s="185"/>
      <c r="U63" s="185">
        <v>100963</v>
      </c>
      <c r="V63" s="185"/>
      <c r="W63" s="185"/>
      <c r="X63" s="185"/>
      <c r="Y63" s="185">
        <v>864296</v>
      </c>
      <c r="Z63" s="185"/>
      <c r="AA63" s="185"/>
      <c r="AB63" s="185">
        <v>86641</v>
      </c>
      <c r="AC63" s="185"/>
      <c r="AD63" s="185"/>
      <c r="AE63" s="185">
        <v>1247</v>
      </c>
      <c r="AF63" s="185"/>
      <c r="AG63" s="185">
        <v>666287</v>
      </c>
      <c r="AH63" s="185"/>
      <c r="AI63" s="185"/>
      <c r="AJ63" s="185"/>
      <c r="AK63" s="185"/>
      <c r="AL63" s="185"/>
      <c r="AM63" s="185"/>
      <c r="AN63" s="185"/>
      <c r="AO63" s="185"/>
      <c r="AP63" s="185">
        <v>412477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51304</v>
      </c>
      <c r="BK63" s="185">
        <v>25855</v>
      </c>
      <c r="BL63" s="185"/>
      <c r="BM63" s="185"/>
      <c r="BN63" s="185">
        <v>190713</v>
      </c>
      <c r="BO63" s="185"/>
      <c r="BP63" s="185"/>
      <c r="BQ63" s="185"/>
      <c r="BR63" s="185">
        <v>13492</v>
      </c>
      <c r="BS63" s="185"/>
      <c r="BT63" s="185"/>
      <c r="BU63" s="185"/>
      <c r="BV63" s="185"/>
      <c r="BW63" s="185"/>
      <c r="BX63" s="185"/>
      <c r="BY63" s="185"/>
      <c r="BZ63" s="185"/>
      <c r="CA63" s="185">
        <v>3000</v>
      </c>
      <c r="CB63" s="185"/>
      <c r="CC63" s="185"/>
      <c r="CD63" s="248" t="s">
        <v>221</v>
      </c>
      <c r="CE63" s="195">
        <f t="shared" si="0"/>
        <v>3433653</v>
      </c>
      <c r="CF63" s="251"/>
    </row>
    <row r="64" spans="1:84" ht="12.6" customHeight="1" x14ac:dyDescent="0.25">
      <c r="A64" s="171" t="s">
        <v>237</v>
      </c>
      <c r="B64" s="175"/>
      <c r="C64" s="184">
        <v>49</v>
      </c>
      <c r="D64" s="184"/>
      <c r="E64" s="185">
        <f>74740-1104</f>
        <v>73636</v>
      </c>
      <c r="F64" s="185"/>
      <c r="G64" s="184"/>
      <c r="H64" s="184"/>
      <c r="I64" s="185"/>
      <c r="J64" s="185"/>
      <c r="K64" s="185"/>
      <c r="L64" s="185">
        <v>1104</v>
      </c>
      <c r="M64" s="184"/>
      <c r="N64" s="184"/>
      <c r="O64" s="184">
        <v>30011</v>
      </c>
      <c r="P64" s="185">
        <v>128124</v>
      </c>
      <c r="Q64" s="185">
        <v>11394</v>
      </c>
      <c r="R64" s="185">
        <v>6907</v>
      </c>
      <c r="S64" s="185">
        <v>1942249</v>
      </c>
      <c r="T64" s="185"/>
      <c r="U64" s="185">
        <f>299453+93166</f>
        <v>392619</v>
      </c>
      <c r="V64" s="185"/>
      <c r="W64" s="185"/>
      <c r="X64" s="185"/>
      <c r="Y64" s="185">
        <v>314428</v>
      </c>
      <c r="Z64" s="185"/>
      <c r="AA64" s="185"/>
      <c r="AB64" s="185">
        <v>398288</v>
      </c>
      <c r="AC64" s="185">
        <v>20205</v>
      </c>
      <c r="AD64" s="185"/>
      <c r="AE64" s="185">
        <v>8947</v>
      </c>
      <c r="AF64" s="185"/>
      <c r="AG64" s="185">
        <v>82146</v>
      </c>
      <c r="AH64" s="185"/>
      <c r="AI64" s="185"/>
      <c r="AJ64" s="185"/>
      <c r="AK64" s="185"/>
      <c r="AL64" s="185"/>
      <c r="AM64" s="185"/>
      <c r="AN64" s="185"/>
      <c r="AO64" s="185"/>
      <c r="AP64" s="185">
        <v>149066</v>
      </c>
      <c r="AQ64" s="185"/>
      <c r="AR64" s="185"/>
      <c r="AS64" s="185"/>
      <c r="AT64" s="185"/>
      <c r="AU64" s="185"/>
      <c r="AV64" s="185"/>
      <c r="AW64" s="185"/>
      <c r="AX64" s="185"/>
      <c r="AY64" s="185">
        <v>112510</v>
      </c>
      <c r="AZ64" s="185"/>
      <c r="BA64" s="185"/>
      <c r="BB64" s="185"/>
      <c r="BC64" s="185"/>
      <c r="BD64" s="185">
        <v>408</v>
      </c>
      <c r="BE64" s="185">
        <f>32576+979</f>
        <v>33555</v>
      </c>
      <c r="BF64" s="185">
        <v>31111</v>
      </c>
      <c r="BG64" s="185">
        <v>324</v>
      </c>
      <c r="BH64" s="185">
        <v>21028</v>
      </c>
      <c r="BI64" s="185"/>
      <c r="BJ64" s="185">
        <v>28974</v>
      </c>
      <c r="BK64" s="185">
        <v>52941</v>
      </c>
      <c r="BL64" s="185">
        <v>9307</v>
      </c>
      <c r="BM64" s="185"/>
      <c r="BN64" s="185">
        <v>1972</v>
      </c>
      <c r="BO64" s="185"/>
      <c r="BP64" s="185"/>
      <c r="BQ64" s="185"/>
      <c r="BR64" s="185">
        <v>354</v>
      </c>
      <c r="BS64" s="185"/>
      <c r="BT64" s="185"/>
      <c r="BU64" s="185"/>
      <c r="BV64" s="185">
        <v>1848</v>
      </c>
      <c r="BW64" s="185"/>
      <c r="BX64" s="185"/>
      <c r="BY64" s="185">
        <v>652</v>
      </c>
      <c r="BZ64" s="185"/>
      <c r="CA64" s="185">
        <v>11992</v>
      </c>
      <c r="CB64" s="185"/>
      <c r="CC64" s="185"/>
      <c r="CD64" s="248" t="s">
        <v>221</v>
      </c>
      <c r="CE64" s="195">
        <f t="shared" si="0"/>
        <v>3866149</v>
      </c>
      <c r="CF64" s="251"/>
    </row>
    <row r="65" spans="1:84" ht="12.6" customHeight="1" x14ac:dyDescent="0.25">
      <c r="A65" s="171" t="s">
        <v>238</v>
      </c>
      <c r="B65" s="175"/>
      <c r="C65" s="184"/>
      <c r="D65" s="184"/>
      <c r="E65" s="184"/>
      <c r="F65" s="184"/>
      <c r="G65" s="184"/>
      <c r="H65" s="184"/>
      <c r="I65" s="185"/>
      <c r="J65" s="184"/>
      <c r="K65" s="185"/>
      <c r="L65" s="185"/>
      <c r="M65" s="184"/>
      <c r="N65" s="184"/>
      <c r="O65" s="266"/>
      <c r="P65" s="266"/>
      <c r="Q65" s="266"/>
      <c r="R65" s="266"/>
      <c r="S65" s="266"/>
      <c r="T65" s="266"/>
      <c r="U65" s="266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>
        <v>43005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>
        <f>272991+44507</f>
        <v>317498</v>
      </c>
      <c r="BF65" s="185"/>
      <c r="BG65" s="185">
        <v>61297</v>
      </c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248" t="s">
        <v>221</v>
      </c>
      <c r="CE65" s="195">
        <f t="shared" si="0"/>
        <v>421800</v>
      </c>
      <c r="CF65" s="251"/>
    </row>
    <row r="66" spans="1:84" ht="12.6" customHeight="1" x14ac:dyDescent="0.25">
      <c r="A66" s="171" t="s">
        <v>239</v>
      </c>
      <c r="B66" s="175"/>
      <c r="C66" s="184">
        <v>217</v>
      </c>
      <c r="D66" s="184"/>
      <c r="E66" s="184">
        <f>201821-2982</f>
        <v>198839</v>
      </c>
      <c r="F66" s="184"/>
      <c r="G66" s="184"/>
      <c r="H66" s="184"/>
      <c r="I66" s="184"/>
      <c r="J66" s="184"/>
      <c r="K66" s="185"/>
      <c r="L66" s="185">
        <v>2982</v>
      </c>
      <c r="M66" s="184"/>
      <c r="N66" s="184"/>
      <c r="O66" s="184">
        <v>52063</v>
      </c>
      <c r="P66" s="185">
        <v>103220</v>
      </c>
      <c r="Q66" s="185">
        <v>216</v>
      </c>
      <c r="R66" s="185">
        <v>5218</v>
      </c>
      <c r="S66" s="185">
        <v>14870</v>
      </c>
      <c r="T66" s="185"/>
      <c r="U66" s="185">
        <v>151325</v>
      </c>
      <c r="V66" s="185"/>
      <c r="W66" s="185"/>
      <c r="X66" s="185"/>
      <c r="Y66" s="185">
        <v>371265</v>
      </c>
      <c r="Z66" s="185"/>
      <c r="AA66" s="185"/>
      <c r="AB66" s="185">
        <v>24680</v>
      </c>
      <c r="AC66" s="185">
        <v>7533</v>
      </c>
      <c r="AD66" s="185"/>
      <c r="AE66" s="185">
        <v>23671</v>
      </c>
      <c r="AF66" s="185"/>
      <c r="AG66" s="185">
        <v>75539</v>
      </c>
      <c r="AH66" s="185"/>
      <c r="AI66" s="185"/>
      <c r="AJ66" s="185"/>
      <c r="AK66" s="185"/>
      <c r="AL66" s="185"/>
      <c r="AM66" s="185"/>
      <c r="AN66" s="185"/>
      <c r="AO66" s="185"/>
      <c r="AP66" s="185">
        <v>194706</v>
      </c>
      <c r="AQ66" s="185"/>
      <c r="AR66" s="185"/>
      <c r="AS66" s="185"/>
      <c r="AT66" s="185"/>
      <c r="AU66" s="185"/>
      <c r="AV66" s="185"/>
      <c r="AW66" s="185"/>
      <c r="AX66" s="185"/>
      <c r="AY66" s="185">
        <v>5299</v>
      </c>
      <c r="AZ66" s="185"/>
      <c r="BA66" s="185">
        <v>118082</v>
      </c>
      <c r="BB66" s="185"/>
      <c r="BC66" s="185"/>
      <c r="BD66" s="185">
        <v>4746</v>
      </c>
      <c r="BE66" s="185">
        <f>169+76386</f>
        <v>76555</v>
      </c>
      <c r="BF66" s="185">
        <v>3671</v>
      </c>
      <c r="BG66" s="185">
        <v>14944</v>
      </c>
      <c r="BH66" s="185">
        <v>176989</v>
      </c>
      <c r="BI66" s="185"/>
      <c r="BJ66" s="185">
        <v>45093</v>
      </c>
      <c r="BK66" s="185">
        <v>91563</v>
      </c>
      <c r="BL66" s="185">
        <v>6801</v>
      </c>
      <c r="BM66" s="185"/>
      <c r="BN66" s="185">
        <v>57323</v>
      </c>
      <c r="BO66" s="185"/>
      <c r="BP66" s="185"/>
      <c r="BQ66" s="185"/>
      <c r="BR66" s="185">
        <v>8282</v>
      </c>
      <c r="BS66" s="185"/>
      <c r="BT66" s="185"/>
      <c r="BU66" s="185"/>
      <c r="BV66" s="185">
        <v>125344</v>
      </c>
      <c r="BW66" s="185"/>
      <c r="BX66" s="185"/>
      <c r="BY66" s="185"/>
      <c r="BZ66" s="185"/>
      <c r="CA66" s="185">
        <v>26832</v>
      </c>
      <c r="CB66" s="185"/>
      <c r="CC66" s="185"/>
      <c r="CD66" s="248" t="s">
        <v>221</v>
      </c>
      <c r="CE66" s="195">
        <f t="shared" si="0"/>
        <v>1987868</v>
      </c>
      <c r="CF66" s="251"/>
    </row>
    <row r="67" spans="1:84" ht="12.6" customHeight="1" x14ac:dyDescent="0.25">
      <c r="A67" s="171" t="s">
        <v>6</v>
      </c>
      <c r="B67" s="175"/>
      <c r="C67" s="195">
        <f>ROUND(C51+C52,0)</f>
        <v>144</v>
      </c>
      <c r="D67" s="195">
        <f>ROUND(D51+D52,0)</f>
        <v>0</v>
      </c>
      <c r="E67" s="195">
        <f t="shared" ref="E67:BP67" si="3">ROUND(E51+E52,0)</f>
        <v>49329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410</v>
      </c>
      <c r="K67" s="195">
        <f t="shared" si="3"/>
        <v>0</v>
      </c>
      <c r="L67" s="195">
        <f t="shared" si="3"/>
        <v>539</v>
      </c>
      <c r="M67" s="195">
        <f t="shared" si="3"/>
        <v>0</v>
      </c>
      <c r="N67" s="195">
        <f t="shared" si="3"/>
        <v>0</v>
      </c>
      <c r="O67" s="195">
        <f t="shared" si="3"/>
        <v>48764</v>
      </c>
      <c r="P67" s="195">
        <f t="shared" si="3"/>
        <v>195878</v>
      </c>
      <c r="Q67" s="195">
        <f t="shared" si="3"/>
        <v>7671</v>
      </c>
      <c r="R67" s="195">
        <f t="shared" si="3"/>
        <v>0</v>
      </c>
      <c r="S67" s="195">
        <f t="shared" si="3"/>
        <v>8778</v>
      </c>
      <c r="T67" s="195">
        <f t="shared" si="3"/>
        <v>0</v>
      </c>
      <c r="U67" s="195">
        <f t="shared" si="3"/>
        <v>25266</v>
      </c>
      <c r="V67" s="195">
        <f t="shared" si="3"/>
        <v>0</v>
      </c>
      <c r="W67" s="195">
        <f t="shared" si="3"/>
        <v>0</v>
      </c>
      <c r="X67" s="195">
        <f t="shared" si="3"/>
        <v>0</v>
      </c>
      <c r="Y67" s="195">
        <f t="shared" si="3"/>
        <v>369776</v>
      </c>
      <c r="Z67" s="195">
        <f t="shared" si="3"/>
        <v>0</v>
      </c>
      <c r="AA67" s="195">
        <f t="shared" si="3"/>
        <v>0</v>
      </c>
      <c r="AB67" s="195">
        <f t="shared" si="3"/>
        <v>1346</v>
      </c>
      <c r="AC67" s="195">
        <f t="shared" si="3"/>
        <v>12359</v>
      </c>
      <c r="AD67" s="195">
        <f t="shared" si="3"/>
        <v>0</v>
      </c>
      <c r="AE67" s="195">
        <f t="shared" si="3"/>
        <v>5996</v>
      </c>
      <c r="AF67" s="195">
        <f t="shared" si="3"/>
        <v>0</v>
      </c>
      <c r="AG67" s="195">
        <f t="shared" si="3"/>
        <v>164817</v>
      </c>
      <c r="AH67" s="195">
        <f t="shared" si="3"/>
        <v>0</v>
      </c>
      <c r="AI67" s="195">
        <f t="shared" si="3"/>
        <v>0</v>
      </c>
      <c r="AJ67" s="195">
        <f t="shared" si="3"/>
        <v>0</v>
      </c>
      <c r="AK67" s="195">
        <f t="shared" si="3"/>
        <v>0</v>
      </c>
      <c r="AL67" s="195">
        <f t="shared" si="3"/>
        <v>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103939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0</v>
      </c>
      <c r="AX67" s="195">
        <f t="shared" si="3"/>
        <v>0</v>
      </c>
      <c r="AY67" s="195">
        <f t="shared" si="3"/>
        <v>6148</v>
      </c>
      <c r="AZ67" s="195">
        <f>ROUND(AZ51+AZ52,0)</f>
        <v>1490</v>
      </c>
      <c r="BA67" s="195">
        <f>ROUND(BA51+BA52,0)</f>
        <v>1158</v>
      </c>
      <c r="BB67" s="195">
        <f t="shared" si="3"/>
        <v>0</v>
      </c>
      <c r="BC67" s="195">
        <f t="shared" si="3"/>
        <v>0</v>
      </c>
      <c r="BD67" s="195">
        <f t="shared" si="3"/>
        <v>785</v>
      </c>
      <c r="BE67" s="195">
        <f t="shared" si="3"/>
        <v>84186</v>
      </c>
      <c r="BF67" s="195">
        <f t="shared" si="3"/>
        <v>1288</v>
      </c>
      <c r="BG67" s="195">
        <f t="shared" si="3"/>
        <v>668</v>
      </c>
      <c r="BH67" s="195">
        <f t="shared" si="3"/>
        <v>15958</v>
      </c>
      <c r="BI67" s="195">
        <f t="shared" si="3"/>
        <v>0</v>
      </c>
      <c r="BJ67" s="195">
        <f t="shared" si="3"/>
        <v>18895</v>
      </c>
      <c r="BK67" s="195">
        <f t="shared" si="3"/>
        <v>3825</v>
      </c>
      <c r="BL67" s="195">
        <f t="shared" si="3"/>
        <v>577</v>
      </c>
      <c r="BM67" s="195">
        <f t="shared" si="3"/>
        <v>0</v>
      </c>
      <c r="BN67" s="195">
        <f t="shared" si="3"/>
        <v>1472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716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3917</v>
      </c>
      <c r="BW67" s="195">
        <f t="shared" si="4"/>
        <v>0</v>
      </c>
      <c r="BX67" s="195">
        <f t="shared" si="4"/>
        <v>0</v>
      </c>
      <c r="BY67" s="195">
        <f t="shared" si="4"/>
        <v>716</v>
      </c>
      <c r="BZ67" s="195">
        <f t="shared" si="4"/>
        <v>0</v>
      </c>
      <c r="CA67" s="195">
        <f t="shared" si="4"/>
        <v>8236</v>
      </c>
      <c r="CB67" s="195">
        <f t="shared" si="4"/>
        <v>0</v>
      </c>
      <c r="CC67" s="195">
        <f t="shared" si="4"/>
        <v>0</v>
      </c>
      <c r="CD67" s="248" t="s">
        <v>221</v>
      </c>
      <c r="CE67" s="195">
        <f t="shared" si="0"/>
        <v>1145047</v>
      </c>
      <c r="CF67" s="251"/>
    </row>
    <row r="68" spans="1:84" ht="12.6" customHeight="1" x14ac:dyDescent="0.25">
      <c r="A68" s="171" t="s">
        <v>240</v>
      </c>
      <c r="B68" s="175"/>
      <c r="C68" s="184">
        <v>1907</v>
      </c>
      <c r="D68" s="184"/>
      <c r="E68" s="184">
        <f>41937-620</f>
        <v>41317</v>
      </c>
      <c r="F68" s="184"/>
      <c r="G68" s="184"/>
      <c r="H68" s="184"/>
      <c r="I68" s="184"/>
      <c r="J68" s="184"/>
      <c r="K68" s="185"/>
      <c r="L68" s="185">
        <v>620</v>
      </c>
      <c r="M68" s="184"/>
      <c r="N68" s="184"/>
      <c r="O68" s="184">
        <v>7916</v>
      </c>
      <c r="P68" s="185">
        <v>4877</v>
      </c>
      <c r="Q68" s="185">
        <v>28974</v>
      </c>
      <c r="R68" s="185">
        <v>12259</v>
      </c>
      <c r="S68" s="185"/>
      <c r="T68" s="185"/>
      <c r="U68" s="185">
        <v>55325</v>
      </c>
      <c r="V68" s="185"/>
      <c r="W68" s="185"/>
      <c r="X68" s="185"/>
      <c r="Y68" s="185">
        <v>80053</v>
      </c>
      <c r="Z68" s="185"/>
      <c r="AA68" s="185"/>
      <c r="AB68" s="185">
        <v>5020</v>
      </c>
      <c r="AC68" s="185">
        <v>21439</v>
      </c>
      <c r="AD68" s="185"/>
      <c r="AE68" s="185">
        <v>1322</v>
      </c>
      <c r="AF68" s="185"/>
      <c r="AG68" s="185">
        <v>11222</v>
      </c>
      <c r="AH68" s="185"/>
      <c r="AI68" s="185"/>
      <c r="AJ68" s="185"/>
      <c r="AK68" s="185"/>
      <c r="AL68" s="185"/>
      <c r="AM68" s="185"/>
      <c r="AN68" s="185"/>
      <c r="AO68" s="185"/>
      <c r="AP68" s="185">
        <v>13872</v>
      </c>
      <c r="AQ68" s="185"/>
      <c r="AR68" s="185"/>
      <c r="AS68" s="185"/>
      <c r="AT68" s="185"/>
      <c r="AU68" s="185"/>
      <c r="AV68" s="185"/>
      <c r="AW68" s="185"/>
      <c r="AX68" s="185"/>
      <c r="AY68" s="185">
        <v>23155</v>
      </c>
      <c r="AZ68" s="185"/>
      <c r="BA68" s="185"/>
      <c r="BB68" s="185"/>
      <c r="BC68" s="185"/>
      <c r="BD68" s="185"/>
      <c r="BE68" s="185">
        <v>35</v>
      </c>
      <c r="BF68" s="185"/>
      <c r="BG68" s="185">
        <v>2665</v>
      </c>
      <c r="BH68" s="185">
        <v>27000</v>
      </c>
      <c r="BI68" s="185"/>
      <c r="BJ68" s="185">
        <v>10172</v>
      </c>
      <c r="BK68" s="185">
        <v>11473</v>
      </c>
      <c r="BL68" s="185">
        <v>1485</v>
      </c>
      <c r="BM68" s="185"/>
      <c r="BN68" s="185">
        <v>7533</v>
      </c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>
        <v>100</v>
      </c>
      <c r="CB68" s="185"/>
      <c r="CC68" s="185"/>
      <c r="CD68" s="248" t="s">
        <v>221</v>
      </c>
      <c r="CE68" s="195">
        <f t="shared" si="0"/>
        <v>369741</v>
      </c>
      <c r="CF68" s="251"/>
    </row>
    <row r="69" spans="1:84" ht="12.6" customHeight="1" x14ac:dyDescent="0.25">
      <c r="A69" s="171" t="s">
        <v>241</v>
      </c>
      <c r="B69" s="175"/>
      <c r="C69" s="184"/>
      <c r="D69" s="184"/>
      <c r="E69" s="184">
        <f>507+3360.02-57</f>
        <v>3810.02</v>
      </c>
      <c r="F69" s="185"/>
      <c r="G69" s="184"/>
      <c r="H69" s="184"/>
      <c r="I69" s="185"/>
      <c r="J69" s="185"/>
      <c r="K69" s="185"/>
      <c r="L69" s="185">
        <v>57</v>
      </c>
      <c r="M69" s="184"/>
      <c r="N69" s="184"/>
      <c r="O69" s="184">
        <f>1082.44+4691.95</f>
        <v>5774.3899999999994</v>
      </c>
      <c r="P69" s="185">
        <v>59.66</v>
      </c>
      <c r="Q69" s="185">
        <v>100</v>
      </c>
      <c r="R69" s="224">
        <v>1976</v>
      </c>
      <c r="S69" s="185"/>
      <c r="T69" s="184"/>
      <c r="U69" s="185">
        <v>528.69000000000005</v>
      </c>
      <c r="V69" s="185"/>
      <c r="W69" s="184"/>
      <c r="X69" s="185"/>
      <c r="Y69" s="185">
        <f>88.3+573.5</f>
        <v>661.8</v>
      </c>
      <c r="Z69" s="185"/>
      <c r="AA69" s="185"/>
      <c r="AB69" s="185">
        <v>5753.08</v>
      </c>
      <c r="AC69" s="185">
        <v>1681.28</v>
      </c>
      <c r="AD69" s="185"/>
      <c r="AE69" s="185">
        <f>81.29+4156.91</f>
        <v>4238.2</v>
      </c>
      <c r="AF69" s="185"/>
      <c r="AG69" s="185">
        <f>2313.05+6538.73</f>
        <v>8851.7799999999988</v>
      </c>
      <c r="AH69" s="185"/>
      <c r="AI69" s="185"/>
      <c r="AJ69" s="185"/>
      <c r="AK69" s="185"/>
      <c r="AL69" s="185"/>
      <c r="AM69" s="185"/>
      <c r="AN69" s="185"/>
      <c r="AO69" s="184"/>
      <c r="AP69" s="185">
        <f>10718.69+14855.46+4.51+87498.31</f>
        <v>113076.97</v>
      </c>
      <c r="AQ69" s="184"/>
      <c r="AR69" s="184"/>
      <c r="AS69" s="184"/>
      <c r="AT69" s="184"/>
      <c r="AU69" s="185"/>
      <c r="AV69" s="185"/>
      <c r="AW69" s="185"/>
      <c r="AX69" s="185"/>
      <c r="AY69" s="185">
        <v>159.15</v>
      </c>
      <c r="AZ69" s="185"/>
      <c r="BA69" s="185"/>
      <c r="BB69" s="185"/>
      <c r="BC69" s="185"/>
      <c r="BD69" s="185">
        <v>409.42</v>
      </c>
      <c r="BE69" s="185">
        <v>958.77</v>
      </c>
      <c r="BF69" s="185">
        <v>4.9000000000000004</v>
      </c>
      <c r="BG69" s="185"/>
      <c r="BH69" s="224">
        <v>645.49</v>
      </c>
      <c r="BI69" s="185"/>
      <c r="BJ69" s="185">
        <v>7396.07</v>
      </c>
      <c r="BK69" s="185">
        <f>2598.13-3.68</f>
        <v>2594.4500000000003</v>
      </c>
      <c r="BL69" s="185"/>
      <c r="BM69" s="185"/>
      <c r="BN69" s="185">
        <f>52228.64+7055.18+2548.57+6238.38</f>
        <v>68070.77</v>
      </c>
      <c r="BO69" s="185">
        <v>4187.74</v>
      </c>
      <c r="BP69" s="185"/>
      <c r="BQ69" s="185"/>
      <c r="BR69" s="185">
        <v>83024.490000000005</v>
      </c>
      <c r="BS69" s="185"/>
      <c r="BT69" s="185"/>
      <c r="BU69" s="185"/>
      <c r="BV69" s="185">
        <v>1349.3</v>
      </c>
      <c r="BW69" s="185"/>
      <c r="BX69" s="185">
        <v>4524</v>
      </c>
      <c r="BY69" s="185">
        <v>3568.91</v>
      </c>
      <c r="BZ69" s="185"/>
      <c r="CA69" s="185">
        <v>1399.73</v>
      </c>
      <c r="CB69" s="185"/>
      <c r="CC69" s="185">
        <v>4186.12</v>
      </c>
      <c r="CD69" s="188">
        <f>173943.7+472908.18+326656.44</f>
        <v>973508.32000000007</v>
      </c>
      <c r="CE69" s="195">
        <f t="shared" si="0"/>
        <v>1302556.5</v>
      </c>
      <c r="CF69" s="251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/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>
        <v>7010.07</v>
      </c>
      <c r="T70" s="184"/>
      <c r="U70" s="185"/>
      <c r="V70" s="184"/>
      <c r="W70" s="184"/>
      <c r="X70" s="185"/>
      <c r="Y70" s="185"/>
      <c r="Z70" s="185"/>
      <c r="AA70" s="185"/>
      <c r="AB70" s="185">
        <v>1249.27</v>
      </c>
      <c r="AC70" s="185"/>
      <c r="AD70" s="185"/>
      <c r="AE70" s="185">
        <v>22355.54</v>
      </c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>
        <v>54521.63</v>
      </c>
      <c r="AQ70" s="185"/>
      <c r="AR70" s="185"/>
      <c r="AS70" s="185"/>
      <c r="AT70" s="185"/>
      <c r="AU70" s="185"/>
      <c r="AV70" s="185"/>
      <c r="AW70" s="185"/>
      <c r="AX70" s="185"/>
      <c r="AY70" s="185">
        <v>79733.72</v>
      </c>
      <c r="AZ70" s="185"/>
      <c r="BA70" s="185"/>
      <c r="BB70" s="185"/>
      <c r="BC70" s="185"/>
      <c r="BD70" s="185"/>
      <c r="BE70" s="185"/>
      <c r="BF70" s="185"/>
      <c r="BG70" s="185">
        <v>405</v>
      </c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15500.24</v>
      </c>
      <c r="BW70" s="185"/>
      <c r="BX70" s="185"/>
      <c r="BY70" s="185"/>
      <c r="BZ70" s="185"/>
      <c r="CA70" s="185">
        <v>4980</v>
      </c>
      <c r="CB70" s="185"/>
      <c r="CC70" s="185"/>
      <c r="CD70" s="188">
        <f>198176.68+27638.3+40+18452.18+330</f>
        <v>244637.15999999997</v>
      </c>
      <c r="CE70" s="195">
        <f t="shared" si="0"/>
        <v>430392.62999999995</v>
      </c>
      <c r="CF70" s="251"/>
    </row>
    <row r="71" spans="1:84" ht="12.6" customHeight="1" x14ac:dyDescent="0.25">
      <c r="A71" s="171" t="s">
        <v>243</v>
      </c>
      <c r="B71" s="175"/>
      <c r="C71" s="195">
        <f>SUM(C61:C68)+C69-C70</f>
        <v>21593</v>
      </c>
      <c r="D71" s="195">
        <f t="shared" ref="D71:AI71" si="5">SUM(D61:D69)-D70</f>
        <v>0</v>
      </c>
      <c r="E71" s="195">
        <f t="shared" si="5"/>
        <v>3358147.02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1116</v>
      </c>
      <c r="K71" s="195">
        <f t="shared" si="5"/>
        <v>0</v>
      </c>
      <c r="L71" s="195">
        <f t="shared" si="5"/>
        <v>50161</v>
      </c>
      <c r="M71" s="195">
        <f t="shared" si="5"/>
        <v>0</v>
      </c>
      <c r="N71" s="195">
        <f t="shared" si="5"/>
        <v>0</v>
      </c>
      <c r="O71" s="195">
        <f t="shared" si="5"/>
        <v>1150827.3899999999</v>
      </c>
      <c r="P71" s="195">
        <f t="shared" si="5"/>
        <v>1401020.66</v>
      </c>
      <c r="Q71" s="195">
        <f t="shared" si="5"/>
        <v>560044</v>
      </c>
      <c r="R71" s="195">
        <f t="shared" si="5"/>
        <v>805335</v>
      </c>
      <c r="S71" s="195">
        <f t="shared" si="5"/>
        <v>2046600.93</v>
      </c>
      <c r="T71" s="195">
        <f t="shared" si="5"/>
        <v>0</v>
      </c>
      <c r="U71" s="195">
        <f t="shared" si="5"/>
        <v>1317790.69</v>
      </c>
      <c r="V71" s="195">
        <f t="shared" si="5"/>
        <v>19368</v>
      </c>
      <c r="W71" s="195">
        <f t="shared" si="5"/>
        <v>0</v>
      </c>
      <c r="X71" s="195">
        <f t="shared" si="5"/>
        <v>0</v>
      </c>
      <c r="Y71" s="195">
        <f t="shared" si="5"/>
        <v>2944709.8</v>
      </c>
      <c r="Z71" s="195">
        <f t="shared" si="5"/>
        <v>0</v>
      </c>
      <c r="AA71" s="195">
        <f t="shared" si="5"/>
        <v>0</v>
      </c>
      <c r="AB71" s="195">
        <f t="shared" si="5"/>
        <v>738886.80999999994</v>
      </c>
      <c r="AC71" s="195">
        <f t="shared" si="5"/>
        <v>334360.28000000003</v>
      </c>
      <c r="AD71" s="195">
        <f t="shared" si="5"/>
        <v>0</v>
      </c>
      <c r="AE71" s="195">
        <f t="shared" si="5"/>
        <v>532014.65999999992</v>
      </c>
      <c r="AF71" s="195">
        <f t="shared" si="5"/>
        <v>0</v>
      </c>
      <c r="AG71" s="195">
        <f t="shared" si="5"/>
        <v>3800215.78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0</v>
      </c>
      <c r="AK71" s="195">
        <f t="shared" si="6"/>
        <v>0</v>
      </c>
      <c r="AL71" s="195">
        <f t="shared" si="6"/>
        <v>0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5209362.34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0</v>
      </c>
      <c r="AX71" s="195">
        <f t="shared" si="6"/>
        <v>0</v>
      </c>
      <c r="AY71" s="195">
        <f t="shared" si="6"/>
        <v>366754.43000000005</v>
      </c>
      <c r="AZ71" s="195">
        <f t="shared" si="6"/>
        <v>1490</v>
      </c>
      <c r="BA71" s="195">
        <f t="shared" si="6"/>
        <v>119240</v>
      </c>
      <c r="BB71" s="195">
        <f t="shared" si="6"/>
        <v>0</v>
      </c>
      <c r="BC71" s="195">
        <f t="shared" si="6"/>
        <v>0</v>
      </c>
      <c r="BD71" s="195">
        <f t="shared" si="6"/>
        <v>127934.42</v>
      </c>
      <c r="BE71" s="195">
        <f t="shared" si="6"/>
        <v>755162.77</v>
      </c>
      <c r="BF71" s="195">
        <f t="shared" si="6"/>
        <v>459884.9</v>
      </c>
      <c r="BG71" s="195">
        <f t="shared" si="6"/>
        <v>119495</v>
      </c>
      <c r="BH71" s="195">
        <f t="shared" si="6"/>
        <v>507072.49</v>
      </c>
      <c r="BI71" s="195">
        <f t="shared" si="6"/>
        <v>0</v>
      </c>
      <c r="BJ71" s="195">
        <f t="shared" si="6"/>
        <v>600288.06999999995</v>
      </c>
      <c r="BK71" s="195">
        <f t="shared" si="6"/>
        <v>686278.45</v>
      </c>
      <c r="BL71" s="195">
        <f t="shared" si="6"/>
        <v>295740</v>
      </c>
      <c r="BM71" s="195">
        <f t="shared" si="6"/>
        <v>0</v>
      </c>
      <c r="BN71" s="195">
        <f t="shared" si="6"/>
        <v>535708.77</v>
      </c>
      <c r="BO71" s="195">
        <f t="shared" si="6"/>
        <v>41233.74</v>
      </c>
      <c r="BP71" s="195">
        <f t="shared" ref="BP71:CC71" si="7">SUM(BP61:BP69)-BP70</f>
        <v>0</v>
      </c>
      <c r="BQ71" s="195">
        <f t="shared" si="7"/>
        <v>0</v>
      </c>
      <c r="BR71" s="195">
        <f t="shared" si="7"/>
        <v>305037.49</v>
      </c>
      <c r="BS71" s="195">
        <f t="shared" si="7"/>
        <v>0</v>
      </c>
      <c r="BT71" s="195">
        <f t="shared" si="7"/>
        <v>0</v>
      </c>
      <c r="BU71" s="195">
        <f t="shared" si="7"/>
        <v>0</v>
      </c>
      <c r="BV71" s="195">
        <f t="shared" si="7"/>
        <v>591727.06000000006</v>
      </c>
      <c r="BW71" s="195">
        <f t="shared" si="7"/>
        <v>0</v>
      </c>
      <c r="BX71" s="195">
        <f t="shared" si="7"/>
        <v>99289</v>
      </c>
      <c r="BY71" s="195">
        <f t="shared" si="7"/>
        <v>260767.91</v>
      </c>
      <c r="BZ71" s="195">
        <f t="shared" si="7"/>
        <v>0</v>
      </c>
      <c r="CA71" s="195">
        <f t="shared" si="7"/>
        <v>50549.73</v>
      </c>
      <c r="CB71" s="195">
        <f t="shared" si="7"/>
        <v>0</v>
      </c>
      <c r="CC71" s="195">
        <f t="shared" si="7"/>
        <v>37528.120000000003</v>
      </c>
      <c r="CD71" s="244">
        <f>CD69-CD70</f>
        <v>728871.16000000015</v>
      </c>
      <c r="CE71" s="195">
        <f>SUM(CE61:CE69)-CE70</f>
        <v>30981606.870000001</v>
      </c>
      <c r="CF71" s="251"/>
    </row>
    <row r="72" spans="1:84" ht="12.6" customHeight="1" x14ac:dyDescent="0.25">
      <c r="A72" s="171" t="s">
        <v>244</v>
      </c>
      <c r="B72" s="175"/>
      <c r="C72" s="248" t="s">
        <v>221</v>
      </c>
      <c r="D72" s="248" t="s">
        <v>221</v>
      </c>
      <c r="E72" s="248" t="s">
        <v>221</v>
      </c>
      <c r="F72" s="248" t="s">
        <v>221</v>
      </c>
      <c r="G72" s="248" t="s">
        <v>221</v>
      </c>
      <c r="H72" s="248" t="s">
        <v>221</v>
      </c>
      <c r="I72" s="248" t="s">
        <v>221</v>
      </c>
      <c r="J72" s="248" t="s">
        <v>221</v>
      </c>
      <c r="K72" s="252" t="s">
        <v>221</v>
      </c>
      <c r="L72" s="248" t="s">
        <v>221</v>
      </c>
      <c r="M72" s="248" t="s">
        <v>221</v>
      </c>
      <c r="N72" s="248" t="s">
        <v>221</v>
      </c>
      <c r="O72" s="248" t="s">
        <v>221</v>
      </c>
      <c r="P72" s="248" t="s">
        <v>221</v>
      </c>
      <c r="Q72" s="248" t="s">
        <v>221</v>
      </c>
      <c r="R72" s="248" t="s">
        <v>221</v>
      </c>
      <c r="S72" s="248" t="s">
        <v>221</v>
      </c>
      <c r="T72" s="248" t="s">
        <v>221</v>
      </c>
      <c r="U72" s="248" t="s">
        <v>221</v>
      </c>
      <c r="V72" s="248" t="s">
        <v>221</v>
      </c>
      <c r="W72" s="248" t="s">
        <v>221</v>
      </c>
      <c r="X72" s="248" t="s">
        <v>221</v>
      </c>
      <c r="Y72" s="248" t="s">
        <v>221</v>
      </c>
      <c r="Z72" s="248" t="s">
        <v>221</v>
      </c>
      <c r="AA72" s="248" t="s">
        <v>221</v>
      </c>
      <c r="AB72" s="248" t="s">
        <v>221</v>
      </c>
      <c r="AC72" s="248" t="s">
        <v>221</v>
      </c>
      <c r="AD72" s="248" t="s">
        <v>221</v>
      </c>
      <c r="AE72" s="248" t="s">
        <v>221</v>
      </c>
      <c r="AF72" s="248" t="s">
        <v>221</v>
      </c>
      <c r="AG72" s="248" t="s">
        <v>221</v>
      </c>
      <c r="AH72" s="248" t="s">
        <v>221</v>
      </c>
      <c r="AI72" s="248" t="s">
        <v>221</v>
      </c>
      <c r="AJ72" s="248" t="s">
        <v>221</v>
      </c>
      <c r="AK72" s="248" t="s">
        <v>221</v>
      </c>
      <c r="AL72" s="248" t="s">
        <v>221</v>
      </c>
      <c r="AM72" s="248" t="s">
        <v>221</v>
      </c>
      <c r="AN72" s="248" t="s">
        <v>221</v>
      </c>
      <c r="AO72" s="248" t="s">
        <v>221</v>
      </c>
      <c r="AP72" s="248" t="s">
        <v>221</v>
      </c>
      <c r="AQ72" s="248" t="s">
        <v>221</v>
      </c>
      <c r="AR72" s="248" t="s">
        <v>221</v>
      </c>
      <c r="AS72" s="248" t="s">
        <v>221</v>
      </c>
      <c r="AT72" s="248" t="s">
        <v>221</v>
      </c>
      <c r="AU72" s="248" t="s">
        <v>221</v>
      </c>
      <c r="AV72" s="248" t="s">
        <v>221</v>
      </c>
      <c r="AW72" s="248" t="s">
        <v>221</v>
      </c>
      <c r="AX72" s="248" t="s">
        <v>221</v>
      </c>
      <c r="AY72" s="248" t="s">
        <v>221</v>
      </c>
      <c r="AZ72" s="248" t="s">
        <v>221</v>
      </c>
      <c r="BA72" s="248" t="s">
        <v>221</v>
      </c>
      <c r="BB72" s="248" t="s">
        <v>221</v>
      </c>
      <c r="BC72" s="248" t="s">
        <v>221</v>
      </c>
      <c r="BD72" s="248" t="s">
        <v>221</v>
      </c>
      <c r="BE72" s="248" t="s">
        <v>221</v>
      </c>
      <c r="BF72" s="248" t="s">
        <v>221</v>
      </c>
      <c r="BG72" s="248" t="s">
        <v>221</v>
      </c>
      <c r="BH72" s="248" t="s">
        <v>221</v>
      </c>
      <c r="BI72" s="248" t="s">
        <v>221</v>
      </c>
      <c r="BJ72" s="248" t="s">
        <v>221</v>
      </c>
      <c r="BK72" s="248" t="s">
        <v>221</v>
      </c>
      <c r="BL72" s="248" t="s">
        <v>221</v>
      </c>
      <c r="BM72" s="248" t="s">
        <v>221</v>
      </c>
      <c r="BN72" s="248" t="s">
        <v>221</v>
      </c>
      <c r="BO72" s="248" t="s">
        <v>221</v>
      </c>
      <c r="BP72" s="248" t="s">
        <v>221</v>
      </c>
      <c r="BQ72" s="248" t="s">
        <v>221</v>
      </c>
      <c r="BR72" s="248" t="s">
        <v>221</v>
      </c>
      <c r="BS72" s="248" t="s">
        <v>221</v>
      </c>
      <c r="BT72" s="248" t="s">
        <v>221</v>
      </c>
      <c r="BU72" s="248" t="s">
        <v>221</v>
      </c>
      <c r="BV72" s="248" t="s">
        <v>221</v>
      </c>
      <c r="BW72" s="248" t="s">
        <v>221</v>
      </c>
      <c r="BX72" s="248" t="s">
        <v>221</v>
      </c>
      <c r="BY72" s="248" t="s">
        <v>221</v>
      </c>
      <c r="BZ72" s="248" t="s">
        <v>221</v>
      </c>
      <c r="CA72" s="248" t="s">
        <v>221</v>
      </c>
      <c r="CB72" s="248" t="s">
        <v>221</v>
      </c>
      <c r="CC72" s="248" t="s">
        <v>221</v>
      </c>
      <c r="CD72" s="248" t="s">
        <v>221</v>
      </c>
      <c r="CE72" s="194">
        <v>1023836</v>
      </c>
      <c r="CF72" s="251"/>
    </row>
    <row r="73" spans="1:84" ht="12.6" customHeight="1" x14ac:dyDescent="0.25">
      <c r="A73" s="171" t="s">
        <v>245</v>
      </c>
      <c r="B73" s="175"/>
      <c r="C73" s="184">
        <v>3080</v>
      </c>
      <c r="D73" s="184"/>
      <c r="E73" s="185">
        <f>3441115-48707</f>
        <v>3392408</v>
      </c>
      <c r="F73" s="185"/>
      <c r="G73" s="184"/>
      <c r="H73" s="184"/>
      <c r="I73" s="185"/>
      <c r="J73" s="185">
        <v>402519</v>
      </c>
      <c r="K73" s="185"/>
      <c r="L73" s="185">
        <v>48707</v>
      </c>
      <c r="M73" s="184"/>
      <c r="N73" s="184"/>
      <c r="O73" s="184">
        <v>1265344</v>
      </c>
      <c r="P73" s="185">
        <v>2164684</v>
      </c>
      <c r="Q73" s="185">
        <v>309796</v>
      </c>
      <c r="R73" s="185">
        <v>946566</v>
      </c>
      <c r="S73" s="185">
        <v>3020800</v>
      </c>
      <c r="T73" s="185"/>
      <c r="U73" s="185">
        <f>1168337+181779</f>
        <v>1350116</v>
      </c>
      <c r="V73" s="185">
        <v>42690</v>
      </c>
      <c r="W73" s="185"/>
      <c r="X73" s="185"/>
      <c r="Y73" s="185">
        <v>893730</v>
      </c>
      <c r="Z73" s="185"/>
      <c r="AA73" s="185"/>
      <c r="AB73" s="185">
        <v>906436</v>
      </c>
      <c r="AC73" s="185">
        <v>287755</v>
      </c>
      <c r="AD73" s="185"/>
      <c r="AE73" s="185">
        <v>102837</v>
      </c>
      <c r="AF73" s="185"/>
      <c r="AG73" s="185">
        <v>280074</v>
      </c>
      <c r="AH73" s="185"/>
      <c r="AI73" s="185"/>
      <c r="AJ73" s="185"/>
      <c r="AK73" s="185"/>
      <c r="AL73" s="185"/>
      <c r="AM73" s="185"/>
      <c r="AN73" s="185"/>
      <c r="AO73" s="185"/>
      <c r="AP73" s="185">
        <v>1551896</v>
      </c>
      <c r="AQ73" s="185"/>
      <c r="AR73" s="185"/>
      <c r="AS73" s="185"/>
      <c r="AT73" s="185"/>
      <c r="AU73" s="185"/>
      <c r="AV73" s="185"/>
      <c r="AW73" s="248" t="s">
        <v>221</v>
      </c>
      <c r="AX73" s="248" t="s">
        <v>221</v>
      </c>
      <c r="AY73" s="248" t="s">
        <v>221</v>
      </c>
      <c r="AZ73" s="248" t="s">
        <v>221</v>
      </c>
      <c r="BA73" s="248" t="s">
        <v>221</v>
      </c>
      <c r="BB73" s="248" t="s">
        <v>221</v>
      </c>
      <c r="BC73" s="248" t="s">
        <v>221</v>
      </c>
      <c r="BD73" s="248" t="s">
        <v>221</v>
      </c>
      <c r="BE73" s="248" t="s">
        <v>221</v>
      </c>
      <c r="BF73" s="248" t="s">
        <v>221</v>
      </c>
      <c r="BG73" s="248" t="s">
        <v>221</v>
      </c>
      <c r="BH73" s="248" t="s">
        <v>221</v>
      </c>
      <c r="BI73" s="248" t="s">
        <v>221</v>
      </c>
      <c r="BJ73" s="248" t="s">
        <v>221</v>
      </c>
      <c r="BK73" s="248" t="s">
        <v>221</v>
      </c>
      <c r="BL73" s="248" t="s">
        <v>221</v>
      </c>
      <c r="BM73" s="248" t="s">
        <v>221</v>
      </c>
      <c r="BN73" s="248" t="s">
        <v>221</v>
      </c>
      <c r="BO73" s="248" t="s">
        <v>221</v>
      </c>
      <c r="BP73" s="248" t="s">
        <v>221</v>
      </c>
      <c r="BQ73" s="248" t="s">
        <v>221</v>
      </c>
      <c r="BR73" s="248" t="s">
        <v>221</v>
      </c>
      <c r="BS73" s="248" t="s">
        <v>221</v>
      </c>
      <c r="BT73" s="248" t="s">
        <v>221</v>
      </c>
      <c r="BU73" s="248" t="s">
        <v>221</v>
      </c>
      <c r="BV73" s="248" t="s">
        <v>221</v>
      </c>
      <c r="BW73" s="248" t="s">
        <v>221</v>
      </c>
      <c r="BX73" s="248" t="s">
        <v>221</v>
      </c>
      <c r="BY73" s="248" t="s">
        <v>221</v>
      </c>
      <c r="BZ73" s="248" t="s">
        <v>221</v>
      </c>
      <c r="CA73" s="248" t="s">
        <v>221</v>
      </c>
      <c r="CB73" s="248" t="s">
        <v>221</v>
      </c>
      <c r="CC73" s="248" t="s">
        <v>221</v>
      </c>
      <c r="CD73" s="248" t="s">
        <v>221</v>
      </c>
      <c r="CE73" s="195">
        <f t="shared" ref="CE73:CE80" si="8">SUM(C73:CD73)</f>
        <v>16969438</v>
      </c>
      <c r="CF73" s="251"/>
    </row>
    <row r="74" spans="1:84" ht="12.6" customHeight="1" x14ac:dyDescent="0.25">
      <c r="A74" s="171" t="s">
        <v>246</v>
      </c>
      <c r="B74" s="175"/>
      <c r="C74" s="184"/>
      <c r="D74" s="184"/>
      <c r="E74" s="185">
        <f>1151809+13946</f>
        <v>1165755</v>
      </c>
      <c r="F74" s="185"/>
      <c r="G74" s="184"/>
      <c r="H74" s="184"/>
      <c r="I74" s="184"/>
      <c r="J74" s="185">
        <v>9071</v>
      </c>
      <c r="K74" s="185"/>
      <c r="L74" s="185"/>
      <c r="M74" s="184"/>
      <c r="N74" s="184"/>
      <c r="O74" s="184">
        <v>175330</v>
      </c>
      <c r="P74" s="185">
        <v>3735553</v>
      </c>
      <c r="Q74" s="185">
        <v>1263306</v>
      </c>
      <c r="R74" s="185">
        <v>1121411</v>
      </c>
      <c r="S74" s="185">
        <v>3418538</v>
      </c>
      <c r="T74" s="185"/>
      <c r="U74" s="185">
        <f>4171900+334943</f>
        <v>4506843</v>
      </c>
      <c r="V74" s="185">
        <v>166746</v>
      </c>
      <c r="W74" s="185"/>
      <c r="X74" s="185"/>
      <c r="Y74" s="185">
        <v>14657405</v>
      </c>
      <c r="Z74" s="185"/>
      <c r="AA74" s="185"/>
      <c r="AB74" s="185">
        <v>1926760</v>
      </c>
      <c r="AC74" s="185">
        <v>292236</v>
      </c>
      <c r="AD74" s="185"/>
      <c r="AE74" s="185">
        <v>1054618</v>
      </c>
      <c r="AF74" s="185"/>
      <c r="AG74" s="185">
        <v>5885553</v>
      </c>
      <c r="AH74" s="185"/>
      <c r="AI74" s="185"/>
      <c r="AJ74" s="185"/>
      <c r="AK74" s="185"/>
      <c r="AL74" s="185"/>
      <c r="AM74" s="185"/>
      <c r="AN74" s="185"/>
      <c r="AO74" s="185"/>
      <c r="AP74" s="185">
        <v>6715436</v>
      </c>
      <c r="AQ74" s="185"/>
      <c r="AR74" s="185"/>
      <c r="AS74" s="185"/>
      <c r="AT74" s="185"/>
      <c r="AU74" s="185"/>
      <c r="AV74" s="185"/>
      <c r="AW74" s="248" t="s">
        <v>221</v>
      </c>
      <c r="AX74" s="248" t="s">
        <v>221</v>
      </c>
      <c r="AY74" s="248" t="s">
        <v>221</v>
      </c>
      <c r="AZ74" s="248" t="s">
        <v>221</v>
      </c>
      <c r="BA74" s="248" t="s">
        <v>221</v>
      </c>
      <c r="BB74" s="248" t="s">
        <v>221</v>
      </c>
      <c r="BC74" s="248" t="s">
        <v>221</v>
      </c>
      <c r="BD74" s="248" t="s">
        <v>221</v>
      </c>
      <c r="BE74" s="248" t="s">
        <v>221</v>
      </c>
      <c r="BF74" s="248" t="s">
        <v>221</v>
      </c>
      <c r="BG74" s="248" t="s">
        <v>221</v>
      </c>
      <c r="BH74" s="248" t="s">
        <v>221</v>
      </c>
      <c r="BI74" s="248" t="s">
        <v>221</v>
      </c>
      <c r="BJ74" s="248" t="s">
        <v>221</v>
      </c>
      <c r="BK74" s="248" t="s">
        <v>221</v>
      </c>
      <c r="BL74" s="248" t="s">
        <v>221</v>
      </c>
      <c r="BM74" s="248" t="s">
        <v>221</v>
      </c>
      <c r="BN74" s="248" t="s">
        <v>221</v>
      </c>
      <c r="BO74" s="248" t="s">
        <v>221</v>
      </c>
      <c r="BP74" s="248" t="s">
        <v>221</v>
      </c>
      <c r="BQ74" s="248" t="s">
        <v>221</v>
      </c>
      <c r="BR74" s="248" t="s">
        <v>221</v>
      </c>
      <c r="BS74" s="248" t="s">
        <v>221</v>
      </c>
      <c r="BT74" s="248" t="s">
        <v>221</v>
      </c>
      <c r="BU74" s="248" t="s">
        <v>221</v>
      </c>
      <c r="BV74" s="248" t="s">
        <v>221</v>
      </c>
      <c r="BW74" s="248" t="s">
        <v>221</v>
      </c>
      <c r="BX74" s="248" t="s">
        <v>221</v>
      </c>
      <c r="BY74" s="248" t="s">
        <v>221</v>
      </c>
      <c r="BZ74" s="248" t="s">
        <v>221</v>
      </c>
      <c r="CA74" s="248" t="s">
        <v>221</v>
      </c>
      <c r="CB74" s="248" t="s">
        <v>221</v>
      </c>
      <c r="CC74" s="248" t="s">
        <v>221</v>
      </c>
      <c r="CD74" s="248" t="s">
        <v>221</v>
      </c>
      <c r="CE74" s="195">
        <f t="shared" si="8"/>
        <v>46094561</v>
      </c>
      <c r="CF74" s="251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3080</v>
      </c>
      <c r="D75" s="195">
        <f t="shared" si="9"/>
        <v>0</v>
      </c>
      <c r="E75" s="195">
        <f t="shared" si="9"/>
        <v>4558163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411590</v>
      </c>
      <c r="K75" s="195">
        <f t="shared" si="9"/>
        <v>0</v>
      </c>
      <c r="L75" s="195">
        <f t="shared" si="9"/>
        <v>48707</v>
      </c>
      <c r="M75" s="195">
        <f t="shared" si="9"/>
        <v>0</v>
      </c>
      <c r="N75" s="195">
        <f t="shared" si="9"/>
        <v>0</v>
      </c>
      <c r="O75" s="195">
        <f t="shared" si="9"/>
        <v>1440674</v>
      </c>
      <c r="P75" s="195">
        <f t="shared" si="9"/>
        <v>5900237</v>
      </c>
      <c r="Q75" s="195">
        <f t="shared" si="9"/>
        <v>1573102</v>
      </c>
      <c r="R75" s="195">
        <f t="shared" si="9"/>
        <v>2067977</v>
      </c>
      <c r="S75" s="195">
        <f t="shared" si="9"/>
        <v>6439338</v>
      </c>
      <c r="T75" s="195">
        <f t="shared" si="9"/>
        <v>0</v>
      </c>
      <c r="U75" s="195">
        <f t="shared" si="9"/>
        <v>5856959</v>
      </c>
      <c r="V75" s="195">
        <f t="shared" si="9"/>
        <v>209436</v>
      </c>
      <c r="W75" s="195">
        <f t="shared" si="9"/>
        <v>0</v>
      </c>
      <c r="X75" s="195">
        <f t="shared" si="9"/>
        <v>0</v>
      </c>
      <c r="Y75" s="195">
        <f t="shared" si="9"/>
        <v>15551135</v>
      </c>
      <c r="Z75" s="195">
        <f t="shared" si="9"/>
        <v>0</v>
      </c>
      <c r="AA75" s="195">
        <f t="shared" si="9"/>
        <v>0</v>
      </c>
      <c r="AB75" s="195">
        <f t="shared" si="9"/>
        <v>2833196</v>
      </c>
      <c r="AC75" s="195">
        <f t="shared" si="9"/>
        <v>579991</v>
      </c>
      <c r="AD75" s="195">
        <f t="shared" si="9"/>
        <v>0</v>
      </c>
      <c r="AE75" s="195">
        <f t="shared" si="9"/>
        <v>1157455</v>
      </c>
      <c r="AF75" s="195">
        <f t="shared" si="9"/>
        <v>0</v>
      </c>
      <c r="AG75" s="195">
        <f t="shared" si="9"/>
        <v>6165627</v>
      </c>
      <c r="AH75" s="195">
        <f t="shared" si="9"/>
        <v>0</v>
      </c>
      <c r="AI75" s="195">
        <f t="shared" si="9"/>
        <v>0</v>
      </c>
      <c r="AJ75" s="195">
        <f t="shared" si="9"/>
        <v>0</v>
      </c>
      <c r="AK75" s="195">
        <f t="shared" si="9"/>
        <v>0</v>
      </c>
      <c r="AL75" s="195">
        <f t="shared" si="9"/>
        <v>0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8267332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8" t="s">
        <v>221</v>
      </c>
      <c r="AX75" s="248" t="s">
        <v>221</v>
      </c>
      <c r="AY75" s="248" t="s">
        <v>221</v>
      </c>
      <c r="AZ75" s="248" t="s">
        <v>221</v>
      </c>
      <c r="BA75" s="248" t="s">
        <v>221</v>
      </c>
      <c r="BB75" s="248" t="s">
        <v>221</v>
      </c>
      <c r="BC75" s="248" t="s">
        <v>221</v>
      </c>
      <c r="BD75" s="248" t="s">
        <v>221</v>
      </c>
      <c r="BE75" s="248" t="s">
        <v>221</v>
      </c>
      <c r="BF75" s="248" t="s">
        <v>221</v>
      </c>
      <c r="BG75" s="248" t="s">
        <v>221</v>
      </c>
      <c r="BH75" s="248" t="s">
        <v>221</v>
      </c>
      <c r="BI75" s="248" t="s">
        <v>221</v>
      </c>
      <c r="BJ75" s="248" t="s">
        <v>221</v>
      </c>
      <c r="BK75" s="248" t="s">
        <v>221</v>
      </c>
      <c r="BL75" s="248" t="s">
        <v>221</v>
      </c>
      <c r="BM75" s="248" t="s">
        <v>221</v>
      </c>
      <c r="BN75" s="248" t="s">
        <v>221</v>
      </c>
      <c r="BO75" s="248" t="s">
        <v>221</v>
      </c>
      <c r="BP75" s="248" t="s">
        <v>221</v>
      </c>
      <c r="BQ75" s="248" t="s">
        <v>221</v>
      </c>
      <c r="BR75" s="248" t="s">
        <v>221</v>
      </c>
      <c r="BS75" s="248" t="s">
        <v>221</v>
      </c>
      <c r="BT75" s="248" t="s">
        <v>221</v>
      </c>
      <c r="BU75" s="248" t="s">
        <v>221</v>
      </c>
      <c r="BV75" s="248" t="s">
        <v>221</v>
      </c>
      <c r="BW75" s="248" t="s">
        <v>221</v>
      </c>
      <c r="BX75" s="248" t="s">
        <v>221</v>
      </c>
      <c r="BY75" s="248" t="s">
        <v>221</v>
      </c>
      <c r="BZ75" s="248" t="s">
        <v>221</v>
      </c>
      <c r="CA75" s="248" t="s">
        <v>221</v>
      </c>
      <c r="CB75" s="248" t="s">
        <v>221</v>
      </c>
      <c r="CC75" s="248" t="s">
        <v>221</v>
      </c>
      <c r="CD75" s="248" t="s">
        <v>221</v>
      </c>
      <c r="CE75" s="195">
        <f t="shared" si="8"/>
        <v>63063999</v>
      </c>
      <c r="CF75" s="251"/>
    </row>
    <row r="76" spans="1:84" ht="12.6" customHeight="1" x14ac:dyDescent="0.25">
      <c r="A76" s="171" t="s">
        <v>248</v>
      </c>
      <c r="B76" s="175"/>
      <c r="C76" s="184"/>
      <c r="D76" s="184"/>
      <c r="E76" s="185">
        <f>4788+882+188</f>
        <v>5858</v>
      </c>
      <c r="F76" s="185"/>
      <c r="G76" s="184"/>
      <c r="H76" s="184"/>
      <c r="I76" s="185"/>
      <c r="J76" s="185">
        <v>142</v>
      </c>
      <c r="K76" s="185"/>
      <c r="L76" s="185"/>
      <c r="M76" s="185"/>
      <c r="N76" s="185"/>
      <c r="O76" s="185">
        <v>1533</v>
      </c>
      <c r="P76" s="185">
        <v>4261</v>
      </c>
      <c r="Q76" s="185">
        <v>2020</v>
      </c>
      <c r="R76" s="185"/>
      <c r="S76" s="185">
        <v>1628</v>
      </c>
      <c r="T76" s="185"/>
      <c r="U76" s="185">
        <v>1213</v>
      </c>
      <c r="V76" s="185"/>
      <c r="W76" s="185"/>
      <c r="X76" s="185"/>
      <c r="Y76" s="185">
        <v>5022</v>
      </c>
      <c r="Z76" s="185"/>
      <c r="AA76" s="185"/>
      <c r="AB76" s="185">
        <v>588</v>
      </c>
      <c r="AC76" s="185">
        <v>394</v>
      </c>
      <c r="AD76" s="185"/>
      <c r="AE76" s="185">
        <v>2332</v>
      </c>
      <c r="AF76" s="185"/>
      <c r="AG76" s="185">
        <v>3715</v>
      </c>
      <c r="AH76" s="185"/>
      <c r="AI76" s="185"/>
      <c r="AJ76" s="185"/>
      <c r="AK76" s="185"/>
      <c r="AL76" s="185"/>
      <c r="AM76" s="185"/>
      <c r="AN76" s="185"/>
      <c r="AO76" s="185"/>
      <c r="AP76" s="185">
        <v>15629</v>
      </c>
      <c r="AQ76" s="185"/>
      <c r="AR76" s="185"/>
      <c r="AS76" s="185"/>
      <c r="AT76" s="185"/>
      <c r="AU76" s="185"/>
      <c r="AV76" s="185"/>
      <c r="AW76" s="185"/>
      <c r="AX76" s="185"/>
      <c r="AY76" s="185">
        <f>1198+305</f>
        <v>1503</v>
      </c>
      <c r="AZ76" s="185">
        <v>651</v>
      </c>
      <c r="BA76" s="185">
        <v>506</v>
      </c>
      <c r="BB76" s="185"/>
      <c r="BC76" s="185"/>
      <c r="BD76" s="185">
        <v>343</v>
      </c>
      <c r="BE76" s="185">
        <f>1822+8954+13935+1689</f>
        <v>26400</v>
      </c>
      <c r="BF76" s="185">
        <f>156+194</f>
        <v>350</v>
      </c>
      <c r="BG76" s="185">
        <v>292</v>
      </c>
      <c r="BH76" s="185">
        <f>436+216</f>
        <v>652</v>
      </c>
      <c r="BI76" s="185"/>
      <c r="BJ76" s="185">
        <f>138+559</f>
        <v>697</v>
      </c>
      <c r="BK76" s="185">
        <f>1600+71</f>
        <v>1671</v>
      </c>
      <c r="BL76" s="185">
        <v>252</v>
      </c>
      <c r="BM76" s="185"/>
      <c r="BN76" s="185">
        <v>643</v>
      </c>
      <c r="BO76" s="185"/>
      <c r="BP76" s="185"/>
      <c r="BQ76" s="185"/>
      <c r="BR76" s="185">
        <v>313</v>
      </c>
      <c r="BS76" s="185"/>
      <c r="BT76" s="185"/>
      <c r="BU76" s="185"/>
      <c r="BV76" s="185">
        <v>1508</v>
      </c>
      <c r="BW76" s="185"/>
      <c r="BX76" s="185"/>
      <c r="BY76" s="185">
        <v>313</v>
      </c>
      <c r="BZ76" s="185"/>
      <c r="CA76" s="185">
        <f>2119+31</f>
        <v>2150</v>
      </c>
      <c r="CB76" s="185"/>
      <c r="CC76" s="185"/>
      <c r="CD76" s="248" t="s">
        <v>221</v>
      </c>
      <c r="CE76" s="195">
        <f t="shared" si="8"/>
        <v>82579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0</v>
      </c>
      <c r="D77" s="184"/>
      <c r="E77" s="184">
        <v>6862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>
        <v>1935</v>
      </c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8" t="s">
        <v>221</v>
      </c>
      <c r="AY77" s="248" t="s">
        <v>221</v>
      </c>
      <c r="AZ77" s="184"/>
      <c r="BA77" s="184"/>
      <c r="BB77" s="184"/>
      <c r="BC77" s="184"/>
      <c r="BD77" s="248" t="s">
        <v>221</v>
      </c>
      <c r="BE77" s="248" t="s">
        <v>221</v>
      </c>
      <c r="BF77" s="184"/>
      <c r="BG77" s="248" t="s">
        <v>221</v>
      </c>
      <c r="BH77" s="184"/>
      <c r="BI77" s="184"/>
      <c r="BJ77" s="248" t="s">
        <v>221</v>
      </c>
      <c r="BK77" s="184"/>
      <c r="BL77" s="184"/>
      <c r="BM77" s="184"/>
      <c r="BN77" s="248" t="s">
        <v>221</v>
      </c>
      <c r="BO77" s="248" t="s">
        <v>221</v>
      </c>
      <c r="BP77" s="248" t="s">
        <v>221</v>
      </c>
      <c r="BQ77" s="248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8" t="s">
        <v>221</v>
      </c>
      <c r="CD77" s="248" t="s">
        <v>221</v>
      </c>
      <c r="CE77" s="195">
        <f>SUM(C77:CD77)</f>
        <v>8797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0</v>
      </c>
      <c r="D78" s="184"/>
      <c r="E78" s="184">
        <v>5190.58</v>
      </c>
      <c r="F78" s="184"/>
      <c r="G78" s="184"/>
      <c r="H78" s="184"/>
      <c r="I78" s="184"/>
      <c r="J78" s="184"/>
      <c r="K78" s="184"/>
      <c r="L78" s="184"/>
      <c r="M78" s="184"/>
      <c r="N78" s="184"/>
      <c r="O78" s="184">
        <v>728.17</v>
      </c>
      <c r="P78" s="184">
        <v>1292.98</v>
      </c>
      <c r="Q78" s="184">
        <v>1176.28</v>
      </c>
      <c r="R78" s="184"/>
      <c r="S78" s="184">
        <v>298.74</v>
      </c>
      <c r="T78" s="184"/>
      <c r="U78" s="184">
        <v>476.11</v>
      </c>
      <c r="V78" s="184"/>
      <c r="W78" s="184"/>
      <c r="X78" s="184"/>
      <c r="Y78" s="184">
        <v>956.9</v>
      </c>
      <c r="Z78" s="184"/>
      <c r="AA78" s="184"/>
      <c r="AB78" s="184">
        <v>46.68</v>
      </c>
      <c r="AC78" s="184">
        <v>168.04</v>
      </c>
      <c r="AD78" s="184"/>
      <c r="AE78" s="184">
        <v>452.78</v>
      </c>
      <c r="AF78" s="184"/>
      <c r="AG78" s="184">
        <v>2319.89</v>
      </c>
      <c r="AH78" s="184"/>
      <c r="AI78" s="184"/>
      <c r="AJ78" s="184"/>
      <c r="AK78" s="184"/>
      <c r="AL78" s="184"/>
      <c r="AM78" s="184"/>
      <c r="AN78" s="184"/>
      <c r="AO78" s="184"/>
      <c r="AP78" s="184">
        <v>1728.4</v>
      </c>
      <c r="AQ78" s="184"/>
      <c r="AR78" s="184"/>
      <c r="AS78" s="184"/>
      <c r="AT78" s="184"/>
      <c r="AU78" s="184"/>
      <c r="AV78" s="184"/>
      <c r="AW78" s="184"/>
      <c r="AX78" s="248" t="s">
        <v>221</v>
      </c>
      <c r="AY78" s="248" t="s">
        <v>221</v>
      </c>
      <c r="AZ78" s="248" t="s">
        <v>221</v>
      </c>
      <c r="BA78" s="184">
        <v>578.80999999999995</v>
      </c>
      <c r="BB78" s="184"/>
      <c r="BC78" s="184"/>
      <c r="BD78" s="248" t="s">
        <v>221</v>
      </c>
      <c r="BE78" s="248" t="s">
        <v>221</v>
      </c>
      <c r="BF78" s="248" t="s">
        <v>221</v>
      </c>
      <c r="BG78" s="248" t="s">
        <v>221</v>
      </c>
      <c r="BH78" s="184"/>
      <c r="BI78" s="184"/>
      <c r="BJ78" s="248" t="s">
        <v>221</v>
      </c>
      <c r="BK78" s="184"/>
      <c r="BL78" s="184"/>
      <c r="BM78" s="184"/>
      <c r="BN78" s="248" t="s">
        <v>221</v>
      </c>
      <c r="BO78" s="248" t="s">
        <v>221</v>
      </c>
      <c r="BP78" s="248" t="s">
        <v>221</v>
      </c>
      <c r="BQ78" s="248" t="s">
        <v>221</v>
      </c>
      <c r="BR78" s="248" t="s">
        <v>221</v>
      </c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248" t="s">
        <v>221</v>
      </c>
      <c r="CD78" s="248" t="s">
        <v>221</v>
      </c>
      <c r="CE78" s="195">
        <f t="shared" si="8"/>
        <v>15414.36</v>
      </c>
      <c r="CF78" s="195"/>
    </row>
    <row r="79" spans="1:84" ht="12.6" customHeight="1" x14ac:dyDescent="0.25">
      <c r="A79" s="171" t="s">
        <v>251</v>
      </c>
      <c r="B79" s="175"/>
      <c r="C79" s="225"/>
      <c r="D79" s="225"/>
      <c r="E79" s="184">
        <v>51259</v>
      </c>
      <c r="F79" s="184"/>
      <c r="G79" s="184"/>
      <c r="H79" s="184"/>
      <c r="I79" s="184"/>
      <c r="J79" s="184"/>
      <c r="K79" s="184"/>
      <c r="L79" s="184"/>
      <c r="M79" s="184"/>
      <c r="N79" s="184"/>
      <c r="O79" s="184">
        <v>5259</v>
      </c>
      <c r="P79" s="184">
        <v>28535</v>
      </c>
      <c r="Q79" s="184"/>
      <c r="R79" s="184"/>
      <c r="S79" s="184"/>
      <c r="T79" s="184"/>
      <c r="U79" s="184"/>
      <c r="V79" s="184"/>
      <c r="W79" s="184"/>
      <c r="X79" s="184"/>
      <c r="Y79" s="184">
        <v>10961</v>
      </c>
      <c r="Z79" s="184"/>
      <c r="AA79" s="184"/>
      <c r="AB79" s="184"/>
      <c r="AC79" s="184"/>
      <c r="AD79" s="184"/>
      <c r="AE79" s="184"/>
      <c r="AF79" s="184"/>
      <c r="AG79" s="184">
        <v>13256</v>
      </c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8" t="s">
        <v>221</v>
      </c>
      <c r="AY79" s="248" t="s">
        <v>221</v>
      </c>
      <c r="AZ79" s="248" t="s">
        <v>221</v>
      </c>
      <c r="BA79" s="248" t="s">
        <v>221</v>
      </c>
      <c r="BB79" s="184"/>
      <c r="BC79" s="184"/>
      <c r="BD79" s="248" t="s">
        <v>221</v>
      </c>
      <c r="BE79" s="248" t="s">
        <v>221</v>
      </c>
      <c r="BF79" s="248" t="s">
        <v>221</v>
      </c>
      <c r="BG79" s="248" t="s">
        <v>221</v>
      </c>
      <c r="BH79" s="184"/>
      <c r="BI79" s="184"/>
      <c r="BJ79" s="248" t="s">
        <v>221</v>
      </c>
      <c r="BK79" s="184"/>
      <c r="BL79" s="184"/>
      <c r="BM79" s="184"/>
      <c r="BN79" s="248" t="s">
        <v>221</v>
      </c>
      <c r="BO79" s="248" t="s">
        <v>221</v>
      </c>
      <c r="BP79" s="248" t="s">
        <v>221</v>
      </c>
      <c r="BQ79" s="248" t="s">
        <v>221</v>
      </c>
      <c r="BR79" s="248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8" t="s">
        <v>221</v>
      </c>
      <c r="CD79" s="248" t="s">
        <v>221</v>
      </c>
      <c r="CE79" s="195">
        <f t="shared" si="8"/>
        <v>109270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0.18</v>
      </c>
      <c r="D80" s="187"/>
      <c r="E80" s="187">
        <v>12.7</v>
      </c>
      <c r="F80" s="187"/>
      <c r="G80" s="187"/>
      <c r="H80" s="187"/>
      <c r="I80" s="187"/>
      <c r="J80" s="187"/>
      <c r="K80" s="187"/>
      <c r="L80" s="187"/>
      <c r="M80" s="187"/>
      <c r="N80" s="187"/>
      <c r="O80" s="187">
        <v>5.16</v>
      </c>
      <c r="P80" s="187">
        <v>3.5</v>
      </c>
      <c r="Q80" s="187">
        <v>3.79</v>
      </c>
      <c r="R80" s="187"/>
      <c r="S80" s="187"/>
      <c r="T80" s="187"/>
      <c r="U80" s="187"/>
      <c r="V80" s="187"/>
      <c r="W80" s="187"/>
      <c r="X80" s="187"/>
      <c r="Y80" s="187">
        <v>0.26</v>
      </c>
      <c r="Z80" s="187"/>
      <c r="AA80" s="187"/>
      <c r="AB80" s="187"/>
      <c r="AC80" s="187"/>
      <c r="AD80" s="187"/>
      <c r="AE80" s="187"/>
      <c r="AF80" s="187"/>
      <c r="AG80" s="187">
        <v>7.37</v>
      </c>
      <c r="AH80" s="187"/>
      <c r="AI80" s="187"/>
      <c r="AJ80" s="187"/>
      <c r="AK80" s="187"/>
      <c r="AL80" s="187"/>
      <c r="AM80" s="187"/>
      <c r="AN80" s="187"/>
      <c r="AO80" s="187"/>
      <c r="AP80" s="187">
        <v>9.3000000000000007</v>
      </c>
      <c r="AQ80" s="187"/>
      <c r="AR80" s="187"/>
      <c r="AS80" s="187"/>
      <c r="AT80" s="187"/>
      <c r="AU80" s="187"/>
      <c r="AV80" s="187"/>
      <c r="AW80" s="248" t="s">
        <v>221</v>
      </c>
      <c r="AX80" s="248" t="s">
        <v>221</v>
      </c>
      <c r="AY80" s="248" t="s">
        <v>221</v>
      </c>
      <c r="AZ80" s="248" t="s">
        <v>221</v>
      </c>
      <c r="BA80" s="248" t="s">
        <v>221</v>
      </c>
      <c r="BB80" s="248" t="s">
        <v>221</v>
      </c>
      <c r="BC80" s="248" t="s">
        <v>221</v>
      </c>
      <c r="BD80" s="248" t="s">
        <v>221</v>
      </c>
      <c r="BE80" s="248" t="s">
        <v>221</v>
      </c>
      <c r="BF80" s="248" t="s">
        <v>221</v>
      </c>
      <c r="BG80" s="248" t="s">
        <v>221</v>
      </c>
      <c r="BH80" s="248" t="s">
        <v>221</v>
      </c>
      <c r="BI80" s="248" t="s">
        <v>221</v>
      </c>
      <c r="BJ80" s="248" t="s">
        <v>221</v>
      </c>
      <c r="BK80" s="248" t="s">
        <v>221</v>
      </c>
      <c r="BL80" s="248" t="s">
        <v>221</v>
      </c>
      <c r="BM80" s="248" t="s">
        <v>221</v>
      </c>
      <c r="BN80" s="248" t="s">
        <v>221</v>
      </c>
      <c r="BO80" s="248" t="s">
        <v>221</v>
      </c>
      <c r="BP80" s="248" t="s">
        <v>221</v>
      </c>
      <c r="BQ80" s="248" t="s">
        <v>221</v>
      </c>
      <c r="BR80" s="248" t="s">
        <v>221</v>
      </c>
      <c r="BS80" s="248" t="s">
        <v>221</v>
      </c>
      <c r="BT80" s="248" t="s">
        <v>221</v>
      </c>
      <c r="BU80" s="253"/>
      <c r="BV80" s="253"/>
      <c r="BW80" s="253"/>
      <c r="BX80" s="253"/>
      <c r="BY80" s="253"/>
      <c r="BZ80" s="253"/>
      <c r="CA80" s="253"/>
      <c r="CB80" s="253"/>
      <c r="CC80" s="248" t="s">
        <v>221</v>
      </c>
      <c r="CD80" s="248" t="s">
        <v>221</v>
      </c>
      <c r="CE80" s="254">
        <f t="shared" si="8"/>
        <v>42.260000000000005</v>
      </c>
      <c r="CF80" s="254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5"/>
      <c r="E82" s="175"/>
    </row>
    <row r="83" spans="1:5" ht="12.6" customHeight="1" x14ac:dyDescent="0.25">
      <c r="A83" s="173" t="s">
        <v>255</v>
      </c>
      <c r="B83" s="172" t="s">
        <v>256</v>
      </c>
      <c r="C83" s="226" t="s">
        <v>1268</v>
      </c>
      <c r="D83" s="255"/>
      <c r="E83" s="175"/>
    </row>
    <row r="84" spans="1:5" ht="12.6" customHeight="1" x14ac:dyDescent="0.25">
      <c r="A84" s="173" t="s">
        <v>257</v>
      </c>
      <c r="B84" s="172" t="s">
        <v>256</v>
      </c>
      <c r="C84" s="229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0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29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29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29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29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29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69" t="s">
        <v>1277</v>
      </c>
      <c r="D92" s="255"/>
      <c r="E92" s="175"/>
    </row>
    <row r="93" spans="1:5" ht="12.6" customHeight="1" x14ac:dyDescent="0.25">
      <c r="A93" s="173" t="s">
        <v>264</v>
      </c>
      <c r="B93" s="172" t="s">
        <v>256</v>
      </c>
      <c r="C93" s="269" t="s">
        <v>1278</v>
      </c>
      <c r="D93" s="255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6" t="s">
        <v>266</v>
      </c>
      <c r="B96" s="256"/>
      <c r="C96" s="256"/>
      <c r="D96" s="256"/>
      <c r="E96" s="256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6" t="s">
        <v>269</v>
      </c>
      <c r="B100" s="256"/>
      <c r="C100" s="256"/>
      <c r="D100" s="256"/>
      <c r="E100" s="256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6" t="s">
        <v>271</v>
      </c>
      <c r="B103" s="256"/>
      <c r="C103" s="256"/>
      <c r="D103" s="256"/>
      <c r="E103" s="256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817</v>
      </c>
      <c r="D111" s="174">
        <v>2072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>
        <v>11</v>
      </c>
      <c r="D112" s="174">
        <v>41</v>
      </c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229</v>
      </c>
      <c r="D114" s="174">
        <v>373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/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/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25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25</v>
      </c>
    </row>
    <row r="128" spans="1:5" ht="12.6" customHeight="1" x14ac:dyDescent="0.25">
      <c r="A128" s="173" t="s">
        <v>292</v>
      </c>
      <c r="B128" s="172" t="s">
        <v>256</v>
      </c>
      <c r="C128" s="189">
        <v>44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>
        <v>48707</v>
      </c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7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355</v>
      </c>
      <c r="C138" s="189">
        <v>292</v>
      </c>
      <c r="D138" s="174">
        <v>170</v>
      </c>
      <c r="E138" s="175">
        <f>SUM(B138:D138)</f>
        <v>817</v>
      </c>
    </row>
    <row r="139" spans="1:6" ht="12.6" customHeight="1" x14ac:dyDescent="0.25">
      <c r="A139" s="173" t="s">
        <v>215</v>
      </c>
      <c r="B139" s="174">
        <v>1005</v>
      </c>
      <c r="C139" s="189">
        <v>676</v>
      </c>
      <c r="D139" s="174">
        <v>391</v>
      </c>
      <c r="E139" s="175">
        <f>SUM(B139:D139)</f>
        <v>2072</v>
      </c>
    </row>
    <row r="140" spans="1:6" ht="12.6" customHeight="1" x14ac:dyDescent="0.25">
      <c r="A140" s="173" t="s">
        <v>298</v>
      </c>
      <c r="B140" s="174">
        <f>8756+1518</f>
        <v>10274</v>
      </c>
      <c r="C140" s="174">
        <f>1325+5939+987+221</f>
        <v>8472</v>
      </c>
      <c r="D140" s="174">
        <f>22866+4602-10274-8472</f>
        <v>8722</v>
      </c>
      <c r="E140" s="175">
        <f>SUM(B140:D140)</f>
        <v>27468</v>
      </c>
    </row>
    <row r="141" spans="1:6" ht="12.6" customHeight="1" x14ac:dyDescent="0.25">
      <c r="A141" s="173" t="s">
        <v>245</v>
      </c>
      <c r="B141" s="174">
        <f>1222109.25+7136918-48707</f>
        <v>8310320.25</v>
      </c>
      <c r="C141" s="189">
        <v>5354541.16</v>
      </c>
      <c r="D141" s="174">
        <f>16969436-8310320.25-5354541.16</f>
        <v>3304574.59</v>
      </c>
      <c r="E141" s="175">
        <f>SUM(B141:D141)</f>
        <v>16969436</v>
      </c>
      <c r="F141" s="199"/>
    </row>
    <row r="142" spans="1:6" ht="12.6" customHeight="1" x14ac:dyDescent="0.25">
      <c r="A142" s="173" t="s">
        <v>246</v>
      </c>
      <c r="B142" s="174">
        <v>17858345.190000001</v>
      </c>
      <c r="C142" s="189">
        <v>12917213.109999999</v>
      </c>
      <c r="D142" s="174">
        <f>46094561-17858345.19-12917213.11</f>
        <v>15319002.699999999</v>
      </c>
      <c r="E142" s="175">
        <f>SUM(B142:D142)</f>
        <v>46094561</v>
      </c>
      <c r="F142" s="199"/>
    </row>
    <row r="143" spans="1:6" ht="12.6" customHeight="1" x14ac:dyDescent="0.25">
      <c r="A143" s="257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11</v>
      </c>
      <c r="C144" s="189"/>
      <c r="D144" s="174"/>
      <c r="E144" s="175">
        <f>SUM(B144:D144)</f>
        <v>11</v>
      </c>
    </row>
    <row r="145" spans="1:5" ht="12.6" customHeight="1" x14ac:dyDescent="0.25">
      <c r="A145" s="173" t="s">
        <v>215</v>
      </c>
      <c r="B145" s="174">
        <v>41</v>
      </c>
      <c r="C145" s="189"/>
      <c r="D145" s="174"/>
      <c r="E145" s="175">
        <f>SUM(B145:D145)</f>
        <v>41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>
        <v>48707</v>
      </c>
      <c r="C147" s="189"/>
      <c r="D147" s="174"/>
      <c r="E147" s="175">
        <f>SUM(B147:D147)</f>
        <v>48707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7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7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7105765.2199999997</v>
      </c>
      <c r="C157" s="174">
        <v>3848041.54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6" t="s">
        <v>306</v>
      </c>
      <c r="B164" s="256"/>
      <c r="C164" s="256"/>
      <c r="D164" s="256"/>
      <c r="E164" s="256"/>
    </row>
    <row r="165" spans="1:5" ht="11.4" customHeight="1" x14ac:dyDescent="0.25">
      <c r="A165" s="173" t="s">
        <v>307</v>
      </c>
      <c r="B165" s="172" t="s">
        <v>256</v>
      </c>
      <c r="C165" s="189">
        <v>1021896.23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23089.66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223740.86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v>2161369.19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v>33825.07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239157.15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34267.4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3737345.5599999996</v>
      </c>
      <c r="E173" s="175"/>
    </row>
    <row r="174" spans="1:5" ht="11.4" customHeight="1" x14ac:dyDescent="0.25">
      <c r="A174" s="256" t="s">
        <v>314</v>
      </c>
      <c r="B174" s="256"/>
      <c r="C174" s="256"/>
      <c r="D174" s="256"/>
      <c r="E174" s="256"/>
    </row>
    <row r="175" spans="1:5" ht="11.4" customHeight="1" x14ac:dyDescent="0.25">
      <c r="A175" s="173" t="s">
        <v>315</v>
      </c>
      <c r="B175" s="172" t="s">
        <v>256</v>
      </c>
      <c r="C175" s="189">
        <v>2500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367238.79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369738.79</v>
      </c>
      <c r="E177" s="175"/>
    </row>
    <row r="178" spans="1:5" ht="11.4" customHeight="1" x14ac:dyDescent="0.25">
      <c r="A178" s="256" t="s">
        <v>317</v>
      </c>
      <c r="B178" s="256"/>
      <c r="C178" s="256"/>
      <c r="D178" s="256"/>
      <c r="E178" s="256"/>
    </row>
    <row r="179" spans="1:5" ht="11.4" customHeight="1" x14ac:dyDescent="0.25">
      <c r="A179" s="173" t="s">
        <v>318</v>
      </c>
      <c r="B179" s="172" t="s">
        <v>256</v>
      </c>
      <c r="C179" s="189">
        <v>390888.51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82019.67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472908.18</v>
      </c>
      <c r="E181" s="175"/>
    </row>
    <row r="182" spans="1:5" ht="11.4" customHeight="1" x14ac:dyDescent="0.25">
      <c r="A182" s="256" t="s">
        <v>320</v>
      </c>
      <c r="B182" s="256"/>
      <c r="C182" s="256"/>
      <c r="D182" s="256"/>
      <c r="E182" s="256"/>
    </row>
    <row r="183" spans="1:5" ht="11.4" customHeight="1" x14ac:dyDescent="0.25">
      <c r="A183" s="173" t="s">
        <v>321</v>
      </c>
      <c r="B183" s="172" t="s">
        <v>256</v>
      </c>
      <c r="C183" s="189">
        <v>22412.94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151530.76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173943.7</v>
      </c>
      <c r="E186" s="175"/>
    </row>
    <row r="187" spans="1:5" ht="11.4" customHeight="1" x14ac:dyDescent="0.25">
      <c r="A187" s="256" t="s">
        <v>323</v>
      </c>
      <c r="B187" s="256"/>
      <c r="C187" s="256"/>
      <c r="D187" s="256"/>
      <c r="E187" s="256"/>
    </row>
    <row r="188" spans="1:5" ht="11.4" customHeight="1" x14ac:dyDescent="0.25">
      <c r="A188" s="173" t="s">
        <v>324</v>
      </c>
      <c r="B188" s="172" t="s">
        <v>256</v>
      </c>
      <c r="C188" s="189">
        <v>326656.44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/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326656.44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84305.63</f>
        <v>84305.63</v>
      </c>
      <c r="C195" s="189">
        <v>62000</v>
      </c>
      <c r="D195" s="174"/>
      <c r="E195" s="175">
        <f t="shared" ref="E195:E203" si="10">SUM(B195:C195)-D195</f>
        <v>146305.63</v>
      </c>
    </row>
    <row r="196" spans="1:8" ht="12.6" customHeight="1" x14ac:dyDescent="0.25">
      <c r="A196" s="173" t="s">
        <v>333</v>
      </c>
      <c r="B196" s="174">
        <v>1137603.42</v>
      </c>
      <c r="C196" s="189"/>
      <c r="D196" s="174"/>
      <c r="E196" s="175">
        <f t="shared" si="10"/>
        <v>1137603.42</v>
      </c>
    </row>
    <row r="197" spans="1:8" ht="12.6" customHeight="1" x14ac:dyDescent="0.25">
      <c r="A197" s="173" t="s">
        <v>334</v>
      </c>
      <c r="B197" s="174">
        <v>7458234.79</v>
      </c>
      <c r="C197" s="189">
        <v>306445.21000000002</v>
      </c>
      <c r="D197" s="174">
        <v>2658.95</v>
      </c>
      <c r="E197" s="175">
        <f t="shared" si="10"/>
        <v>7762021.0499999998</v>
      </c>
    </row>
    <row r="198" spans="1:8" ht="12.6" customHeight="1" x14ac:dyDescent="0.25">
      <c r="A198" s="173" t="s">
        <v>335</v>
      </c>
      <c r="B198" s="174">
        <v>3415291</v>
      </c>
      <c r="C198" s="189">
        <v>2253263.4500000002</v>
      </c>
      <c r="D198" s="174">
        <v>114835.06</v>
      </c>
      <c r="E198" s="175">
        <f t="shared" si="10"/>
        <v>5553719.3900000006</v>
      </c>
    </row>
    <row r="199" spans="1:8" ht="12.6" customHeight="1" x14ac:dyDescent="0.25">
      <c r="A199" s="173" t="s">
        <v>336</v>
      </c>
      <c r="B199" s="174">
        <v>230996.89</v>
      </c>
      <c r="C199" s="189">
        <v>105246.2</v>
      </c>
      <c r="D199" s="174">
        <v>14019.08</v>
      </c>
      <c r="E199" s="175">
        <f t="shared" si="10"/>
        <v>322224.01</v>
      </c>
    </row>
    <row r="200" spans="1:8" ht="12.6" customHeight="1" x14ac:dyDescent="0.25">
      <c r="A200" s="173" t="s">
        <v>337</v>
      </c>
      <c r="B200" s="174">
        <v>8089753.71</v>
      </c>
      <c r="C200" s="189">
        <f>288576.12+57050.5</f>
        <v>345626.62</v>
      </c>
      <c r="D200" s="174">
        <v>271349.57</v>
      </c>
      <c r="E200" s="175">
        <f t="shared" si="10"/>
        <v>8164030.7599999998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/>
      <c r="C202" s="189"/>
      <c r="D202" s="174"/>
      <c r="E202" s="175">
        <f t="shared" si="10"/>
        <v>0</v>
      </c>
    </row>
    <row r="203" spans="1:8" ht="12.6" customHeight="1" x14ac:dyDescent="0.25">
      <c r="A203" s="173" t="s">
        <v>340</v>
      </c>
      <c r="B203" s="174">
        <v>217254.59</v>
      </c>
      <c r="C203" s="189">
        <v>2536628.7799999998</v>
      </c>
      <c r="D203" s="174">
        <f>2722005.36+11565</f>
        <v>2733570.36</v>
      </c>
      <c r="E203" s="175">
        <f t="shared" si="10"/>
        <v>20313.009999999776</v>
      </c>
    </row>
    <row r="204" spans="1:8" ht="12.6" customHeight="1" x14ac:dyDescent="0.25">
      <c r="A204" s="173" t="s">
        <v>203</v>
      </c>
      <c r="B204" s="175">
        <f>SUM(B195:B203)</f>
        <v>20633440.030000001</v>
      </c>
      <c r="C204" s="191">
        <f>SUM(C195:C203)</f>
        <v>5609210.2599999998</v>
      </c>
      <c r="D204" s="175">
        <f>SUM(D195:D203)</f>
        <v>3136433.02</v>
      </c>
      <c r="E204" s="175">
        <f>SUM(E195:E203)</f>
        <v>23106217.269999996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8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8"/>
    </row>
    <row r="209" spans="1:8" ht="12.6" customHeight="1" x14ac:dyDescent="0.25">
      <c r="A209" s="173" t="s">
        <v>333</v>
      </c>
      <c r="B209" s="174">
        <v>639254.46</v>
      </c>
      <c r="C209" s="189">
        <v>91957.58</v>
      </c>
      <c r="D209" s="174"/>
      <c r="E209" s="175">
        <f t="shared" ref="E209:E216" si="11">SUM(B209:C209)-D209</f>
        <v>731212.03999999992</v>
      </c>
      <c r="H209" s="258"/>
    </row>
    <row r="210" spans="1:8" ht="12.6" customHeight="1" x14ac:dyDescent="0.25">
      <c r="A210" s="173" t="s">
        <v>334</v>
      </c>
      <c r="B210" s="174">
        <v>3709615.06</v>
      </c>
      <c r="C210" s="189">
        <v>275729.02299999999</v>
      </c>
      <c r="D210" s="174">
        <v>2658.95</v>
      </c>
      <c r="E210" s="175">
        <f t="shared" si="11"/>
        <v>3982685.1329999999</v>
      </c>
      <c r="H210" s="258"/>
    </row>
    <row r="211" spans="1:8" ht="12.6" customHeight="1" x14ac:dyDescent="0.25">
      <c r="A211" s="173" t="s">
        <v>335</v>
      </c>
      <c r="B211" s="174">
        <v>2303742.73</v>
      </c>
      <c r="C211" s="189">
        <v>133521.5</v>
      </c>
      <c r="D211" s="174">
        <v>114835.06</v>
      </c>
      <c r="E211" s="175">
        <f t="shared" si="11"/>
        <v>2322429.17</v>
      </c>
      <c r="H211" s="258"/>
    </row>
    <row r="212" spans="1:8" ht="12.6" customHeight="1" x14ac:dyDescent="0.25">
      <c r="A212" s="173" t="s">
        <v>336</v>
      </c>
      <c r="B212" s="174">
        <v>178007.4</v>
      </c>
      <c r="C212" s="189">
        <v>10725.48</v>
      </c>
      <c r="D212" s="174">
        <v>14019.08</v>
      </c>
      <c r="E212" s="175">
        <f t="shared" si="11"/>
        <v>174713.80000000002</v>
      </c>
      <c r="H212" s="258"/>
    </row>
    <row r="213" spans="1:8" ht="12.6" customHeight="1" x14ac:dyDescent="0.25">
      <c r="A213" s="173" t="s">
        <v>337</v>
      </c>
      <c r="B213" s="174">
        <v>5594452.9199999999</v>
      </c>
      <c r="C213" s="189">
        <v>633480.13</v>
      </c>
      <c r="D213" s="174">
        <v>262492.40999999997</v>
      </c>
      <c r="E213" s="175">
        <f t="shared" si="11"/>
        <v>5965440.6399999997</v>
      </c>
      <c r="H213" s="258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8"/>
    </row>
    <row r="215" spans="1:8" ht="12.6" customHeight="1" x14ac:dyDescent="0.25">
      <c r="A215" s="173" t="s">
        <v>339</v>
      </c>
      <c r="B215" s="174"/>
      <c r="C215" s="189"/>
      <c r="D215" s="174"/>
      <c r="E215" s="175">
        <f t="shared" si="11"/>
        <v>0</v>
      </c>
      <c r="H215" s="258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8"/>
    </row>
    <row r="217" spans="1:8" ht="12.6" customHeight="1" x14ac:dyDescent="0.25">
      <c r="A217" s="173" t="s">
        <v>203</v>
      </c>
      <c r="B217" s="175">
        <f>SUM(B208:B216)</f>
        <v>12425072.57</v>
      </c>
      <c r="C217" s="191">
        <f>SUM(C208:C216)</f>
        <v>1145413.713</v>
      </c>
      <c r="D217" s="175">
        <f>SUM(D208:D216)</f>
        <v>394005.5</v>
      </c>
      <c r="E217" s="175">
        <f>SUM(E208:E216)</f>
        <v>13176480.783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5" t="s">
        <v>1255</v>
      </c>
      <c r="C220" s="285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995689</v>
      </c>
      <c r="D221" s="172">
        <f>C221</f>
        <v>995689</v>
      </c>
      <c r="E221" s="208"/>
    </row>
    <row r="222" spans="1:8" ht="12.6" customHeight="1" x14ac:dyDescent="0.25">
      <c r="A222" s="256" t="s">
        <v>343</v>
      </c>
      <c r="B222" s="256"/>
      <c r="C222" s="256"/>
      <c r="D222" s="256"/>
      <c r="E222" s="256"/>
    </row>
    <row r="223" spans="1:8" ht="12.6" customHeight="1" x14ac:dyDescent="0.25">
      <c r="A223" s="173" t="s">
        <v>344</v>
      </c>
      <c r="B223" s="172" t="s">
        <v>256</v>
      </c>
      <c r="C223" s="189">
        <v>14671799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10369229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917244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769060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5126469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/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31853801</v>
      </c>
      <c r="E229" s="175"/>
    </row>
    <row r="230" spans="1:5" ht="12.6" customHeight="1" x14ac:dyDescent="0.25">
      <c r="A230" s="256" t="s">
        <v>351</v>
      </c>
      <c r="B230" s="256"/>
      <c r="C230" s="256"/>
      <c r="D230" s="256"/>
      <c r="E230" s="256"/>
    </row>
    <row r="231" spans="1:5" ht="12.6" customHeight="1" x14ac:dyDescent="0.25">
      <c r="A231" s="171" t="s">
        <v>352</v>
      </c>
      <c r="B231" s="172" t="s">
        <v>256</v>
      </c>
      <c r="C231" s="189">
        <v>427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118981.89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746678.37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865660.26</v>
      </c>
      <c r="E236" s="175"/>
    </row>
    <row r="237" spans="1:5" ht="12.6" customHeight="1" x14ac:dyDescent="0.25">
      <c r="A237" s="256" t="s">
        <v>356</v>
      </c>
      <c r="B237" s="256"/>
      <c r="C237" s="256"/>
      <c r="D237" s="256"/>
      <c r="E237" s="256"/>
    </row>
    <row r="238" spans="1:5" ht="12.6" customHeight="1" x14ac:dyDescent="0.25">
      <c r="A238" s="173" t="s">
        <v>357</v>
      </c>
      <c r="B238" s="172" t="s">
        <v>256</v>
      </c>
      <c r="C238" s="189">
        <v>316837.93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19135.669999999998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335973.6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34051123.859999999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6" t="s">
        <v>361</v>
      </c>
      <c r="B249" s="256"/>
      <c r="C249" s="256"/>
      <c r="D249" s="256"/>
      <c r="E249" s="256"/>
    </row>
    <row r="250" spans="1:5" ht="12.45" customHeight="1" x14ac:dyDescent="0.25">
      <c r="A250" s="173" t="s">
        <v>362</v>
      </c>
      <c r="B250" s="172" t="s">
        <v>256</v>
      </c>
      <c r="C250" s="189">
        <f>1733673-391871</f>
        <v>1341802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7674203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v>4288742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329850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670110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786695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361114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6875032</v>
      </c>
      <c r="E260" s="175"/>
    </row>
    <row r="261" spans="1:5" ht="11.25" customHeight="1" x14ac:dyDescent="0.25">
      <c r="A261" s="256" t="s">
        <v>372</v>
      </c>
      <c r="B261" s="256"/>
      <c r="C261" s="256"/>
      <c r="D261" s="256"/>
      <c r="E261" s="256"/>
    </row>
    <row r="262" spans="1:5" ht="12.45" customHeight="1" x14ac:dyDescent="0.25">
      <c r="A262" s="173" t="s">
        <v>362</v>
      </c>
      <c r="B262" s="172" t="s">
        <v>256</v>
      </c>
      <c r="C262" s="189">
        <v>2641279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2641279</v>
      </c>
      <c r="E265" s="175"/>
    </row>
    <row r="266" spans="1:5" ht="11.25" customHeight="1" x14ac:dyDescent="0.25">
      <c r="A266" s="256" t="s">
        <v>375</v>
      </c>
      <c r="B266" s="256"/>
      <c r="C266" s="256"/>
      <c r="D266" s="256"/>
      <c r="E266" s="256"/>
    </row>
    <row r="267" spans="1:5" ht="12.45" customHeight="1" x14ac:dyDescent="0.25">
      <c r="A267" s="173" t="s">
        <v>332</v>
      </c>
      <c r="B267" s="172" t="s">
        <v>256</v>
      </c>
      <c r="C267" s="189">
        <v>146306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1137604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7762021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5553720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322224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8164031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/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v>20313.009999999998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23106219.010000002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13176481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9929738.0100000016</v>
      </c>
      <c r="E277" s="175"/>
    </row>
    <row r="278" spans="1:5" ht="12.6" customHeight="1" x14ac:dyDescent="0.25">
      <c r="A278" s="256" t="s">
        <v>382</v>
      </c>
      <c r="B278" s="256"/>
      <c r="C278" s="256"/>
      <c r="D278" s="256"/>
      <c r="E278" s="256"/>
    </row>
    <row r="279" spans="1:5" ht="12.6" customHeight="1" x14ac:dyDescent="0.25">
      <c r="A279" s="173" t="s">
        <v>383</v>
      </c>
      <c r="B279" s="172" t="s">
        <v>256</v>
      </c>
      <c r="C279" s="189">
        <v>1558333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1217834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/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45327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385826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6" t="s">
        <v>387</v>
      </c>
      <c r="B285" s="256"/>
      <c r="C285" s="256"/>
      <c r="D285" s="256"/>
      <c r="E285" s="256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19831875.010000002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6" t="s">
        <v>395</v>
      </c>
      <c r="B303" s="256"/>
      <c r="C303" s="256"/>
      <c r="D303" s="256"/>
      <c r="E303" s="256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1122209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1605321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/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686332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24640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1131003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4569505</v>
      </c>
      <c r="E314" s="175"/>
    </row>
    <row r="315" spans="1:5" ht="12.6" customHeight="1" x14ac:dyDescent="0.25">
      <c r="A315" s="256" t="s">
        <v>406</v>
      </c>
      <c r="B315" s="256"/>
      <c r="C315" s="256"/>
      <c r="D315" s="256"/>
      <c r="E315" s="256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6" t="s">
        <v>411</v>
      </c>
      <c r="B320" s="256"/>
      <c r="C320" s="256"/>
      <c r="D320" s="256"/>
      <c r="E320" s="256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v>10147.129999999999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2467111.92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373179+3376000+2341734</f>
        <v>6090913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/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8568172.0500000007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1131003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7437169.0500000007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7998433-173232</f>
        <v>7825201</v>
      </c>
      <c r="D332" s="175"/>
      <c r="E332" s="175"/>
    </row>
    <row r="333" spans="1:5" ht="12.6" customHeight="1" x14ac:dyDescent="0.25">
      <c r="A333" s="173"/>
      <c r="B333" s="172"/>
      <c r="C333" s="231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19831875.050000001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19831875.010000002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6" t="s">
        <v>427</v>
      </c>
      <c r="B358" s="256"/>
      <c r="C358" s="256"/>
      <c r="D358" s="256"/>
      <c r="E358" s="256"/>
    </row>
    <row r="359" spans="1:5" ht="12.6" customHeight="1" x14ac:dyDescent="0.25">
      <c r="A359" s="173" t="s">
        <v>428</v>
      </c>
      <c r="B359" s="172" t="s">
        <v>256</v>
      </c>
      <c r="C359" s="189">
        <v>16969436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46094561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63063997</v>
      </c>
      <c r="E361" s="175"/>
    </row>
    <row r="362" spans="1:5" ht="12.6" customHeight="1" x14ac:dyDescent="0.25">
      <c r="A362" s="256" t="s">
        <v>431</v>
      </c>
      <c r="B362" s="256"/>
      <c r="C362" s="256"/>
      <c r="D362" s="256"/>
      <c r="E362" s="256"/>
    </row>
    <row r="363" spans="1:5" ht="12.6" customHeight="1" x14ac:dyDescent="0.25">
      <c r="A363" s="173" t="s">
        <v>1255</v>
      </c>
      <c r="B363" s="256"/>
      <c r="C363" s="189">
        <v>995689</v>
      </c>
      <c r="D363" s="175"/>
      <c r="E363" s="256"/>
    </row>
    <row r="364" spans="1:5" ht="12.6" customHeight="1" x14ac:dyDescent="0.25">
      <c r="A364" s="173" t="s">
        <v>432</v>
      </c>
      <c r="B364" s="172" t="s">
        <v>256</v>
      </c>
      <c r="C364" s="189">
        <v>31853801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865660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335974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34051124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29012873</v>
      </c>
      <c r="E368" s="175"/>
    </row>
    <row r="369" spans="1:5" ht="12.6" customHeight="1" x14ac:dyDescent="0.25">
      <c r="A369" s="256" t="s">
        <v>436</v>
      </c>
      <c r="B369" s="256"/>
      <c r="C369" s="256"/>
      <c r="D369" s="256"/>
      <c r="E369" s="256"/>
    </row>
    <row r="370" spans="1:5" ht="12.6" customHeight="1" x14ac:dyDescent="0.25">
      <c r="A370" s="173" t="s">
        <v>437</v>
      </c>
      <c r="B370" s="172" t="s">
        <v>256</v>
      </c>
      <c r="C370" s="189">
        <v>430393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1023836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1454229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30467102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6" t="s">
        <v>441</v>
      </c>
      <c r="B377" s="256"/>
      <c r="C377" s="256"/>
      <c r="D377" s="256"/>
      <c r="E377" s="256"/>
    </row>
    <row r="378" spans="1:5" ht="12.6" customHeight="1" x14ac:dyDescent="0.25">
      <c r="A378" s="173" t="s">
        <v>442</v>
      </c>
      <c r="B378" s="172" t="s">
        <v>256</v>
      </c>
      <c r="C378" s="189">
        <v>15144901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3740283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3433651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3866148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421800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1987867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1145046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369739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472908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173943.7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326656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502992-173944</f>
        <v>329048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31411990.699999999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-944888.69999999925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478208-171310+151-733+2330+86178</f>
        <v>394824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-550064.69999999925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-550064.69999999925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59"/>
    </row>
    <row r="412" spans="1:5" ht="12.6" customHeight="1" x14ac:dyDescent="0.25">
      <c r="A412" s="179" t="str">
        <f>C84&amp;"   "&amp;"H-"&amp;FIXED(C83,0,TRUE)&amp;"     FYE "&amp;C82</f>
        <v>Mid Valley Hospital   H-0     FYE 12/31/2017</v>
      </c>
      <c r="B412" s="179"/>
      <c r="C412" s="179"/>
      <c r="D412" s="179"/>
      <c r="E412" s="259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817</v>
      </c>
      <c r="C414" s="194">
        <f>E138</f>
        <v>817</v>
      </c>
      <c r="D414" s="179"/>
    </row>
    <row r="415" spans="1:5" ht="12.6" customHeight="1" x14ac:dyDescent="0.25">
      <c r="A415" s="179" t="s">
        <v>464</v>
      </c>
      <c r="B415" s="179">
        <f>D111</f>
        <v>2072</v>
      </c>
      <c r="C415" s="179">
        <f>E139</f>
        <v>2072</v>
      </c>
      <c r="D415" s="194">
        <f>SUM(C59:H59)+N59</f>
        <v>2072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11</v>
      </c>
      <c r="C417" s="194">
        <f>E144</f>
        <v>11</v>
      </c>
      <c r="D417" s="179"/>
    </row>
    <row r="418" spans="1:7" ht="12.6" customHeight="1" x14ac:dyDescent="0.25">
      <c r="A418" s="179" t="s">
        <v>466</v>
      </c>
      <c r="B418" s="179">
        <f>D112</f>
        <v>41</v>
      </c>
      <c r="C418" s="179">
        <f>E145</f>
        <v>41</v>
      </c>
      <c r="D418" s="179">
        <f>K59+L59</f>
        <v>41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229</v>
      </c>
    </row>
    <row r="424" spans="1:7" ht="12.6" customHeight="1" x14ac:dyDescent="0.25">
      <c r="A424" s="179" t="s">
        <v>1244</v>
      </c>
      <c r="B424" s="179">
        <f>D114</f>
        <v>373</v>
      </c>
      <c r="D424" s="179">
        <f>J59</f>
        <v>373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15144901</v>
      </c>
      <c r="C427" s="179">
        <f t="shared" ref="C427:C434" si="13">CE61</f>
        <v>15144901</v>
      </c>
      <c r="D427" s="179"/>
    </row>
    <row r="428" spans="1:7" ht="12.6" customHeight="1" x14ac:dyDescent="0.25">
      <c r="A428" s="179" t="s">
        <v>3</v>
      </c>
      <c r="B428" s="179">
        <f t="shared" si="12"/>
        <v>3740283</v>
      </c>
      <c r="C428" s="179">
        <f t="shared" si="13"/>
        <v>3740284</v>
      </c>
      <c r="D428" s="179">
        <f>D173</f>
        <v>3737345.5599999996</v>
      </c>
    </row>
    <row r="429" spans="1:7" ht="12.6" customHeight="1" x14ac:dyDescent="0.25">
      <c r="A429" s="179" t="s">
        <v>236</v>
      </c>
      <c r="B429" s="179">
        <f t="shared" si="12"/>
        <v>3433651</v>
      </c>
      <c r="C429" s="179">
        <f t="shared" si="13"/>
        <v>3433653</v>
      </c>
      <c r="D429" s="179"/>
    </row>
    <row r="430" spans="1:7" ht="12.6" customHeight="1" x14ac:dyDescent="0.25">
      <c r="A430" s="179" t="s">
        <v>237</v>
      </c>
      <c r="B430" s="179">
        <f t="shared" si="12"/>
        <v>3866148</v>
      </c>
      <c r="C430" s="179">
        <f t="shared" si="13"/>
        <v>3866149</v>
      </c>
      <c r="D430" s="179"/>
    </row>
    <row r="431" spans="1:7" ht="12.6" customHeight="1" x14ac:dyDescent="0.25">
      <c r="A431" s="179" t="s">
        <v>444</v>
      </c>
      <c r="B431" s="179">
        <f t="shared" si="12"/>
        <v>421800</v>
      </c>
      <c r="C431" s="179">
        <f t="shared" si="13"/>
        <v>421800</v>
      </c>
      <c r="D431" s="179"/>
    </row>
    <row r="432" spans="1:7" ht="12.6" customHeight="1" x14ac:dyDescent="0.25">
      <c r="A432" s="179" t="s">
        <v>445</v>
      </c>
      <c r="B432" s="179">
        <f t="shared" si="12"/>
        <v>1987867</v>
      </c>
      <c r="C432" s="179">
        <f t="shared" si="13"/>
        <v>1987868</v>
      </c>
      <c r="D432" s="179"/>
    </row>
    <row r="433" spans="1:7" ht="12.6" customHeight="1" x14ac:dyDescent="0.25">
      <c r="A433" s="179" t="s">
        <v>6</v>
      </c>
      <c r="B433" s="179">
        <f t="shared" si="12"/>
        <v>1145046</v>
      </c>
      <c r="C433" s="179">
        <f t="shared" si="13"/>
        <v>1145047</v>
      </c>
      <c r="D433" s="179">
        <f>C217</f>
        <v>1145413.713</v>
      </c>
    </row>
    <row r="434" spans="1:7" ht="12.6" customHeight="1" x14ac:dyDescent="0.25">
      <c r="A434" s="179" t="s">
        <v>474</v>
      </c>
      <c r="B434" s="179">
        <f t="shared" si="12"/>
        <v>369739</v>
      </c>
      <c r="C434" s="179">
        <f t="shared" si="13"/>
        <v>369741</v>
      </c>
      <c r="D434" s="179">
        <f>D177</f>
        <v>369738.79</v>
      </c>
    </row>
    <row r="435" spans="1:7" ht="12.6" customHeight="1" x14ac:dyDescent="0.25">
      <c r="A435" s="179" t="s">
        <v>447</v>
      </c>
      <c r="B435" s="179">
        <f t="shared" si="12"/>
        <v>472908</v>
      </c>
      <c r="C435" s="179"/>
      <c r="D435" s="179">
        <f>D181</f>
        <v>472908.18</v>
      </c>
    </row>
    <row r="436" spans="1:7" ht="12.6" customHeight="1" x14ac:dyDescent="0.25">
      <c r="A436" s="179" t="s">
        <v>475</v>
      </c>
      <c r="B436" s="179">
        <f t="shared" si="12"/>
        <v>173943.7</v>
      </c>
      <c r="C436" s="179"/>
      <c r="D436" s="179">
        <f>D186</f>
        <v>173943.7</v>
      </c>
    </row>
    <row r="437" spans="1:7" ht="12.6" customHeight="1" x14ac:dyDescent="0.25">
      <c r="A437" s="194" t="s">
        <v>449</v>
      </c>
      <c r="B437" s="194">
        <f t="shared" si="12"/>
        <v>326656</v>
      </c>
      <c r="C437" s="194"/>
      <c r="D437" s="194">
        <f>D190</f>
        <v>326656.44</v>
      </c>
    </row>
    <row r="438" spans="1:7" ht="12.6" customHeight="1" x14ac:dyDescent="0.25">
      <c r="A438" s="194" t="s">
        <v>476</v>
      </c>
      <c r="B438" s="194">
        <f>C386+C387+C388</f>
        <v>973507.7</v>
      </c>
      <c r="C438" s="194">
        <f>CD69</f>
        <v>973508.32000000007</v>
      </c>
      <c r="D438" s="194">
        <f>D181+D186+D190</f>
        <v>973508.32000000007</v>
      </c>
    </row>
    <row r="439" spans="1:7" ht="12.6" customHeight="1" x14ac:dyDescent="0.25">
      <c r="A439" s="179" t="s">
        <v>451</v>
      </c>
      <c r="B439" s="194">
        <f>C389</f>
        <v>329048</v>
      </c>
      <c r="C439" s="194">
        <f>SUM(C69:CC69)</f>
        <v>329048.17999999993</v>
      </c>
      <c r="D439" s="179"/>
    </row>
    <row r="440" spans="1:7" ht="12.6" customHeight="1" x14ac:dyDescent="0.25">
      <c r="A440" s="179" t="s">
        <v>477</v>
      </c>
      <c r="B440" s="194">
        <f>B438+B439</f>
        <v>1302555.7</v>
      </c>
      <c r="C440" s="194">
        <f>CE69</f>
        <v>1302556.5</v>
      </c>
      <c r="D440" s="179"/>
    </row>
    <row r="441" spans="1:7" ht="12.6" customHeight="1" x14ac:dyDescent="0.25">
      <c r="A441" s="179" t="s">
        <v>478</v>
      </c>
      <c r="B441" s="179">
        <f>D390</f>
        <v>31411990.699999999</v>
      </c>
      <c r="C441" s="179">
        <f>SUM(C427:C437)+C440</f>
        <v>31411999.5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995689</v>
      </c>
      <c r="C444" s="179">
        <f>C363</f>
        <v>995689</v>
      </c>
      <c r="D444" s="179"/>
    </row>
    <row r="445" spans="1:7" ht="12.6" customHeight="1" x14ac:dyDescent="0.25">
      <c r="A445" s="179" t="s">
        <v>343</v>
      </c>
      <c r="B445" s="179">
        <f>D229</f>
        <v>31853801</v>
      </c>
      <c r="C445" s="179">
        <f>C364</f>
        <v>31853801</v>
      </c>
      <c r="D445" s="179"/>
    </row>
    <row r="446" spans="1:7" ht="12.6" customHeight="1" x14ac:dyDescent="0.25">
      <c r="A446" s="179" t="s">
        <v>351</v>
      </c>
      <c r="B446" s="179">
        <f>D236</f>
        <v>865660.26</v>
      </c>
      <c r="C446" s="179">
        <f>C365</f>
        <v>865660</v>
      </c>
      <c r="D446" s="179"/>
    </row>
    <row r="447" spans="1:7" ht="12.6" customHeight="1" x14ac:dyDescent="0.25">
      <c r="A447" s="179" t="s">
        <v>356</v>
      </c>
      <c r="B447" s="179">
        <f>D240</f>
        <v>335973.6</v>
      </c>
      <c r="C447" s="179">
        <f>C366</f>
        <v>335974</v>
      </c>
      <c r="D447" s="179"/>
    </row>
    <row r="448" spans="1:7" ht="12.6" customHeight="1" x14ac:dyDescent="0.25">
      <c r="A448" s="179" t="s">
        <v>358</v>
      </c>
      <c r="B448" s="179">
        <f>D242</f>
        <v>34051123.859999999</v>
      </c>
      <c r="C448" s="179">
        <f>D367</f>
        <v>34051124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427</v>
      </c>
    </row>
    <row r="454" spans="1:7" ht="12.6" customHeight="1" x14ac:dyDescent="0.25">
      <c r="A454" s="179" t="s">
        <v>168</v>
      </c>
      <c r="B454" s="179">
        <f>C233</f>
        <v>118981.89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746678.37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430393</v>
      </c>
      <c r="C458" s="194">
        <f>CE70</f>
        <v>430392.62999999995</v>
      </c>
      <c r="D458" s="194"/>
    </row>
    <row r="459" spans="1:7" ht="12.6" customHeight="1" x14ac:dyDescent="0.25">
      <c r="A459" s="179" t="s">
        <v>244</v>
      </c>
      <c r="B459" s="194">
        <f>C371</f>
        <v>1023836</v>
      </c>
      <c r="C459" s="194">
        <f>CE72</f>
        <v>1023836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16969436</v>
      </c>
      <c r="C463" s="194">
        <f>CE73</f>
        <v>16969438</v>
      </c>
      <c r="D463" s="194">
        <f>E141+E147+E153</f>
        <v>17018143</v>
      </c>
    </row>
    <row r="464" spans="1:7" ht="12.6" customHeight="1" x14ac:dyDescent="0.25">
      <c r="A464" s="179" t="s">
        <v>246</v>
      </c>
      <c r="B464" s="194">
        <f>C360</f>
        <v>46094561</v>
      </c>
      <c r="C464" s="194">
        <f>CE74</f>
        <v>46094561</v>
      </c>
      <c r="D464" s="194">
        <f>E142+E148+E154</f>
        <v>46094561</v>
      </c>
    </row>
    <row r="465" spans="1:7" ht="12.6" customHeight="1" x14ac:dyDescent="0.25">
      <c r="A465" s="179" t="s">
        <v>247</v>
      </c>
      <c r="B465" s="194">
        <f>D361</f>
        <v>63063997</v>
      </c>
      <c r="C465" s="194">
        <f>CE75</f>
        <v>63063999</v>
      </c>
      <c r="D465" s="194">
        <f>D463+D464</f>
        <v>63112704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146306</v>
      </c>
      <c r="C468" s="179">
        <f>E195</f>
        <v>146305.63</v>
      </c>
      <c r="D468" s="179"/>
    </row>
    <row r="469" spans="1:7" ht="12.6" customHeight="1" x14ac:dyDescent="0.25">
      <c r="A469" s="179" t="s">
        <v>333</v>
      </c>
      <c r="B469" s="179">
        <f t="shared" si="14"/>
        <v>1137604</v>
      </c>
      <c r="C469" s="179">
        <f>E196</f>
        <v>1137603.42</v>
      </c>
      <c r="D469" s="179"/>
    </row>
    <row r="470" spans="1:7" ht="12.6" customHeight="1" x14ac:dyDescent="0.25">
      <c r="A470" s="179" t="s">
        <v>334</v>
      </c>
      <c r="B470" s="179">
        <f t="shared" si="14"/>
        <v>7762021</v>
      </c>
      <c r="C470" s="179">
        <f>E197</f>
        <v>7762021.0499999998</v>
      </c>
      <c r="D470" s="179"/>
    </row>
    <row r="471" spans="1:7" ht="12.6" customHeight="1" x14ac:dyDescent="0.25">
      <c r="A471" s="179" t="s">
        <v>494</v>
      </c>
      <c r="B471" s="179">
        <f t="shared" si="14"/>
        <v>5553720</v>
      </c>
      <c r="C471" s="179">
        <f>E198</f>
        <v>5553719.3900000006</v>
      </c>
      <c r="D471" s="179"/>
    </row>
    <row r="472" spans="1:7" ht="12.6" customHeight="1" x14ac:dyDescent="0.25">
      <c r="A472" s="179" t="s">
        <v>377</v>
      </c>
      <c r="B472" s="179">
        <f t="shared" si="14"/>
        <v>322224</v>
      </c>
      <c r="C472" s="179">
        <f>E199</f>
        <v>322224.01</v>
      </c>
      <c r="D472" s="179"/>
    </row>
    <row r="473" spans="1:7" ht="12.6" customHeight="1" x14ac:dyDescent="0.25">
      <c r="A473" s="179" t="s">
        <v>495</v>
      </c>
      <c r="B473" s="179">
        <f t="shared" si="14"/>
        <v>8164031</v>
      </c>
      <c r="C473" s="179">
        <f>SUM(E200:E201)</f>
        <v>8164030.7599999998</v>
      </c>
      <c r="D473" s="179"/>
    </row>
    <row r="474" spans="1:7" ht="12.6" customHeight="1" x14ac:dyDescent="0.25">
      <c r="A474" s="179" t="s">
        <v>339</v>
      </c>
      <c r="B474" s="179">
        <f t="shared" si="14"/>
        <v>0</v>
      </c>
      <c r="C474" s="179">
        <f>E202</f>
        <v>0</v>
      </c>
      <c r="D474" s="179"/>
    </row>
    <row r="475" spans="1:7" ht="12.6" customHeight="1" x14ac:dyDescent="0.25">
      <c r="A475" s="179" t="s">
        <v>340</v>
      </c>
      <c r="B475" s="179">
        <f t="shared" si="14"/>
        <v>20313.009999999998</v>
      </c>
      <c r="C475" s="179">
        <f>E203</f>
        <v>20313.009999999776</v>
      </c>
      <c r="D475" s="179"/>
    </row>
    <row r="476" spans="1:7" ht="12.6" customHeight="1" x14ac:dyDescent="0.25">
      <c r="A476" s="179" t="s">
        <v>203</v>
      </c>
      <c r="B476" s="179">
        <f>D275</f>
        <v>23106219.010000002</v>
      </c>
      <c r="C476" s="179">
        <f>E204</f>
        <v>23106217.269999996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13176481</v>
      </c>
      <c r="C478" s="179">
        <f>E217</f>
        <v>13176480.783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19831875.010000002</v>
      </c>
    </row>
    <row r="482" spans="1:12" ht="12.6" customHeight="1" x14ac:dyDescent="0.25">
      <c r="A482" s="180" t="s">
        <v>499</v>
      </c>
      <c r="C482" s="180">
        <f>D339</f>
        <v>19831875.050000001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Mid Valley Hospital   H-0     FYE 12/31/2017</v>
      </c>
      <c r="B493" s="260" t="s">
        <v>1266</v>
      </c>
      <c r="C493" s="260" t="str">
        <f>RIGHT(C82,4)</f>
        <v>2017</v>
      </c>
      <c r="D493" s="260" t="s">
        <v>1266</v>
      </c>
      <c r="E493" s="260" t="str">
        <f>RIGHT(C82,4)</f>
        <v>2017</v>
      </c>
      <c r="F493" s="260" t="s">
        <v>1266</v>
      </c>
      <c r="G493" s="260" t="str">
        <f>RIGHT(C82,4)</f>
        <v>2017</v>
      </c>
      <c r="H493" s="260"/>
      <c r="K493" s="260"/>
      <c r="L493" s="260"/>
    </row>
    <row r="494" spans="1:12" ht="12.6" customHeight="1" x14ac:dyDescent="0.25">
      <c r="A494" s="198"/>
      <c r="B494" s="181" t="s">
        <v>505</v>
      </c>
      <c r="C494" s="181" t="s">
        <v>505</v>
      </c>
      <c r="D494" s="261" t="s">
        <v>506</v>
      </c>
      <c r="E494" s="261" t="s">
        <v>506</v>
      </c>
      <c r="F494" s="260" t="s">
        <v>507</v>
      </c>
      <c r="G494" s="260" t="s">
        <v>507</v>
      </c>
      <c r="H494" s="260" t="s">
        <v>508</v>
      </c>
      <c r="K494" s="260"/>
      <c r="L494" s="260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0" t="s">
        <v>510</v>
      </c>
      <c r="G495" s="260" t="s">
        <v>510</v>
      </c>
      <c r="H495" s="260" t="s">
        <v>511</v>
      </c>
      <c r="K495" s="260"/>
      <c r="L495" s="260"/>
    </row>
    <row r="496" spans="1:12" ht="12.6" customHeight="1" x14ac:dyDescent="0.25">
      <c r="A496" s="180" t="s">
        <v>512</v>
      </c>
      <c r="B496" s="239">
        <v>341797.98</v>
      </c>
      <c r="C496" s="239">
        <f>C71</f>
        <v>21593</v>
      </c>
      <c r="D496" s="239">
        <v>37</v>
      </c>
      <c r="E496" s="180">
        <f>C59</f>
        <v>0</v>
      </c>
      <c r="F496" s="262">
        <f t="shared" ref="F496:G511" si="15">IF(B496=0,"",IF(D496=0,"",B496/D496))</f>
        <v>9237.7832432432424</v>
      </c>
      <c r="G496" s="263" t="str">
        <f t="shared" si="15"/>
        <v/>
      </c>
      <c r="H496" s="264" t="str">
        <f>IF(B496=0,"",IF(C496=0,"",IF(D496=0,"",IF(E496=0,"",IF(G496/F496-1&lt;-0.25,G496/F496-1,IF(G496/F496-1&gt;0.25,G496/F496-1,""))))))</f>
        <v/>
      </c>
      <c r="I496" s="266"/>
      <c r="K496" s="260"/>
      <c r="L496" s="260"/>
    </row>
    <row r="497" spans="1:12" ht="12.6" customHeight="1" x14ac:dyDescent="0.25">
      <c r="A497" s="180" t="s">
        <v>513</v>
      </c>
      <c r="B497" s="239">
        <v>0</v>
      </c>
      <c r="C497" s="239">
        <f>D71</f>
        <v>0</v>
      </c>
      <c r="D497" s="239">
        <v>0</v>
      </c>
      <c r="E497" s="180">
        <f>D59</f>
        <v>0</v>
      </c>
      <c r="F497" s="262" t="str">
        <f t="shared" si="15"/>
        <v/>
      </c>
      <c r="G497" s="262" t="str">
        <f t="shared" si="15"/>
        <v/>
      </c>
      <c r="H497" s="264" t="str">
        <f t="shared" ref="H497:H550" si="16">IF(B497=0,"",IF(C497=0,"",IF(D497=0,"",IF(E497=0,"",IF(G497/F497-1&lt;-0.25,G497/F497-1,IF(G497/F497-1&gt;0.25,G497/F497-1,""))))))</f>
        <v/>
      </c>
      <c r="I497" s="266"/>
      <c r="K497" s="260"/>
      <c r="L497" s="260"/>
    </row>
    <row r="498" spans="1:12" ht="12.6" customHeight="1" x14ac:dyDescent="0.25">
      <c r="A498" s="180" t="s">
        <v>514</v>
      </c>
      <c r="B498" s="239">
        <v>3150069</v>
      </c>
      <c r="C498" s="239">
        <f>E71</f>
        <v>3358147.02</v>
      </c>
      <c r="D498" s="239">
        <v>1976</v>
      </c>
      <c r="E498" s="180">
        <f>E59</f>
        <v>2072</v>
      </c>
      <c r="F498" s="262">
        <f t="shared" si="15"/>
        <v>1594.1644736842106</v>
      </c>
      <c r="G498" s="262">
        <f t="shared" si="15"/>
        <v>1620.7273262548263</v>
      </c>
      <c r="H498" s="264" t="str">
        <f t="shared" si="16"/>
        <v/>
      </c>
      <c r="I498" s="266"/>
      <c r="K498" s="260"/>
      <c r="L498" s="260"/>
    </row>
    <row r="499" spans="1:12" ht="12.6" customHeight="1" x14ac:dyDescent="0.25">
      <c r="A499" s="180" t="s">
        <v>515</v>
      </c>
      <c r="B499" s="239">
        <v>0</v>
      </c>
      <c r="C499" s="239">
        <f>F71</f>
        <v>0</v>
      </c>
      <c r="D499" s="239">
        <v>0</v>
      </c>
      <c r="E499" s="180">
        <f>F59</f>
        <v>0</v>
      </c>
      <c r="F499" s="262" t="str">
        <f t="shared" si="15"/>
        <v/>
      </c>
      <c r="G499" s="262" t="str">
        <f t="shared" si="15"/>
        <v/>
      </c>
      <c r="H499" s="264" t="str">
        <f t="shared" si="16"/>
        <v/>
      </c>
      <c r="I499" s="266"/>
      <c r="K499" s="260"/>
      <c r="L499" s="260"/>
    </row>
    <row r="500" spans="1:12" ht="12.6" customHeight="1" x14ac:dyDescent="0.25">
      <c r="A500" s="180" t="s">
        <v>516</v>
      </c>
      <c r="B500" s="239">
        <v>0</v>
      </c>
      <c r="C500" s="239">
        <f>G71</f>
        <v>0</v>
      </c>
      <c r="D500" s="239">
        <v>0</v>
      </c>
      <c r="E500" s="180">
        <f>G59</f>
        <v>0</v>
      </c>
      <c r="F500" s="262" t="str">
        <f t="shared" si="15"/>
        <v/>
      </c>
      <c r="G500" s="262" t="str">
        <f t="shared" si="15"/>
        <v/>
      </c>
      <c r="H500" s="264" t="str">
        <f t="shared" si="16"/>
        <v/>
      </c>
      <c r="I500" s="266"/>
      <c r="K500" s="260"/>
      <c r="L500" s="260"/>
    </row>
    <row r="501" spans="1:12" ht="12.6" customHeight="1" x14ac:dyDescent="0.25">
      <c r="A501" s="180" t="s">
        <v>517</v>
      </c>
      <c r="B501" s="239">
        <v>0</v>
      </c>
      <c r="C501" s="239">
        <f>H71</f>
        <v>0</v>
      </c>
      <c r="D501" s="239">
        <v>0</v>
      </c>
      <c r="E501" s="180">
        <f>H59</f>
        <v>0</v>
      </c>
      <c r="F501" s="262" t="str">
        <f t="shared" si="15"/>
        <v/>
      </c>
      <c r="G501" s="262" t="str">
        <f t="shared" si="15"/>
        <v/>
      </c>
      <c r="H501" s="264" t="str">
        <f t="shared" si="16"/>
        <v/>
      </c>
      <c r="I501" s="266"/>
      <c r="K501" s="260"/>
      <c r="L501" s="260"/>
    </row>
    <row r="502" spans="1:12" ht="12.6" customHeight="1" x14ac:dyDescent="0.25">
      <c r="A502" s="180" t="s">
        <v>518</v>
      </c>
      <c r="B502" s="239">
        <v>0</v>
      </c>
      <c r="C502" s="239">
        <f>I71</f>
        <v>0</v>
      </c>
      <c r="D502" s="239">
        <v>0</v>
      </c>
      <c r="E502" s="180">
        <f>I59</f>
        <v>0</v>
      </c>
      <c r="F502" s="262" t="str">
        <f t="shared" si="15"/>
        <v/>
      </c>
      <c r="G502" s="262" t="str">
        <f t="shared" si="15"/>
        <v/>
      </c>
      <c r="H502" s="264" t="str">
        <f t="shared" si="16"/>
        <v/>
      </c>
      <c r="I502" s="266"/>
      <c r="K502" s="260"/>
      <c r="L502" s="260"/>
    </row>
    <row r="503" spans="1:12" ht="12.6" customHeight="1" x14ac:dyDescent="0.25">
      <c r="A503" s="180" t="s">
        <v>519</v>
      </c>
      <c r="B503" s="239">
        <v>854</v>
      </c>
      <c r="C503" s="239">
        <f>J71</f>
        <v>1116</v>
      </c>
      <c r="D503" s="239">
        <v>358</v>
      </c>
      <c r="E503" s="180">
        <f>J59</f>
        <v>373</v>
      </c>
      <c r="F503" s="262">
        <f t="shared" si="15"/>
        <v>2.3854748603351954</v>
      </c>
      <c r="G503" s="262">
        <f t="shared" si="15"/>
        <v>2.991957104557641</v>
      </c>
      <c r="H503" s="264">
        <f t="shared" si="16"/>
        <v>0.25423962931104871</v>
      </c>
      <c r="I503" s="266" t="s">
        <v>1279</v>
      </c>
      <c r="K503" s="260"/>
      <c r="L503" s="260"/>
    </row>
    <row r="504" spans="1:12" ht="12.6" customHeight="1" x14ac:dyDescent="0.25">
      <c r="A504" s="180" t="s">
        <v>520</v>
      </c>
      <c r="B504" s="239">
        <v>0</v>
      </c>
      <c r="C504" s="239">
        <f>K71</f>
        <v>0</v>
      </c>
      <c r="D504" s="239">
        <v>0</v>
      </c>
      <c r="E504" s="180">
        <f>K59</f>
        <v>0</v>
      </c>
      <c r="F504" s="262" t="str">
        <f t="shared" si="15"/>
        <v/>
      </c>
      <c r="G504" s="262" t="str">
        <f t="shared" si="15"/>
        <v/>
      </c>
      <c r="H504" s="264" t="str">
        <f t="shared" si="16"/>
        <v/>
      </c>
      <c r="I504" s="266"/>
      <c r="K504" s="260"/>
      <c r="L504" s="260"/>
    </row>
    <row r="505" spans="1:12" ht="12.6" customHeight="1" x14ac:dyDescent="0.25">
      <c r="A505" s="180" t="s">
        <v>521</v>
      </c>
      <c r="B505" s="239">
        <v>54066</v>
      </c>
      <c r="C505" s="239">
        <f>L71</f>
        <v>50161</v>
      </c>
      <c r="D505" s="239">
        <v>45</v>
      </c>
      <c r="E505" s="180">
        <f>L59</f>
        <v>41</v>
      </c>
      <c r="F505" s="262">
        <f t="shared" si="15"/>
        <v>1201.4666666666667</v>
      </c>
      <c r="G505" s="262">
        <f t="shared" si="15"/>
        <v>1223.439024390244</v>
      </c>
      <c r="H505" s="264" t="str">
        <f t="shared" si="16"/>
        <v/>
      </c>
      <c r="I505" s="266"/>
      <c r="K505" s="260"/>
      <c r="L505" s="260"/>
    </row>
    <row r="506" spans="1:12" ht="12.6" customHeight="1" x14ac:dyDescent="0.25">
      <c r="A506" s="180" t="s">
        <v>522</v>
      </c>
      <c r="B506" s="239">
        <v>0</v>
      </c>
      <c r="C506" s="239">
        <f>M71</f>
        <v>0</v>
      </c>
      <c r="D506" s="239">
        <v>0</v>
      </c>
      <c r="E506" s="180">
        <f>M59</f>
        <v>0</v>
      </c>
      <c r="F506" s="262" t="str">
        <f t="shared" si="15"/>
        <v/>
      </c>
      <c r="G506" s="262" t="str">
        <f t="shared" si="15"/>
        <v/>
      </c>
      <c r="H506" s="264" t="str">
        <f t="shared" si="16"/>
        <v/>
      </c>
      <c r="I506" s="266"/>
      <c r="K506" s="260"/>
      <c r="L506" s="260"/>
    </row>
    <row r="507" spans="1:12" ht="12.6" customHeight="1" x14ac:dyDescent="0.25">
      <c r="A507" s="180" t="s">
        <v>523</v>
      </c>
      <c r="B507" s="239">
        <v>0</v>
      </c>
      <c r="C507" s="239">
        <f>N71</f>
        <v>0</v>
      </c>
      <c r="D507" s="239">
        <v>0</v>
      </c>
      <c r="E507" s="180">
        <f>N59</f>
        <v>0</v>
      </c>
      <c r="F507" s="262" t="str">
        <f t="shared" si="15"/>
        <v/>
      </c>
      <c r="G507" s="262" t="str">
        <f t="shared" si="15"/>
        <v/>
      </c>
      <c r="H507" s="264" t="str">
        <f t="shared" si="16"/>
        <v/>
      </c>
      <c r="I507" s="266"/>
      <c r="K507" s="260"/>
      <c r="L507" s="260"/>
    </row>
    <row r="508" spans="1:12" ht="12.6" customHeight="1" x14ac:dyDescent="0.25">
      <c r="A508" s="180" t="s">
        <v>524</v>
      </c>
      <c r="B508" s="239">
        <v>1061452.49</v>
      </c>
      <c r="C508" s="239">
        <f>O71</f>
        <v>1150827.3899999999</v>
      </c>
      <c r="D508" s="239">
        <v>227</v>
      </c>
      <c r="E508" s="180">
        <f>O59</f>
        <v>229</v>
      </c>
      <c r="F508" s="262">
        <f t="shared" si="15"/>
        <v>4676.0021585903087</v>
      </c>
      <c r="G508" s="262">
        <f t="shared" si="15"/>
        <v>5025.4471179039301</v>
      </c>
      <c r="H508" s="264" t="str">
        <f t="shared" si="16"/>
        <v/>
      </c>
      <c r="I508" s="266"/>
      <c r="K508" s="260"/>
      <c r="L508" s="260"/>
    </row>
    <row r="509" spans="1:12" ht="12.6" customHeight="1" x14ac:dyDescent="0.25">
      <c r="A509" s="180" t="s">
        <v>525</v>
      </c>
      <c r="B509" s="239">
        <v>1769709.48</v>
      </c>
      <c r="C509" s="239">
        <f>P71</f>
        <v>1401020.66</v>
      </c>
      <c r="D509" s="239">
        <v>134416</v>
      </c>
      <c r="E509" s="180">
        <f>P59</f>
        <v>122028</v>
      </c>
      <c r="F509" s="262">
        <f t="shared" si="15"/>
        <v>13.165913879300083</v>
      </c>
      <c r="G509" s="262">
        <f t="shared" si="15"/>
        <v>11.481140885698364</v>
      </c>
      <c r="H509" s="264" t="str">
        <f t="shared" si="16"/>
        <v/>
      </c>
      <c r="I509" s="266"/>
      <c r="K509" s="260"/>
      <c r="L509" s="260"/>
    </row>
    <row r="510" spans="1:12" ht="12.6" customHeight="1" x14ac:dyDescent="0.25">
      <c r="A510" s="180" t="s">
        <v>526</v>
      </c>
      <c r="B510" s="239">
        <v>568784.37</v>
      </c>
      <c r="C510" s="239">
        <f>Q71</f>
        <v>560044</v>
      </c>
      <c r="D510" s="239">
        <v>114431</v>
      </c>
      <c r="E510" s="180">
        <f>Q59</f>
        <v>120673</v>
      </c>
      <c r="F510" s="262">
        <f t="shared" si="15"/>
        <v>4.9705444328896888</v>
      </c>
      <c r="G510" s="262">
        <f t="shared" si="15"/>
        <v>4.6410050301227281</v>
      </c>
      <c r="H510" s="264" t="str">
        <f t="shared" si="16"/>
        <v/>
      </c>
      <c r="I510" s="266"/>
      <c r="K510" s="260"/>
      <c r="L510" s="260"/>
    </row>
    <row r="511" spans="1:12" ht="12.6" customHeight="1" x14ac:dyDescent="0.25">
      <c r="A511" s="180" t="s">
        <v>527</v>
      </c>
      <c r="B511" s="239">
        <v>789725.5</v>
      </c>
      <c r="C511" s="239">
        <f>R71</f>
        <v>805335</v>
      </c>
      <c r="D511" s="239">
        <v>134612</v>
      </c>
      <c r="E511" s="180">
        <f>R59</f>
        <v>121959</v>
      </c>
      <c r="F511" s="262">
        <f t="shared" si="15"/>
        <v>5.8666797908061685</v>
      </c>
      <c r="G511" s="262">
        <f t="shared" si="15"/>
        <v>6.6033257078198409</v>
      </c>
      <c r="H511" s="264" t="str">
        <f t="shared" si="16"/>
        <v/>
      </c>
      <c r="I511" s="266"/>
      <c r="K511" s="260"/>
      <c r="L511" s="260"/>
    </row>
    <row r="512" spans="1:12" ht="12.6" customHeight="1" x14ac:dyDescent="0.25">
      <c r="A512" s="180" t="s">
        <v>528</v>
      </c>
      <c r="B512" s="239">
        <v>1979013.97</v>
      </c>
      <c r="C512" s="239">
        <f>S71</f>
        <v>2046600.93</v>
      </c>
      <c r="D512" s="181" t="s">
        <v>529</v>
      </c>
      <c r="E512" s="181" t="s">
        <v>529</v>
      </c>
      <c r="F512" s="262" t="str">
        <f t="shared" ref="F512:G527" si="17">IF(B512=0,"",IF(D512=0,"",B512/D512))</f>
        <v/>
      </c>
      <c r="G512" s="262" t="str">
        <f t="shared" si="17"/>
        <v/>
      </c>
      <c r="H512" s="264" t="str">
        <f t="shared" si="16"/>
        <v/>
      </c>
      <c r="I512" s="266"/>
      <c r="K512" s="260"/>
      <c r="L512" s="260"/>
    </row>
    <row r="513" spans="1:12" ht="12.6" customHeight="1" x14ac:dyDescent="0.25">
      <c r="A513" s="180" t="s">
        <v>1246</v>
      </c>
      <c r="B513" s="239">
        <v>0</v>
      </c>
      <c r="C513" s="239">
        <f>T71</f>
        <v>0</v>
      </c>
      <c r="D513" s="181" t="s">
        <v>529</v>
      </c>
      <c r="E513" s="181" t="s">
        <v>529</v>
      </c>
      <c r="F513" s="262" t="str">
        <f t="shared" si="17"/>
        <v/>
      </c>
      <c r="G513" s="262" t="str">
        <f t="shared" si="17"/>
        <v/>
      </c>
      <c r="H513" s="264" t="str">
        <f t="shared" si="16"/>
        <v/>
      </c>
      <c r="I513" s="266"/>
      <c r="K513" s="260"/>
      <c r="L513" s="260"/>
    </row>
    <row r="514" spans="1:12" ht="12.6" customHeight="1" x14ac:dyDescent="0.25">
      <c r="A514" s="180" t="s">
        <v>530</v>
      </c>
      <c r="B514" s="239">
        <v>1447822.17</v>
      </c>
      <c r="C514" s="239">
        <f>U71</f>
        <v>1317790.69</v>
      </c>
      <c r="D514" s="239">
        <v>70737</v>
      </c>
      <c r="E514" s="180">
        <f>U59</f>
        <v>69668</v>
      </c>
      <c r="F514" s="262">
        <f t="shared" si="17"/>
        <v>20.467678442682047</v>
      </c>
      <c r="G514" s="262">
        <f t="shared" si="17"/>
        <v>18.915293822127804</v>
      </c>
      <c r="H514" s="264" t="str">
        <f t="shared" si="16"/>
        <v/>
      </c>
      <c r="I514" s="266"/>
      <c r="K514" s="260"/>
      <c r="L514" s="260"/>
    </row>
    <row r="515" spans="1:12" ht="12.6" customHeight="1" x14ac:dyDescent="0.25">
      <c r="A515" s="180" t="s">
        <v>531</v>
      </c>
      <c r="B515" s="239">
        <v>20209</v>
      </c>
      <c r="C515" s="239">
        <f>V71</f>
        <v>19368</v>
      </c>
      <c r="D515" s="239">
        <v>0</v>
      </c>
      <c r="E515" s="180">
        <f>V59</f>
        <v>0</v>
      </c>
      <c r="F515" s="262" t="str">
        <f t="shared" si="17"/>
        <v/>
      </c>
      <c r="G515" s="262" t="str">
        <f t="shared" si="17"/>
        <v/>
      </c>
      <c r="H515" s="264" t="str">
        <f t="shared" si="16"/>
        <v/>
      </c>
      <c r="I515" s="266"/>
      <c r="K515" s="260"/>
      <c r="L515" s="260"/>
    </row>
    <row r="516" spans="1:12" ht="12.6" customHeight="1" x14ac:dyDescent="0.25">
      <c r="A516" s="180" t="s">
        <v>532</v>
      </c>
      <c r="B516" s="239">
        <v>0</v>
      </c>
      <c r="C516" s="239">
        <f>W71</f>
        <v>0</v>
      </c>
      <c r="D516" s="239">
        <v>0</v>
      </c>
      <c r="E516" s="180">
        <f>W59</f>
        <v>0</v>
      </c>
      <c r="F516" s="262" t="str">
        <f t="shared" si="17"/>
        <v/>
      </c>
      <c r="G516" s="262" t="str">
        <f t="shared" si="17"/>
        <v/>
      </c>
      <c r="H516" s="264" t="str">
        <f t="shared" si="16"/>
        <v/>
      </c>
      <c r="I516" s="266"/>
      <c r="K516" s="260"/>
      <c r="L516" s="260"/>
    </row>
    <row r="517" spans="1:12" ht="12.6" customHeight="1" x14ac:dyDescent="0.25">
      <c r="A517" s="180" t="s">
        <v>533</v>
      </c>
      <c r="B517" s="239">
        <v>0</v>
      </c>
      <c r="C517" s="239">
        <f>X71</f>
        <v>0</v>
      </c>
      <c r="D517" s="239">
        <v>0</v>
      </c>
      <c r="E517" s="180">
        <f>X59</f>
        <v>0</v>
      </c>
      <c r="F517" s="262" t="str">
        <f t="shared" si="17"/>
        <v/>
      </c>
      <c r="G517" s="262" t="str">
        <f t="shared" si="17"/>
        <v/>
      </c>
      <c r="H517" s="264" t="str">
        <f t="shared" si="16"/>
        <v/>
      </c>
      <c r="I517" s="266"/>
      <c r="K517" s="260"/>
      <c r="L517" s="260"/>
    </row>
    <row r="518" spans="1:12" ht="12.6" customHeight="1" x14ac:dyDescent="0.25">
      <c r="A518" s="180" t="s">
        <v>534</v>
      </c>
      <c r="B518" s="239">
        <v>3081432.24</v>
      </c>
      <c r="C518" s="239">
        <f>Y71</f>
        <v>2944709.8</v>
      </c>
      <c r="D518" s="239">
        <v>0</v>
      </c>
      <c r="E518" s="180">
        <f>Y59</f>
        <v>0</v>
      </c>
      <c r="F518" s="262" t="str">
        <f t="shared" si="17"/>
        <v/>
      </c>
      <c r="G518" s="262" t="str">
        <f t="shared" si="17"/>
        <v/>
      </c>
      <c r="H518" s="264" t="str">
        <f t="shared" si="16"/>
        <v/>
      </c>
      <c r="I518" s="266"/>
      <c r="K518" s="260"/>
      <c r="L518" s="260"/>
    </row>
    <row r="519" spans="1:12" ht="12.6" customHeight="1" x14ac:dyDescent="0.25">
      <c r="A519" s="180" t="s">
        <v>535</v>
      </c>
      <c r="B519" s="239">
        <v>0</v>
      </c>
      <c r="C519" s="239">
        <f>Z71</f>
        <v>0</v>
      </c>
      <c r="D519" s="239">
        <v>0</v>
      </c>
      <c r="E519" s="180">
        <f>Z59</f>
        <v>0</v>
      </c>
      <c r="F519" s="262" t="str">
        <f t="shared" si="17"/>
        <v/>
      </c>
      <c r="G519" s="262" t="str">
        <f t="shared" si="17"/>
        <v/>
      </c>
      <c r="H519" s="264" t="str">
        <f t="shared" si="16"/>
        <v/>
      </c>
      <c r="I519" s="266"/>
      <c r="K519" s="260"/>
      <c r="L519" s="260"/>
    </row>
    <row r="520" spans="1:12" ht="12.6" customHeight="1" x14ac:dyDescent="0.25">
      <c r="A520" s="180" t="s">
        <v>536</v>
      </c>
      <c r="B520" s="239">
        <v>0</v>
      </c>
      <c r="C520" s="239">
        <f>AA71</f>
        <v>0</v>
      </c>
      <c r="D520" s="239">
        <v>0</v>
      </c>
      <c r="E520" s="180">
        <f>AA59</f>
        <v>0</v>
      </c>
      <c r="F520" s="262" t="str">
        <f t="shared" si="17"/>
        <v/>
      </c>
      <c r="G520" s="262" t="str">
        <f t="shared" si="17"/>
        <v/>
      </c>
      <c r="H520" s="264" t="str">
        <f t="shared" si="16"/>
        <v/>
      </c>
      <c r="I520" s="266"/>
      <c r="K520" s="260"/>
      <c r="L520" s="260"/>
    </row>
    <row r="521" spans="1:12" ht="12.6" customHeight="1" x14ac:dyDescent="0.25">
      <c r="A521" s="180" t="s">
        <v>537</v>
      </c>
      <c r="B521" s="239">
        <v>835827.67999999993</v>
      </c>
      <c r="C521" s="239">
        <f>AB71</f>
        <v>738886.80999999994</v>
      </c>
      <c r="D521" s="181" t="s">
        <v>529</v>
      </c>
      <c r="E521" s="181" t="s">
        <v>529</v>
      </c>
      <c r="F521" s="262" t="str">
        <f t="shared" si="17"/>
        <v/>
      </c>
      <c r="G521" s="262" t="str">
        <f t="shared" si="17"/>
        <v/>
      </c>
      <c r="H521" s="264" t="str">
        <f t="shared" si="16"/>
        <v/>
      </c>
      <c r="I521" s="266"/>
      <c r="K521" s="260"/>
      <c r="L521" s="260"/>
    </row>
    <row r="522" spans="1:12" ht="12.6" customHeight="1" x14ac:dyDescent="0.25">
      <c r="A522" s="180" t="s">
        <v>538</v>
      </c>
      <c r="B522" s="239">
        <v>324759.78000000003</v>
      </c>
      <c r="C522" s="239">
        <f>AC71</f>
        <v>334360.28000000003</v>
      </c>
      <c r="D522" s="239">
        <v>1866</v>
      </c>
      <c r="E522" s="180">
        <f>AC59</f>
        <v>1577</v>
      </c>
      <c r="F522" s="262">
        <f t="shared" si="17"/>
        <v>174.04061093247589</v>
      </c>
      <c r="G522" s="262">
        <f t="shared" si="17"/>
        <v>212.02300570703869</v>
      </c>
      <c r="H522" s="264" t="str">
        <f t="shared" si="16"/>
        <v/>
      </c>
      <c r="I522" s="266"/>
      <c r="K522" s="260"/>
      <c r="L522" s="260"/>
    </row>
    <row r="523" spans="1:12" ht="12.6" customHeight="1" x14ac:dyDescent="0.25">
      <c r="A523" s="180" t="s">
        <v>539</v>
      </c>
      <c r="B523" s="239">
        <v>0</v>
      </c>
      <c r="C523" s="239">
        <f>AD71</f>
        <v>0</v>
      </c>
      <c r="D523" s="239">
        <v>0</v>
      </c>
      <c r="E523" s="180">
        <f>AD59</f>
        <v>0</v>
      </c>
      <c r="F523" s="262" t="str">
        <f t="shared" si="17"/>
        <v/>
      </c>
      <c r="G523" s="262" t="str">
        <f t="shared" si="17"/>
        <v/>
      </c>
      <c r="H523" s="264" t="str">
        <f t="shared" si="16"/>
        <v/>
      </c>
      <c r="I523" s="266"/>
      <c r="K523" s="260"/>
      <c r="L523" s="260"/>
    </row>
    <row r="524" spans="1:12" ht="12.6" customHeight="1" x14ac:dyDescent="0.25">
      <c r="A524" s="180" t="s">
        <v>540</v>
      </c>
      <c r="B524" s="239">
        <v>535486.81000000006</v>
      </c>
      <c r="C524" s="239">
        <f>AE71</f>
        <v>532014.65999999992</v>
      </c>
      <c r="D524" s="239">
        <v>8604</v>
      </c>
      <c r="E524" s="180">
        <f>AE59</f>
        <v>10042</v>
      </c>
      <c r="F524" s="262">
        <f t="shared" si="17"/>
        <v>62.236960715946076</v>
      </c>
      <c r="G524" s="262">
        <f t="shared" si="17"/>
        <v>52.978954391555462</v>
      </c>
      <c r="H524" s="264" t="str">
        <f t="shared" si="16"/>
        <v/>
      </c>
      <c r="I524" s="266"/>
      <c r="K524" s="260"/>
      <c r="L524" s="260"/>
    </row>
    <row r="525" spans="1:12" ht="12.6" customHeight="1" x14ac:dyDescent="0.25">
      <c r="A525" s="180" t="s">
        <v>541</v>
      </c>
      <c r="B525" s="239">
        <v>0</v>
      </c>
      <c r="C525" s="239">
        <f>AF71</f>
        <v>0</v>
      </c>
      <c r="D525" s="239">
        <v>0</v>
      </c>
      <c r="E525" s="180">
        <f>AF59</f>
        <v>0</v>
      </c>
      <c r="F525" s="262" t="str">
        <f t="shared" si="17"/>
        <v/>
      </c>
      <c r="G525" s="262" t="str">
        <f t="shared" si="17"/>
        <v/>
      </c>
      <c r="H525" s="264" t="str">
        <f t="shared" si="16"/>
        <v/>
      </c>
      <c r="I525" s="266"/>
      <c r="K525" s="260"/>
      <c r="L525" s="260"/>
    </row>
    <row r="526" spans="1:12" ht="12.6" customHeight="1" x14ac:dyDescent="0.25">
      <c r="A526" s="180" t="s">
        <v>542</v>
      </c>
      <c r="B526" s="239">
        <v>3292285.96</v>
      </c>
      <c r="C526" s="239">
        <f>AG71</f>
        <v>3800215.78</v>
      </c>
      <c r="D526" s="239">
        <v>9109</v>
      </c>
      <c r="E526" s="180">
        <f>AG59</f>
        <v>8923</v>
      </c>
      <c r="F526" s="262">
        <f t="shared" si="17"/>
        <v>361.43220551103303</v>
      </c>
      <c r="G526" s="262">
        <f t="shared" si="17"/>
        <v>425.88992267174717</v>
      </c>
      <c r="H526" s="264" t="str">
        <f t="shared" si="16"/>
        <v/>
      </c>
      <c r="I526" s="266"/>
      <c r="K526" s="260"/>
      <c r="L526" s="260"/>
    </row>
    <row r="527" spans="1:12" ht="12.6" customHeight="1" x14ac:dyDescent="0.25">
      <c r="A527" s="180" t="s">
        <v>543</v>
      </c>
      <c r="B527" s="239">
        <v>0</v>
      </c>
      <c r="C527" s="239">
        <f>AH71</f>
        <v>0</v>
      </c>
      <c r="D527" s="239">
        <v>0</v>
      </c>
      <c r="E527" s="180">
        <f>AH59</f>
        <v>0</v>
      </c>
      <c r="F527" s="262" t="str">
        <f t="shared" si="17"/>
        <v/>
      </c>
      <c r="G527" s="262" t="str">
        <f t="shared" si="17"/>
        <v/>
      </c>
      <c r="H527" s="264" t="str">
        <f t="shared" si="16"/>
        <v/>
      </c>
      <c r="I527" s="266"/>
      <c r="K527" s="260"/>
      <c r="L527" s="260"/>
    </row>
    <row r="528" spans="1:12" ht="12.6" customHeight="1" x14ac:dyDescent="0.25">
      <c r="A528" s="180" t="s">
        <v>544</v>
      </c>
      <c r="B528" s="239">
        <v>0</v>
      </c>
      <c r="C528" s="239">
        <f>AI71</f>
        <v>0</v>
      </c>
      <c r="D528" s="239">
        <v>0</v>
      </c>
      <c r="E528" s="180">
        <f>AI59</f>
        <v>0</v>
      </c>
      <c r="F528" s="262" t="str">
        <f t="shared" ref="F528:G540" si="18">IF(B528=0,"",IF(D528=0,"",B528/D528))</f>
        <v/>
      </c>
      <c r="G528" s="262" t="str">
        <f t="shared" si="18"/>
        <v/>
      </c>
      <c r="H528" s="264" t="str">
        <f t="shared" si="16"/>
        <v/>
      </c>
      <c r="I528" s="266"/>
      <c r="K528" s="260"/>
      <c r="L528" s="260"/>
    </row>
    <row r="529" spans="1:12" ht="12.6" customHeight="1" x14ac:dyDescent="0.25">
      <c r="A529" s="180" t="s">
        <v>545</v>
      </c>
      <c r="B529" s="239">
        <v>0</v>
      </c>
      <c r="C529" s="239">
        <f>AJ71</f>
        <v>0</v>
      </c>
      <c r="D529" s="239">
        <v>0</v>
      </c>
      <c r="E529" s="180">
        <f>AJ59</f>
        <v>0</v>
      </c>
      <c r="F529" s="262" t="str">
        <f t="shared" si="18"/>
        <v/>
      </c>
      <c r="G529" s="262" t="str">
        <f t="shared" si="18"/>
        <v/>
      </c>
      <c r="H529" s="264" t="str">
        <f t="shared" si="16"/>
        <v/>
      </c>
      <c r="I529" s="266"/>
      <c r="K529" s="260"/>
      <c r="L529" s="260"/>
    </row>
    <row r="530" spans="1:12" ht="12.6" customHeight="1" x14ac:dyDescent="0.25">
      <c r="A530" s="180" t="s">
        <v>546</v>
      </c>
      <c r="B530" s="239">
        <v>0</v>
      </c>
      <c r="C530" s="239">
        <f>AK71</f>
        <v>0</v>
      </c>
      <c r="D530" s="239">
        <v>0</v>
      </c>
      <c r="E530" s="180">
        <f>AK59</f>
        <v>0</v>
      </c>
      <c r="F530" s="262" t="str">
        <f t="shared" si="18"/>
        <v/>
      </c>
      <c r="G530" s="262" t="str">
        <f t="shared" si="18"/>
        <v/>
      </c>
      <c r="H530" s="264" t="str">
        <f t="shared" si="16"/>
        <v/>
      </c>
      <c r="I530" s="266"/>
      <c r="K530" s="260"/>
      <c r="L530" s="260"/>
    </row>
    <row r="531" spans="1:12" ht="12.6" customHeight="1" x14ac:dyDescent="0.25">
      <c r="A531" s="180" t="s">
        <v>547</v>
      </c>
      <c r="B531" s="239">
        <v>0</v>
      </c>
      <c r="C531" s="239">
        <f>AL71</f>
        <v>0</v>
      </c>
      <c r="D531" s="239">
        <v>0</v>
      </c>
      <c r="E531" s="180">
        <f>AL59</f>
        <v>0</v>
      </c>
      <c r="F531" s="262" t="str">
        <f t="shared" si="18"/>
        <v/>
      </c>
      <c r="G531" s="262" t="str">
        <f t="shared" si="18"/>
        <v/>
      </c>
      <c r="H531" s="264" t="str">
        <f t="shared" si="16"/>
        <v/>
      </c>
      <c r="I531" s="266"/>
      <c r="K531" s="260"/>
      <c r="L531" s="260"/>
    </row>
    <row r="532" spans="1:12" ht="12.6" customHeight="1" x14ac:dyDescent="0.25">
      <c r="A532" s="180" t="s">
        <v>548</v>
      </c>
      <c r="B532" s="239">
        <v>0</v>
      </c>
      <c r="C532" s="239">
        <f>AM71</f>
        <v>0</v>
      </c>
      <c r="D532" s="239">
        <v>0</v>
      </c>
      <c r="E532" s="180">
        <f>AM59</f>
        <v>0</v>
      </c>
      <c r="F532" s="262" t="str">
        <f t="shared" si="18"/>
        <v/>
      </c>
      <c r="G532" s="262" t="str">
        <f t="shared" si="18"/>
        <v/>
      </c>
      <c r="H532" s="264" t="str">
        <f t="shared" si="16"/>
        <v/>
      </c>
      <c r="I532" s="266"/>
      <c r="K532" s="260"/>
      <c r="L532" s="260"/>
    </row>
    <row r="533" spans="1:12" ht="12.6" customHeight="1" x14ac:dyDescent="0.25">
      <c r="A533" s="180" t="s">
        <v>1247</v>
      </c>
      <c r="B533" s="239">
        <v>0</v>
      </c>
      <c r="C533" s="239">
        <f>AN71</f>
        <v>0</v>
      </c>
      <c r="D533" s="239">
        <v>0</v>
      </c>
      <c r="E533" s="180">
        <f>AN59</f>
        <v>0</v>
      </c>
      <c r="F533" s="262" t="str">
        <f t="shared" si="18"/>
        <v/>
      </c>
      <c r="G533" s="262" t="str">
        <f t="shared" si="18"/>
        <v/>
      </c>
      <c r="H533" s="264" t="str">
        <f t="shared" si="16"/>
        <v/>
      </c>
      <c r="I533" s="266"/>
      <c r="K533" s="260"/>
      <c r="L533" s="260"/>
    </row>
    <row r="534" spans="1:12" ht="12.6" customHeight="1" x14ac:dyDescent="0.25">
      <c r="A534" s="180" t="s">
        <v>549</v>
      </c>
      <c r="B534" s="239">
        <v>0</v>
      </c>
      <c r="C534" s="239">
        <f>AO71</f>
        <v>0</v>
      </c>
      <c r="D534" s="239">
        <v>0</v>
      </c>
      <c r="E534" s="180">
        <f>AO59</f>
        <v>0</v>
      </c>
      <c r="F534" s="262" t="str">
        <f t="shared" si="18"/>
        <v/>
      </c>
      <c r="G534" s="262" t="str">
        <f t="shared" si="18"/>
        <v/>
      </c>
      <c r="H534" s="264" t="str">
        <f t="shared" si="16"/>
        <v/>
      </c>
      <c r="I534" s="266"/>
      <c r="K534" s="260"/>
      <c r="L534" s="260"/>
    </row>
    <row r="535" spans="1:12" ht="12.6" customHeight="1" x14ac:dyDescent="0.25">
      <c r="A535" s="180" t="s">
        <v>550</v>
      </c>
      <c r="B535" s="239">
        <v>3815528.98</v>
      </c>
      <c r="C535" s="239">
        <f>AP71</f>
        <v>5209362.34</v>
      </c>
      <c r="D535" s="239">
        <v>15539</v>
      </c>
      <c r="E535" s="180">
        <f>AP59</f>
        <v>17195</v>
      </c>
      <c r="F535" s="262">
        <f t="shared" si="18"/>
        <v>245.54533625072398</v>
      </c>
      <c r="G535" s="262">
        <f t="shared" si="18"/>
        <v>302.95797266647281</v>
      </c>
      <c r="H535" s="264" t="str">
        <f t="shared" si="16"/>
        <v/>
      </c>
      <c r="I535" s="266"/>
      <c r="K535" s="260"/>
      <c r="L535" s="260"/>
    </row>
    <row r="536" spans="1:12" ht="12.6" customHeight="1" x14ac:dyDescent="0.25">
      <c r="A536" s="180" t="s">
        <v>551</v>
      </c>
      <c r="B536" s="239">
        <v>0</v>
      </c>
      <c r="C536" s="239">
        <f>AQ71</f>
        <v>0</v>
      </c>
      <c r="D536" s="239">
        <v>0</v>
      </c>
      <c r="E536" s="180">
        <f>AQ59</f>
        <v>0</v>
      </c>
      <c r="F536" s="262" t="str">
        <f t="shared" si="18"/>
        <v/>
      </c>
      <c r="G536" s="262" t="str">
        <f t="shared" si="18"/>
        <v/>
      </c>
      <c r="H536" s="264" t="str">
        <f t="shared" si="16"/>
        <v/>
      </c>
      <c r="I536" s="266"/>
      <c r="K536" s="260"/>
      <c r="L536" s="260"/>
    </row>
    <row r="537" spans="1:12" ht="12.6" customHeight="1" x14ac:dyDescent="0.25">
      <c r="A537" s="180" t="s">
        <v>552</v>
      </c>
      <c r="B537" s="239">
        <v>0</v>
      </c>
      <c r="C537" s="239">
        <f>AR71</f>
        <v>0</v>
      </c>
      <c r="D537" s="239">
        <v>0</v>
      </c>
      <c r="E537" s="180">
        <f>AR59</f>
        <v>0</v>
      </c>
      <c r="F537" s="262" t="str">
        <f t="shared" si="18"/>
        <v/>
      </c>
      <c r="G537" s="262" t="str">
        <f t="shared" si="18"/>
        <v/>
      </c>
      <c r="H537" s="264" t="str">
        <f t="shared" si="16"/>
        <v/>
      </c>
      <c r="I537" s="266"/>
      <c r="K537" s="260"/>
      <c r="L537" s="260"/>
    </row>
    <row r="538" spans="1:12" ht="12.6" customHeight="1" x14ac:dyDescent="0.25">
      <c r="A538" s="180" t="s">
        <v>553</v>
      </c>
      <c r="B538" s="239">
        <v>0</v>
      </c>
      <c r="C538" s="239">
        <f>AS71</f>
        <v>0</v>
      </c>
      <c r="D538" s="239">
        <v>0</v>
      </c>
      <c r="E538" s="180">
        <f>AS59</f>
        <v>0</v>
      </c>
      <c r="F538" s="262" t="str">
        <f t="shared" si="18"/>
        <v/>
      </c>
      <c r="G538" s="262" t="str">
        <f t="shared" si="18"/>
        <v/>
      </c>
      <c r="H538" s="264" t="str">
        <f t="shared" si="16"/>
        <v/>
      </c>
      <c r="I538" s="266"/>
      <c r="K538" s="260"/>
      <c r="L538" s="260"/>
    </row>
    <row r="539" spans="1:12" ht="12.6" customHeight="1" x14ac:dyDescent="0.25">
      <c r="A539" s="180" t="s">
        <v>554</v>
      </c>
      <c r="B539" s="239">
        <v>0</v>
      </c>
      <c r="C539" s="239">
        <f>AT71</f>
        <v>0</v>
      </c>
      <c r="D539" s="239">
        <v>0</v>
      </c>
      <c r="E539" s="180">
        <f>AT59</f>
        <v>0</v>
      </c>
      <c r="F539" s="262" t="str">
        <f t="shared" si="18"/>
        <v/>
      </c>
      <c r="G539" s="262" t="str">
        <f t="shared" si="18"/>
        <v/>
      </c>
      <c r="H539" s="264" t="str">
        <f t="shared" si="16"/>
        <v/>
      </c>
      <c r="I539" s="266"/>
      <c r="K539" s="260"/>
      <c r="L539" s="260"/>
    </row>
    <row r="540" spans="1:12" ht="12.6" customHeight="1" x14ac:dyDescent="0.25">
      <c r="A540" s="180" t="s">
        <v>555</v>
      </c>
      <c r="B540" s="239">
        <v>0</v>
      </c>
      <c r="C540" s="239">
        <f>AU71</f>
        <v>0</v>
      </c>
      <c r="D540" s="239">
        <v>0</v>
      </c>
      <c r="E540" s="180">
        <f>AU59</f>
        <v>0</v>
      </c>
      <c r="F540" s="262" t="str">
        <f t="shared" si="18"/>
        <v/>
      </c>
      <c r="G540" s="262" t="str">
        <f t="shared" si="18"/>
        <v/>
      </c>
      <c r="H540" s="264" t="str">
        <f t="shared" si="16"/>
        <v/>
      </c>
      <c r="I540" s="266"/>
      <c r="K540" s="260"/>
      <c r="L540" s="260"/>
    </row>
    <row r="541" spans="1:12" ht="12.6" customHeight="1" x14ac:dyDescent="0.25">
      <c r="A541" s="180" t="s">
        <v>556</v>
      </c>
      <c r="B541" s="239">
        <v>0</v>
      </c>
      <c r="C541" s="239">
        <f>AV71</f>
        <v>0</v>
      </c>
      <c r="D541" s="181" t="s">
        <v>529</v>
      </c>
      <c r="E541" s="181" t="s">
        <v>529</v>
      </c>
      <c r="F541" s="262"/>
      <c r="G541" s="262"/>
      <c r="H541" s="264"/>
      <c r="I541" s="266"/>
      <c r="K541" s="260"/>
      <c r="L541" s="260"/>
    </row>
    <row r="542" spans="1:12" ht="12.6" customHeight="1" x14ac:dyDescent="0.25">
      <c r="A542" s="180" t="s">
        <v>1248</v>
      </c>
      <c r="B542" s="239">
        <v>0</v>
      </c>
      <c r="C542" s="239">
        <f>AW71</f>
        <v>0</v>
      </c>
      <c r="D542" s="181" t="s">
        <v>529</v>
      </c>
      <c r="E542" s="181" t="s">
        <v>529</v>
      </c>
      <c r="F542" s="262"/>
      <c r="G542" s="262"/>
      <c r="H542" s="264"/>
      <c r="I542" s="266"/>
      <c r="K542" s="260"/>
      <c r="L542" s="260"/>
    </row>
    <row r="543" spans="1:12" ht="12.6" customHeight="1" x14ac:dyDescent="0.25">
      <c r="A543" s="180" t="s">
        <v>557</v>
      </c>
      <c r="B543" s="239">
        <v>0</v>
      </c>
      <c r="C543" s="239">
        <f>AX71</f>
        <v>0</v>
      </c>
      <c r="D543" s="181" t="s">
        <v>529</v>
      </c>
      <c r="E543" s="181" t="s">
        <v>529</v>
      </c>
      <c r="F543" s="262"/>
      <c r="G543" s="262"/>
      <c r="H543" s="264"/>
      <c r="I543" s="266"/>
      <c r="K543" s="260"/>
      <c r="L543" s="260"/>
    </row>
    <row r="544" spans="1:12" ht="12.6" customHeight="1" x14ac:dyDescent="0.25">
      <c r="A544" s="180" t="s">
        <v>558</v>
      </c>
      <c r="B544" s="239">
        <v>349180.79000000004</v>
      </c>
      <c r="C544" s="239">
        <f>AY71</f>
        <v>366754.43000000005</v>
      </c>
      <c r="D544" s="239">
        <v>8893</v>
      </c>
      <c r="E544" s="180">
        <f>AY59</f>
        <v>8797</v>
      </c>
      <c r="F544" s="262">
        <f t="shared" ref="F544:G550" si="19">IF(B544=0,"",IF(D544=0,"",B544/D544))</f>
        <v>39.264678960980554</v>
      </c>
      <c r="G544" s="262">
        <f t="shared" si="19"/>
        <v>41.69085256337388</v>
      </c>
      <c r="H544" s="264" t="str">
        <f t="shared" si="16"/>
        <v/>
      </c>
      <c r="I544" s="266"/>
      <c r="K544" s="260"/>
      <c r="L544" s="260"/>
    </row>
    <row r="545" spans="1:13" ht="12.6" customHeight="1" x14ac:dyDescent="0.25">
      <c r="A545" s="180" t="s">
        <v>559</v>
      </c>
      <c r="B545" s="239">
        <v>2276</v>
      </c>
      <c r="C545" s="239">
        <f>AZ71</f>
        <v>1490</v>
      </c>
      <c r="D545" s="239">
        <v>0</v>
      </c>
      <c r="E545" s="180">
        <f>AZ59</f>
        <v>0</v>
      </c>
      <c r="F545" s="262" t="str">
        <f t="shared" si="19"/>
        <v/>
      </c>
      <c r="G545" s="262" t="str">
        <f t="shared" si="19"/>
        <v/>
      </c>
      <c r="H545" s="264" t="str">
        <f t="shared" si="16"/>
        <v/>
      </c>
      <c r="I545" s="266"/>
      <c r="K545" s="260"/>
      <c r="L545" s="260"/>
    </row>
    <row r="546" spans="1:13" ht="12.6" customHeight="1" x14ac:dyDescent="0.25">
      <c r="A546" s="180" t="s">
        <v>560</v>
      </c>
      <c r="B546" s="239">
        <v>116764</v>
      </c>
      <c r="C546" s="239">
        <f>BA71</f>
        <v>119240</v>
      </c>
      <c r="D546" s="239">
        <v>0</v>
      </c>
      <c r="E546" s="180">
        <f>BA59</f>
        <v>0</v>
      </c>
      <c r="F546" s="262" t="str">
        <f t="shared" si="19"/>
        <v/>
      </c>
      <c r="G546" s="262" t="str">
        <f t="shared" si="19"/>
        <v/>
      </c>
      <c r="H546" s="264" t="str">
        <f t="shared" si="16"/>
        <v/>
      </c>
      <c r="I546" s="266"/>
      <c r="K546" s="260"/>
      <c r="L546" s="260"/>
    </row>
    <row r="547" spans="1:13" ht="12.6" customHeight="1" x14ac:dyDescent="0.25">
      <c r="A547" s="180" t="s">
        <v>561</v>
      </c>
      <c r="B547" s="239">
        <v>0</v>
      </c>
      <c r="C547" s="239">
        <f>BB71</f>
        <v>0</v>
      </c>
      <c r="D547" s="181" t="s">
        <v>529</v>
      </c>
      <c r="E547" s="181" t="s">
        <v>529</v>
      </c>
      <c r="F547" s="262"/>
      <c r="G547" s="262"/>
      <c r="H547" s="264"/>
      <c r="I547" s="266"/>
      <c r="K547" s="260"/>
      <c r="L547" s="260"/>
    </row>
    <row r="548" spans="1:13" ht="12.6" customHeight="1" x14ac:dyDescent="0.25">
      <c r="A548" s="180" t="s">
        <v>562</v>
      </c>
      <c r="B548" s="239">
        <v>0</v>
      </c>
      <c r="C548" s="239">
        <f>BC71</f>
        <v>0</v>
      </c>
      <c r="D548" s="181" t="s">
        <v>529</v>
      </c>
      <c r="E548" s="181" t="s">
        <v>529</v>
      </c>
      <c r="F548" s="262"/>
      <c r="G548" s="262"/>
      <c r="H548" s="264"/>
      <c r="I548" s="266"/>
      <c r="K548" s="260"/>
      <c r="L548" s="260"/>
    </row>
    <row r="549" spans="1:13" ht="12.6" customHeight="1" x14ac:dyDescent="0.25">
      <c r="A549" s="180" t="s">
        <v>563</v>
      </c>
      <c r="B549" s="239">
        <v>132351.19</v>
      </c>
      <c r="C549" s="239">
        <f>BD71</f>
        <v>127934.42</v>
      </c>
      <c r="D549" s="181" t="s">
        <v>529</v>
      </c>
      <c r="E549" s="181" t="s">
        <v>529</v>
      </c>
      <c r="F549" s="262"/>
      <c r="G549" s="262"/>
      <c r="H549" s="264"/>
      <c r="I549" s="266"/>
      <c r="K549" s="260"/>
      <c r="L549" s="260"/>
    </row>
    <row r="550" spans="1:13" ht="12.6" customHeight="1" x14ac:dyDescent="0.25">
      <c r="A550" s="180" t="s">
        <v>564</v>
      </c>
      <c r="B550" s="239">
        <v>820869.12</v>
      </c>
      <c r="C550" s="239">
        <f>BE71</f>
        <v>755162.77</v>
      </c>
      <c r="D550" s="239">
        <v>82579</v>
      </c>
      <c r="E550" s="180">
        <f>BE59</f>
        <v>82579</v>
      </c>
      <c r="F550" s="262">
        <f t="shared" si="19"/>
        <v>9.940410031606099</v>
      </c>
      <c r="G550" s="262">
        <f t="shared" si="19"/>
        <v>9.1447313481635764</v>
      </c>
      <c r="H550" s="264" t="str">
        <f t="shared" si="16"/>
        <v/>
      </c>
      <c r="I550" s="266"/>
      <c r="K550" s="260"/>
      <c r="L550" s="260"/>
    </row>
    <row r="551" spans="1:13" ht="12.6" customHeight="1" x14ac:dyDescent="0.25">
      <c r="A551" s="180" t="s">
        <v>565</v>
      </c>
      <c r="B551" s="239">
        <v>491066</v>
      </c>
      <c r="C551" s="239">
        <f>BF71</f>
        <v>459884.9</v>
      </c>
      <c r="D551" s="181" t="s">
        <v>529</v>
      </c>
      <c r="E551" s="181" t="s">
        <v>529</v>
      </c>
      <c r="F551" s="262"/>
      <c r="G551" s="262"/>
      <c r="H551" s="264"/>
      <c r="I551" s="266"/>
      <c r="J551" s="199"/>
      <c r="M551" s="264"/>
    </row>
    <row r="552" spans="1:13" ht="12.6" customHeight="1" x14ac:dyDescent="0.25">
      <c r="A552" s="180" t="s">
        <v>566</v>
      </c>
      <c r="B552" s="239">
        <v>119623</v>
      </c>
      <c r="C552" s="239">
        <f>BG71</f>
        <v>119495</v>
      </c>
      <c r="D552" s="181" t="s">
        <v>529</v>
      </c>
      <c r="E552" s="181" t="s">
        <v>529</v>
      </c>
      <c r="F552" s="262"/>
      <c r="G552" s="262"/>
      <c r="H552" s="264"/>
      <c r="J552" s="199"/>
      <c r="M552" s="264"/>
    </row>
    <row r="553" spans="1:13" ht="12.6" customHeight="1" x14ac:dyDescent="0.25">
      <c r="A553" s="180" t="s">
        <v>567</v>
      </c>
      <c r="B553" s="239">
        <v>569926.93999999994</v>
      </c>
      <c r="C553" s="239">
        <f>BH71</f>
        <v>507072.49</v>
      </c>
      <c r="D553" s="181" t="s">
        <v>529</v>
      </c>
      <c r="E553" s="181" t="s">
        <v>529</v>
      </c>
      <c r="F553" s="262"/>
      <c r="G553" s="262"/>
      <c r="H553" s="264"/>
      <c r="J553" s="199"/>
      <c r="M553" s="264"/>
    </row>
    <row r="554" spans="1:13" ht="12.6" customHeight="1" x14ac:dyDescent="0.25">
      <c r="A554" s="180" t="s">
        <v>568</v>
      </c>
      <c r="B554" s="239">
        <v>0</v>
      </c>
      <c r="C554" s="239">
        <f>BI71</f>
        <v>0</v>
      </c>
      <c r="D554" s="181" t="s">
        <v>529</v>
      </c>
      <c r="E554" s="181" t="s">
        <v>529</v>
      </c>
      <c r="F554" s="262"/>
      <c r="G554" s="262"/>
      <c r="H554" s="264"/>
      <c r="J554" s="199"/>
      <c r="M554" s="264"/>
    </row>
    <row r="555" spans="1:13" ht="12.6" customHeight="1" x14ac:dyDescent="0.25">
      <c r="A555" s="180" t="s">
        <v>569</v>
      </c>
      <c r="B555" s="239">
        <v>613050.93000000005</v>
      </c>
      <c r="C555" s="239">
        <f>BJ71</f>
        <v>600288.06999999995</v>
      </c>
      <c r="D555" s="181" t="s">
        <v>529</v>
      </c>
      <c r="E555" s="181" t="s">
        <v>529</v>
      </c>
      <c r="F555" s="262"/>
      <c r="G555" s="262"/>
      <c r="H555" s="264"/>
      <c r="J555" s="199"/>
      <c r="M555" s="264"/>
    </row>
    <row r="556" spans="1:13" ht="12.6" customHeight="1" x14ac:dyDescent="0.25">
      <c r="A556" s="180" t="s">
        <v>570</v>
      </c>
      <c r="B556" s="239">
        <v>694360.08</v>
      </c>
      <c r="C556" s="239">
        <f>BK71</f>
        <v>686278.45</v>
      </c>
      <c r="D556" s="181" t="s">
        <v>529</v>
      </c>
      <c r="E556" s="181" t="s">
        <v>529</v>
      </c>
      <c r="F556" s="262"/>
      <c r="G556" s="262"/>
      <c r="H556" s="264"/>
      <c r="J556" s="199"/>
      <c r="M556" s="264"/>
    </row>
    <row r="557" spans="1:13" ht="12.6" customHeight="1" x14ac:dyDescent="0.25">
      <c r="A557" s="180" t="s">
        <v>571</v>
      </c>
      <c r="B557" s="239">
        <v>290687.92</v>
      </c>
      <c r="C557" s="239">
        <f>BL71</f>
        <v>295740</v>
      </c>
      <c r="D557" s="181" t="s">
        <v>529</v>
      </c>
      <c r="E557" s="181" t="s">
        <v>529</v>
      </c>
      <c r="F557" s="262"/>
      <c r="G557" s="262"/>
      <c r="H557" s="264"/>
      <c r="J557" s="199"/>
      <c r="M557" s="264"/>
    </row>
    <row r="558" spans="1:13" ht="12.6" customHeight="1" x14ac:dyDescent="0.25">
      <c r="A558" s="180" t="s">
        <v>572</v>
      </c>
      <c r="B558" s="239">
        <v>0</v>
      </c>
      <c r="C558" s="239">
        <f>BM71</f>
        <v>0</v>
      </c>
      <c r="D558" s="181" t="s">
        <v>529</v>
      </c>
      <c r="E558" s="181" t="s">
        <v>529</v>
      </c>
      <c r="F558" s="262"/>
      <c r="G558" s="262"/>
      <c r="H558" s="264"/>
      <c r="J558" s="199"/>
      <c r="M558" s="264"/>
    </row>
    <row r="559" spans="1:13" ht="12.6" customHeight="1" x14ac:dyDescent="0.25">
      <c r="A559" s="180" t="s">
        <v>573</v>
      </c>
      <c r="B559" s="239">
        <v>469577.94</v>
      </c>
      <c r="C559" s="239">
        <f>BN71</f>
        <v>535708.77</v>
      </c>
      <c r="D559" s="181" t="s">
        <v>529</v>
      </c>
      <c r="E559" s="181" t="s">
        <v>529</v>
      </c>
      <c r="F559" s="262"/>
      <c r="G559" s="262"/>
      <c r="H559" s="264"/>
      <c r="J559" s="199"/>
      <c r="M559" s="264"/>
    </row>
    <row r="560" spans="1:13" ht="12.6" customHeight="1" x14ac:dyDescent="0.25">
      <c r="A560" s="180" t="s">
        <v>574</v>
      </c>
      <c r="B560" s="239">
        <v>33548.980000000003</v>
      </c>
      <c r="C560" s="239">
        <f>BO71</f>
        <v>41233.74</v>
      </c>
      <c r="D560" s="181" t="s">
        <v>529</v>
      </c>
      <c r="E560" s="181" t="s">
        <v>529</v>
      </c>
      <c r="F560" s="262"/>
      <c r="G560" s="262"/>
      <c r="H560" s="264"/>
      <c r="J560" s="199"/>
      <c r="M560" s="264"/>
    </row>
    <row r="561" spans="1:13" ht="12.6" customHeight="1" x14ac:dyDescent="0.25">
      <c r="A561" s="180" t="s">
        <v>575</v>
      </c>
      <c r="B561" s="239">
        <v>0</v>
      </c>
      <c r="C561" s="239">
        <f>BP71</f>
        <v>0</v>
      </c>
      <c r="D561" s="181" t="s">
        <v>529</v>
      </c>
      <c r="E561" s="181" t="s">
        <v>529</v>
      </c>
      <c r="F561" s="262"/>
      <c r="G561" s="262"/>
      <c r="H561" s="264"/>
      <c r="J561" s="199"/>
      <c r="M561" s="264"/>
    </row>
    <row r="562" spans="1:13" ht="12.6" customHeight="1" x14ac:dyDescent="0.25">
      <c r="A562" s="180" t="s">
        <v>576</v>
      </c>
      <c r="B562" s="239">
        <v>0</v>
      </c>
      <c r="C562" s="239">
        <f>BQ71</f>
        <v>0</v>
      </c>
      <c r="D562" s="181" t="s">
        <v>529</v>
      </c>
      <c r="E562" s="181" t="s">
        <v>529</v>
      </c>
      <c r="F562" s="262"/>
      <c r="G562" s="262"/>
      <c r="H562" s="264"/>
      <c r="J562" s="199"/>
      <c r="M562" s="264"/>
    </row>
    <row r="563" spans="1:13" ht="12.6" customHeight="1" x14ac:dyDescent="0.25">
      <c r="A563" s="180" t="s">
        <v>577</v>
      </c>
      <c r="B563" s="239">
        <v>356395.57999999996</v>
      </c>
      <c r="C563" s="239">
        <f>BR71</f>
        <v>305037.49</v>
      </c>
      <c r="D563" s="181" t="s">
        <v>529</v>
      </c>
      <c r="E563" s="181" t="s">
        <v>529</v>
      </c>
      <c r="F563" s="262"/>
      <c r="G563" s="262"/>
      <c r="H563" s="264"/>
      <c r="J563" s="199"/>
      <c r="M563" s="264"/>
    </row>
    <row r="564" spans="1:13" ht="12.6" customHeight="1" x14ac:dyDescent="0.25">
      <c r="A564" s="180" t="s">
        <v>1249</v>
      </c>
      <c r="B564" s="239">
        <v>0</v>
      </c>
      <c r="C564" s="239">
        <f>BS71</f>
        <v>0</v>
      </c>
      <c r="D564" s="181" t="s">
        <v>529</v>
      </c>
      <c r="E564" s="181" t="s">
        <v>529</v>
      </c>
      <c r="F564" s="262"/>
      <c r="G564" s="262"/>
      <c r="H564" s="264"/>
      <c r="J564" s="199"/>
      <c r="M564" s="264"/>
    </row>
    <row r="565" spans="1:13" ht="12.6" customHeight="1" x14ac:dyDescent="0.25">
      <c r="A565" s="180" t="s">
        <v>578</v>
      </c>
      <c r="B565" s="239">
        <v>0</v>
      </c>
      <c r="C565" s="239">
        <f>BT71</f>
        <v>0</v>
      </c>
      <c r="D565" s="181" t="s">
        <v>529</v>
      </c>
      <c r="E565" s="181" t="s">
        <v>529</v>
      </c>
      <c r="F565" s="262"/>
      <c r="G565" s="262"/>
      <c r="H565" s="264"/>
      <c r="J565" s="199"/>
      <c r="M565" s="264"/>
    </row>
    <row r="566" spans="1:13" ht="12.6" customHeight="1" x14ac:dyDescent="0.25">
      <c r="A566" s="180" t="s">
        <v>579</v>
      </c>
      <c r="B566" s="239">
        <v>0</v>
      </c>
      <c r="C566" s="239">
        <f>BU71</f>
        <v>0</v>
      </c>
      <c r="D566" s="181" t="s">
        <v>529</v>
      </c>
      <c r="E566" s="181" t="s">
        <v>529</v>
      </c>
      <c r="F566" s="262"/>
      <c r="G566" s="262"/>
      <c r="H566" s="264"/>
      <c r="J566" s="199"/>
      <c r="M566" s="264"/>
    </row>
    <row r="567" spans="1:13" ht="12.6" customHeight="1" x14ac:dyDescent="0.25">
      <c r="A567" s="180" t="s">
        <v>580</v>
      </c>
      <c r="B567" s="239">
        <v>584560.72</v>
      </c>
      <c r="C567" s="239">
        <f>BV71</f>
        <v>591727.06000000006</v>
      </c>
      <c r="D567" s="181" t="s">
        <v>529</v>
      </c>
      <c r="E567" s="181" t="s">
        <v>529</v>
      </c>
      <c r="F567" s="262"/>
      <c r="G567" s="262"/>
      <c r="H567" s="264"/>
      <c r="J567" s="199"/>
      <c r="M567" s="264"/>
    </row>
    <row r="568" spans="1:13" ht="12.6" customHeight="1" x14ac:dyDescent="0.25">
      <c r="A568" s="180" t="s">
        <v>581</v>
      </c>
      <c r="B568" s="239">
        <v>0</v>
      </c>
      <c r="C568" s="239">
        <f>BW71</f>
        <v>0</v>
      </c>
      <c r="D568" s="181" t="s">
        <v>529</v>
      </c>
      <c r="E568" s="181" t="s">
        <v>529</v>
      </c>
      <c r="F568" s="262"/>
      <c r="G568" s="262"/>
      <c r="H568" s="264"/>
      <c r="J568" s="199"/>
      <c r="M568" s="264"/>
    </row>
    <row r="569" spans="1:13" ht="12.6" customHeight="1" x14ac:dyDescent="0.25">
      <c r="A569" s="180" t="s">
        <v>582</v>
      </c>
      <c r="B569" s="239">
        <v>98928</v>
      </c>
      <c r="C569" s="239">
        <f>BX71</f>
        <v>99289</v>
      </c>
      <c r="D569" s="181" t="s">
        <v>529</v>
      </c>
      <c r="E569" s="181" t="s">
        <v>529</v>
      </c>
      <c r="F569" s="262"/>
      <c r="G569" s="262"/>
      <c r="H569" s="264"/>
      <c r="J569" s="199"/>
      <c r="M569" s="264"/>
    </row>
    <row r="570" spans="1:13" ht="12.6" customHeight="1" x14ac:dyDescent="0.25">
      <c r="A570" s="180" t="s">
        <v>583</v>
      </c>
      <c r="B570" s="239">
        <v>262569.87</v>
      </c>
      <c r="C570" s="239">
        <f>BY71</f>
        <v>260767.91</v>
      </c>
      <c r="D570" s="181" t="s">
        <v>529</v>
      </c>
      <c r="E570" s="181" t="s">
        <v>529</v>
      </c>
      <c r="F570" s="262"/>
      <c r="G570" s="262"/>
      <c r="H570" s="264"/>
      <c r="J570" s="199"/>
      <c r="M570" s="264"/>
    </row>
    <row r="571" spans="1:13" ht="12.6" customHeight="1" x14ac:dyDescent="0.25">
      <c r="A571" s="180" t="s">
        <v>584</v>
      </c>
      <c r="B571" s="239">
        <v>0</v>
      </c>
      <c r="C571" s="239">
        <f>BZ71</f>
        <v>0</v>
      </c>
      <c r="D571" s="181" t="s">
        <v>529</v>
      </c>
      <c r="E571" s="181" t="s">
        <v>529</v>
      </c>
      <c r="F571" s="262"/>
      <c r="G571" s="262"/>
      <c r="H571" s="264"/>
      <c r="J571" s="199"/>
      <c r="M571" s="264"/>
    </row>
    <row r="572" spans="1:13" ht="12.6" customHeight="1" x14ac:dyDescent="0.25">
      <c r="A572" s="180" t="s">
        <v>585</v>
      </c>
      <c r="B572" s="239">
        <v>57432.61</v>
      </c>
      <c r="C572" s="239">
        <f>CA71</f>
        <v>50549.73</v>
      </c>
      <c r="D572" s="181" t="s">
        <v>529</v>
      </c>
      <c r="E572" s="181" t="s">
        <v>529</v>
      </c>
      <c r="F572" s="262"/>
      <c r="G572" s="262"/>
      <c r="H572" s="264"/>
      <c r="J572" s="199"/>
      <c r="M572" s="264"/>
    </row>
    <row r="573" spans="1:13" ht="12.6" customHeight="1" x14ac:dyDescent="0.25">
      <c r="A573" s="180" t="s">
        <v>586</v>
      </c>
      <c r="B573" s="239">
        <v>0</v>
      </c>
      <c r="C573" s="239">
        <f>CB71</f>
        <v>0</v>
      </c>
      <c r="D573" s="181" t="s">
        <v>529</v>
      </c>
      <c r="E573" s="181" t="s">
        <v>529</v>
      </c>
      <c r="F573" s="262"/>
      <c r="G573" s="262"/>
      <c r="H573" s="264"/>
      <c r="J573" s="199"/>
      <c r="M573" s="264"/>
    </row>
    <row r="574" spans="1:13" ht="12.6" customHeight="1" x14ac:dyDescent="0.25">
      <c r="A574" s="180" t="s">
        <v>587</v>
      </c>
      <c r="B574" s="239">
        <v>37556.550000000003</v>
      </c>
      <c r="C574" s="239">
        <f>CC71</f>
        <v>37528.120000000003</v>
      </c>
      <c r="D574" s="181" t="s">
        <v>529</v>
      </c>
      <c r="E574" s="181" t="s">
        <v>529</v>
      </c>
      <c r="F574" s="262"/>
      <c r="G574" s="262"/>
      <c r="H574" s="264"/>
      <c r="J574" s="199"/>
      <c r="M574" s="264"/>
    </row>
    <row r="575" spans="1:13" ht="12.6" customHeight="1" x14ac:dyDescent="0.25">
      <c r="A575" s="180" t="s">
        <v>588</v>
      </c>
      <c r="B575" s="239">
        <v>486307.38</v>
      </c>
      <c r="C575" s="239">
        <f>CD71</f>
        <v>728871.16000000015</v>
      </c>
      <c r="D575" s="181" t="s">
        <v>529</v>
      </c>
      <c r="E575" s="181" t="s">
        <v>529</v>
      </c>
      <c r="F575" s="262"/>
      <c r="G575" s="262"/>
      <c r="H575" s="264"/>
    </row>
    <row r="576" spans="1:13" ht="12.6" customHeight="1" x14ac:dyDescent="0.25">
      <c r="M576" s="264"/>
    </row>
    <row r="577" spans="13:13" ht="12.6" customHeight="1" x14ac:dyDescent="0.25">
      <c r="M577" s="264"/>
    </row>
    <row r="578" spans="13:13" ht="12.6" customHeight="1" x14ac:dyDescent="0.25">
      <c r="M578" s="264"/>
    </row>
    <row r="612" spans="1:14" ht="12.6" customHeight="1" x14ac:dyDescent="0.25">
      <c r="A612" s="196"/>
      <c r="C612" s="181" t="s">
        <v>589</v>
      </c>
      <c r="D612" s="180">
        <f>CE76-(BE76+CD76)</f>
        <v>56179</v>
      </c>
      <c r="E612" s="180">
        <f>SUM(C624:D647)+SUM(C668:D713)</f>
        <v>29645475.723012693</v>
      </c>
      <c r="F612" s="180">
        <f>CE64-(AX64+BD64+BE64+BG64+BJ64+BN64+BP64+BQ64+CB64+CC64+CD64)</f>
        <v>3800916</v>
      </c>
      <c r="G612" s="180">
        <f>CE77-(AX77+AY77+BD77+BE77+BG77+BJ77+BN77+BP77+BQ77+CB77+CC77+CD77)</f>
        <v>8797</v>
      </c>
      <c r="H612" s="197">
        <f>CE60-(AX60+AY60+AZ60+BD60+BE60+BG60+BJ60+BN60+BO60+BP60+BQ60+BR60+CB60+CC60+CD60)</f>
        <v>174.89000000000001</v>
      </c>
      <c r="I612" s="180">
        <f>CE78-(AX78+AY78+AZ78+BD78+BE78+BF78+BG78+BJ78+BN78+BO78+BP78+BQ78+BR78+CB78+CC78+CD78)</f>
        <v>15414.36</v>
      </c>
      <c r="J612" s="180">
        <f>CE79-(AX79+AY79+AZ79+BA79+BD79+BE79+BF79+BG79+BJ79+BN79+BO79+BP79+BQ79+BR79+CB79+CC79+CD79)</f>
        <v>109270</v>
      </c>
      <c r="K612" s="180">
        <f>CE75-(AW75+AX75+AY75+AZ75+BA75+BB75+BC75+BD75+BE75+BF75+BG75+BH75+BI75+BJ75+BK75+BL75+BM75+BN75+BO75+BP75+BQ75+BR75+BS75+BT75+BU75+BV75+BW75+BX75+CB75+CC75+CD75)</f>
        <v>63063999</v>
      </c>
      <c r="L612" s="197">
        <f>CE80-(AW80+AX80+AY80+AZ80+BA80+BB80+BC80+BD80+BE80+BF80+BG80+BH80+BI80+BJ80+BK80+BL80+BM80+BN80+BO80+BP80+BQ80+BR80+BS80+BT80+BU80+BV80+BW80+BX80+BY80+BZ80+CA80+CB80+CC80+CD80)</f>
        <v>42.260000000000005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755162.77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728871.16000000015</v>
      </c>
      <c r="D615" s="265">
        <f>SUM(C614:C615)</f>
        <v>1484033.9300000002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600288.06999999995</v>
      </c>
      <c r="D617" s="180">
        <f>(D615/D612)*BJ76</f>
        <v>18412.069442496308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119495</v>
      </c>
      <c r="D618" s="180">
        <f>(D615/D612)*BG76</f>
        <v>7713.5212011605763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535708.77</v>
      </c>
      <c r="D619" s="180">
        <f>(D615/D612)*BN76</f>
        <v>16985.596343651545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37528.120000000003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0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0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1336131.1469873085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127934.42</v>
      </c>
      <c r="D624" s="180">
        <f>(D615/D612)*BD76</f>
        <v>9060.7457945139649</v>
      </c>
      <c r="E624" s="180">
        <f>(E623/E612)*SUM(C624:D624)</f>
        <v>6174.4162824363284</v>
      </c>
      <c r="F624" s="180">
        <f>SUM(C624:E624)</f>
        <v>143169.58207695029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366754.43000000005</v>
      </c>
      <c r="D625" s="180">
        <f>(D615/D612)*AY76</f>
        <v>39703.501251179267</v>
      </c>
      <c r="E625" s="180">
        <f>(E623/E612)*SUM(C625:D625)</f>
        <v>18319.189982272841</v>
      </c>
      <c r="F625" s="180">
        <f>(F624/F612)*AY64</f>
        <v>4237.9283518703587</v>
      </c>
      <c r="G625" s="180">
        <f>SUM(C625:F625)</f>
        <v>429015.0495853225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305037.49</v>
      </c>
      <c r="D626" s="180">
        <f>(D615/D612)*BR76</f>
        <v>8268.2607396002077</v>
      </c>
      <c r="E626" s="180">
        <f>(E623/E612)*SUM(C626:D626)</f>
        <v>14120.791179224168</v>
      </c>
      <c r="F626" s="180">
        <f>(F624/F612)*BR64</f>
        <v>13.334162621652361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41233.74</v>
      </c>
      <c r="D627" s="180">
        <f>(D615/D612)*BO76</f>
        <v>0</v>
      </c>
      <c r="E627" s="180">
        <f>(E623/E612)*SUM(C627:D627)</f>
        <v>1858.4179534015459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1490</v>
      </c>
      <c r="D628" s="180">
        <f>(D615/D612)*AZ76</f>
        <v>17196.925691628545</v>
      </c>
      <c r="E628" s="180">
        <f>(E623/E612)*SUM(C628:D628)</f>
        <v>842.22576460934874</v>
      </c>
      <c r="F628" s="180">
        <f>(F624/F612)*AZ64</f>
        <v>0</v>
      </c>
      <c r="G628" s="180">
        <f>(G625/G612)*AZ77</f>
        <v>0</v>
      </c>
      <c r="H628" s="180">
        <f>SUM(C626:G628)</f>
        <v>390061.18549108546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459884.9</v>
      </c>
      <c r="D629" s="180">
        <f>(D615/D612)*BF76</f>
        <v>9245.6589739938427</v>
      </c>
      <c r="E629" s="180">
        <f>(E623/E612)*SUM(C629:D629)</f>
        <v>21143.865516117941</v>
      </c>
      <c r="F629" s="180">
        <f>(F624/F612)*BF64</f>
        <v>1171.8619585373633</v>
      </c>
      <c r="G629" s="180">
        <f>(G625/G612)*BF77</f>
        <v>0</v>
      </c>
      <c r="H629" s="180">
        <f>(H628/H612)*BF60</f>
        <v>21946.378096130597</v>
      </c>
      <c r="I629" s="180">
        <f>SUM(C629:H629)</f>
        <v>513392.66454477981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119240</v>
      </c>
      <c r="D630" s="180">
        <f>(D615/D612)*BA76</f>
        <v>13366.581259545383</v>
      </c>
      <c r="E630" s="180">
        <f>(E623/E612)*SUM(C630:D630)</f>
        <v>5976.6213627951311</v>
      </c>
      <c r="F630" s="180">
        <f>(F624/F612)*BA64</f>
        <v>0</v>
      </c>
      <c r="G630" s="180">
        <f>(G625/G612)*BA77</f>
        <v>0</v>
      </c>
      <c r="H630" s="180">
        <f>(H628/H612)*BA60</f>
        <v>0</v>
      </c>
      <c r="I630" s="180">
        <f>(I629/I612)*BA78</f>
        <v>19277.920599049456</v>
      </c>
      <c r="J630" s="180">
        <f>SUM(C630:I630)</f>
        <v>157861.12322138995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686278.45</v>
      </c>
      <c r="D635" s="180">
        <f>(D615/D612)*BK76</f>
        <v>44141.417558696317</v>
      </c>
      <c r="E635" s="180">
        <f>(E623/E612)*SUM(C635:D635)</f>
        <v>32920.258880040004</v>
      </c>
      <c r="F635" s="180">
        <f>(F624/F612)*BK64</f>
        <v>1994.1353202059256</v>
      </c>
      <c r="G635" s="180">
        <f>(G625/G612)*BK77</f>
        <v>0</v>
      </c>
      <c r="H635" s="180">
        <f>(H628/H612)*BK60</f>
        <v>22503.958840442858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507072.49</v>
      </c>
      <c r="D636" s="180">
        <f>(D615/D612)*BH76</f>
        <v>17223.341860125671</v>
      </c>
      <c r="E636" s="180">
        <f>(E623/E612)*SUM(C636:D636)</f>
        <v>23630.182147495128</v>
      </c>
      <c r="F636" s="180">
        <f>(F624/F612)*BH64</f>
        <v>792.06432657657024</v>
      </c>
      <c r="G636" s="180">
        <f>(G625/G612)*BH77</f>
        <v>0</v>
      </c>
      <c r="H636" s="180">
        <f>(H628/H612)*BH60</f>
        <v>6401.0269447047576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295740</v>
      </c>
      <c r="D637" s="180">
        <f>(D615/D612)*BL76</f>
        <v>6656.8744612755663</v>
      </c>
      <c r="E637" s="180">
        <f>(E623/E612)*SUM(C637:D637)</f>
        <v>13629.12460890882</v>
      </c>
      <c r="F637" s="180">
        <f>(F624/F612)*BL64</f>
        <v>350.56794214609755</v>
      </c>
      <c r="G637" s="180">
        <f>(G625/G612)*BL77</f>
        <v>0</v>
      </c>
      <c r="H637" s="180">
        <f>(H628/H612)*BL60</f>
        <v>10214.879235800623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0</v>
      </c>
      <c r="D639" s="180">
        <f>(D615/D612)*BS76</f>
        <v>0</v>
      </c>
      <c r="E639" s="180">
        <f>(E623/E612)*SUM(C639:D639)</f>
        <v>0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0</v>
      </c>
      <c r="D640" s="180">
        <f>(D615/D612)*BT76</f>
        <v>0</v>
      </c>
      <c r="E640" s="180">
        <f>(E623/E612)*SUM(C640:D640)</f>
        <v>0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591727.06000000006</v>
      </c>
      <c r="D642" s="180">
        <f>(D615/D612)*BV76</f>
        <v>39835.582093664896</v>
      </c>
      <c r="E642" s="180">
        <f>(E623/E612)*SUM(C642:D642)</f>
        <v>28464.731861931075</v>
      </c>
      <c r="F642" s="180">
        <f>(F624/F612)*BV64</f>
        <v>69.608848940151304</v>
      </c>
      <c r="G642" s="180">
        <f>(G625/G612)*BV77</f>
        <v>0</v>
      </c>
      <c r="H642" s="180">
        <f>(H628/H612)*BV60</f>
        <v>17418.822452315035</v>
      </c>
      <c r="I642" s="180">
        <f>(I629/I612)*BV78</f>
        <v>0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0</v>
      </c>
      <c r="D643" s="180">
        <f>(D615/D612)*BW76</f>
        <v>0</v>
      </c>
      <c r="E643" s="180">
        <f>(E623/E612)*SUM(C643:D643)</f>
        <v>0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99289</v>
      </c>
      <c r="D644" s="180">
        <f>(D615/D612)*BX76</f>
        <v>0</v>
      </c>
      <c r="E644" s="180">
        <f>(E623/E612)*SUM(C644:D644)</f>
        <v>4474.987235581495</v>
      </c>
      <c r="F644" s="180">
        <f>(F624/F612)*BX64</f>
        <v>0</v>
      </c>
      <c r="G644" s="180">
        <f>(G625/G612)*BX77</f>
        <v>0</v>
      </c>
      <c r="H644" s="180">
        <f>(H628/H612)*BX60</f>
        <v>2453.3552749739492</v>
      </c>
      <c r="I644" s="180">
        <f>(I629/I612)*BX78</f>
        <v>0</v>
      </c>
      <c r="J644" s="180">
        <f>(J630/J612)*BX79</f>
        <v>0</v>
      </c>
      <c r="K644" s="180">
        <f>SUM(C631:J644)</f>
        <v>2453281.9198938259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260767.91</v>
      </c>
      <c r="D645" s="180">
        <f>(D615/D612)*BY76</f>
        <v>8268.2607396002077</v>
      </c>
      <c r="E645" s="180">
        <f>(E623/E612)*SUM(C645:D645)</f>
        <v>12125.546938426558</v>
      </c>
      <c r="F645" s="180">
        <f>(F624/F612)*BY64</f>
        <v>24.558966184512258</v>
      </c>
      <c r="G645" s="180">
        <f>(G625/G612)*BY77</f>
        <v>0</v>
      </c>
      <c r="H645" s="180">
        <f>(H628/H612)*BY60</f>
        <v>4215.3104270006934</v>
      </c>
      <c r="I645" s="180">
        <f>(I629/I612)*BY78</f>
        <v>0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50549.73</v>
      </c>
      <c r="D647" s="180">
        <f>(D615/D612)*CA76</f>
        <v>56794.762268819315</v>
      </c>
      <c r="E647" s="180">
        <f>(E623/E612)*SUM(C647:D647)</f>
        <v>4838.0508688066438</v>
      </c>
      <c r="F647" s="180">
        <f>(F624/F612)*CA64</f>
        <v>451.70417558998622</v>
      </c>
      <c r="G647" s="180">
        <f>(G625/G612)*CA77</f>
        <v>0</v>
      </c>
      <c r="H647" s="180">
        <f>(H628/H612)*CA60</f>
        <v>111.51614886245223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398147.35053329036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6690053.5100000016</v>
      </c>
      <c r="L648" s="265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21593</v>
      </c>
      <c r="D668" s="180">
        <f>(D615/D612)*C76</f>
        <v>0</v>
      </c>
      <c r="E668" s="180">
        <f>(E623/E612)*SUM(C668:D668)</f>
        <v>973.20347045404037</v>
      </c>
      <c r="F668" s="180">
        <f>(F624/F612)*C64</f>
        <v>1.8456891764434058</v>
      </c>
      <c r="G668" s="180">
        <f>(G625/G612)*C77</f>
        <v>0</v>
      </c>
      <c r="H668" s="180">
        <f>(H628/H612)*C60</f>
        <v>512.97428476728021</v>
      </c>
      <c r="I668" s="180">
        <f>(I629/I612)*C78</f>
        <v>0</v>
      </c>
      <c r="J668" s="180">
        <f>(J630/J612)*C79</f>
        <v>0</v>
      </c>
      <c r="K668" s="180">
        <f>(K644/K612)*C75</f>
        <v>119.81651073654533</v>
      </c>
      <c r="L668" s="180">
        <f>(L647/L612)*C80</f>
        <v>1695.8476832937117</v>
      </c>
      <c r="M668" s="180">
        <f t="shared" ref="M668:M713" si="20">ROUND(SUM(D668:L668),0)</f>
        <v>3304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3358147.02</v>
      </c>
      <c r="D670" s="180">
        <f>(D615/D612)*E76</f>
        <v>154745.91505615978</v>
      </c>
      <c r="E670" s="180">
        <f>(E623/E612)*SUM(C670:D670)</f>
        <v>158327.21695596416</v>
      </c>
      <c r="F670" s="180">
        <f>(F624/F612)*E64</f>
        <v>2773.6564938078905</v>
      </c>
      <c r="G670" s="180">
        <f>(G625/G612)*E77</f>
        <v>334648.31991070625</v>
      </c>
      <c r="H670" s="180">
        <f>(H628/H612)*E60</f>
        <v>60642.481751401523</v>
      </c>
      <c r="I670" s="180">
        <f>(I629/I612)*E78</f>
        <v>172878.12771550965</v>
      </c>
      <c r="J670" s="180">
        <f>(J630/J612)*E79</f>
        <v>74053.292900203422</v>
      </c>
      <c r="K670" s="180">
        <f>(K644/K612)*E75</f>
        <v>177319.21624299471</v>
      </c>
      <c r="L670" s="180">
        <f>(L647/L612)*E80</f>
        <v>119651.47543238966</v>
      </c>
      <c r="M670" s="180">
        <f t="shared" si="20"/>
        <v>1255040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1116</v>
      </c>
      <c r="D675" s="180">
        <f>(D615/D612)*J76</f>
        <v>3751.0959265917872</v>
      </c>
      <c r="E675" s="180">
        <f>(E623/E612)*SUM(C675:D675)</f>
        <v>219.36158230870424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16011.453783783991</v>
      </c>
      <c r="L675" s="180">
        <f>(L647/L612)*J80</f>
        <v>0</v>
      </c>
      <c r="M675" s="180">
        <f t="shared" si="20"/>
        <v>19982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50161</v>
      </c>
      <c r="D677" s="180">
        <f>(D615/D612)*L76</f>
        <v>0</v>
      </c>
      <c r="E677" s="180">
        <f>(E623/E612)*SUM(C677:D677)</f>
        <v>2260.7724392833379</v>
      </c>
      <c r="F677" s="180">
        <f>(F624/F612)*L64</f>
        <v>41.584507159051434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1894.7736326119848</v>
      </c>
      <c r="L677" s="180">
        <f>(L647/L612)*L80</f>
        <v>0</v>
      </c>
      <c r="M677" s="180">
        <f t="shared" si="20"/>
        <v>4197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1150827.3899999999</v>
      </c>
      <c r="D680" s="180">
        <f>(D615/D612)*O76</f>
        <v>40495.986306093029</v>
      </c>
      <c r="E680" s="180">
        <f>(E623/E612)*SUM(C680:D680)</f>
        <v>53693.328590474426</v>
      </c>
      <c r="F680" s="180">
        <f>(F624/F612)*O64</f>
        <v>1130.4281198825113</v>
      </c>
      <c r="G680" s="180">
        <f>(G625/G612)*O77</f>
        <v>94366.729674616232</v>
      </c>
      <c r="H680" s="180">
        <f>(H628/H612)*O60</f>
        <v>13225.815255086833</v>
      </c>
      <c r="I680" s="180">
        <f>(I629/I612)*O78</f>
        <v>24252.524045213184</v>
      </c>
      <c r="J680" s="180">
        <f>(J630/J612)*O79</f>
        <v>7597.6173425577908</v>
      </c>
      <c r="K680" s="180">
        <f>(K644/K612)*O75</f>
        <v>56044.328502877179</v>
      </c>
      <c r="L680" s="180">
        <f>(L647/L612)*O80</f>
        <v>48614.300254419737</v>
      </c>
      <c r="M680" s="180">
        <f t="shared" si="20"/>
        <v>339421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1401020.66</v>
      </c>
      <c r="D681" s="180">
        <f>(D615/D612)*P76</f>
        <v>112559.29396625074</v>
      </c>
      <c r="E681" s="180">
        <f>(E623/E612)*SUM(C681:D681)</f>
        <v>68217.536424286664</v>
      </c>
      <c r="F681" s="180">
        <f>(F624/F612)*P64</f>
        <v>4826.0628580129578</v>
      </c>
      <c r="G681" s="180">
        <f>(G625/G612)*P77</f>
        <v>0</v>
      </c>
      <c r="H681" s="180">
        <f>(H628/H612)*P60</f>
        <v>21946.378096130597</v>
      </c>
      <c r="I681" s="180">
        <f>(I629/I612)*P78</f>
        <v>43064.15883650761</v>
      </c>
      <c r="J681" s="180">
        <f>(J630/J612)*P79</f>
        <v>41224.189174726482</v>
      </c>
      <c r="K681" s="180">
        <f>(K644/K612)*P75</f>
        <v>229527.86034372143</v>
      </c>
      <c r="L681" s="180">
        <f>(L647/L612)*P80</f>
        <v>32974.816064044397</v>
      </c>
      <c r="M681" s="180">
        <f t="shared" si="20"/>
        <v>554340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560044</v>
      </c>
      <c r="D682" s="180">
        <f>(D615/D612)*Q76</f>
        <v>53360.660364193027</v>
      </c>
      <c r="E682" s="180">
        <f>(E623/E612)*SUM(C682:D682)</f>
        <v>27646.345772199998</v>
      </c>
      <c r="F682" s="180">
        <f>(F624/F612)*Q64</f>
        <v>429.17923421216665</v>
      </c>
      <c r="G682" s="180">
        <f>(G625/G612)*Q77</f>
        <v>0</v>
      </c>
      <c r="H682" s="180">
        <f>(H628/H612)*Q60</f>
        <v>9858.0275594407758</v>
      </c>
      <c r="I682" s="180">
        <f>(I629/I612)*Q78</f>
        <v>39177.333567578127</v>
      </c>
      <c r="J682" s="180">
        <f>(J630/J612)*Q79</f>
        <v>0</v>
      </c>
      <c r="K682" s="180">
        <f>(K644/K612)*Q75</f>
        <v>61195.971646974329</v>
      </c>
      <c r="L682" s="180">
        <f>(L647/L612)*Q80</f>
        <v>35707.015109350934</v>
      </c>
      <c r="M682" s="180">
        <f t="shared" si="20"/>
        <v>227375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805335</v>
      </c>
      <c r="D683" s="180">
        <f>(D615/D612)*R76</f>
        <v>0</v>
      </c>
      <c r="E683" s="180">
        <f>(E623/E612)*SUM(C683:D683)</f>
        <v>36296.70804789073</v>
      </c>
      <c r="F683" s="180">
        <f>(F624/F612)*R64</f>
        <v>260.16683962642048</v>
      </c>
      <c r="G683" s="180">
        <f>(G625/G612)*R77</f>
        <v>0</v>
      </c>
      <c r="H683" s="180">
        <f>(H628/H612)*R60</f>
        <v>6378.7237149322673</v>
      </c>
      <c r="I683" s="180">
        <f>(I629/I612)*R78</f>
        <v>0</v>
      </c>
      <c r="J683" s="180">
        <f>(J630/J612)*R79</f>
        <v>0</v>
      </c>
      <c r="K683" s="180">
        <f>(K644/K612)*R75</f>
        <v>80447.333903710649</v>
      </c>
      <c r="L683" s="180">
        <f>(L647/L612)*R80</f>
        <v>0</v>
      </c>
      <c r="M683" s="180">
        <f t="shared" si="20"/>
        <v>123383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2046600.93</v>
      </c>
      <c r="D684" s="180">
        <f>(D615/D612)*S76</f>
        <v>43005.522313319925</v>
      </c>
      <c r="E684" s="180">
        <f>(E623/E612)*SUM(C684:D684)</f>
        <v>94179.236385610056</v>
      </c>
      <c r="F684" s="180">
        <f>(F624/F612)*S64</f>
        <v>73158.937903225073</v>
      </c>
      <c r="G684" s="180">
        <f>(G625/G612)*S77</f>
        <v>0</v>
      </c>
      <c r="H684" s="180">
        <f>(H628/H612)*S60</f>
        <v>4326.826575863146</v>
      </c>
      <c r="I684" s="180">
        <f>(I629/I612)*S78</f>
        <v>9949.8730149099629</v>
      </c>
      <c r="J684" s="180">
        <f>(J630/J612)*S79</f>
        <v>0</v>
      </c>
      <c r="K684" s="180">
        <f>(K644/K612)*S75</f>
        <v>250499.67877053388</v>
      </c>
      <c r="L684" s="180">
        <f>(L647/L612)*S80</f>
        <v>0</v>
      </c>
      <c r="M684" s="180">
        <f t="shared" si="20"/>
        <v>475120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0</v>
      </c>
      <c r="D685" s="180">
        <f>(D615/D612)*T76</f>
        <v>0</v>
      </c>
      <c r="E685" s="180">
        <f>(E623/E612)*SUM(C685:D685)</f>
        <v>0</v>
      </c>
      <c r="F685" s="180">
        <f>(F624/F612)*T64</f>
        <v>0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0</v>
      </c>
      <c r="L685" s="180">
        <f>(L647/L612)*T80</f>
        <v>0</v>
      </c>
      <c r="M685" s="180">
        <f t="shared" si="20"/>
        <v>0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1317790.69</v>
      </c>
      <c r="D686" s="180">
        <f>(D615/D612)*U76</f>
        <v>32042.812387012942</v>
      </c>
      <c r="E686" s="180">
        <f>(E623/E612)*SUM(C686:D686)</f>
        <v>60837.431068317186</v>
      </c>
      <c r="F686" s="180">
        <f>(F624/F612)*U64</f>
        <v>14788.829362572114</v>
      </c>
      <c r="G686" s="180">
        <f>(G625/G612)*U77</f>
        <v>0</v>
      </c>
      <c r="H686" s="180">
        <f>(H628/H612)*U60</f>
        <v>16303.660963690514</v>
      </c>
      <c r="I686" s="180">
        <f>(I629/I612)*U78</f>
        <v>15857.381137875016</v>
      </c>
      <c r="J686" s="180">
        <f>(J630/J612)*U79</f>
        <v>0</v>
      </c>
      <c r="K686" s="180">
        <f>(K644/K612)*U75</f>
        <v>227844.28276201486</v>
      </c>
      <c r="L686" s="180">
        <f>(L647/L612)*U80</f>
        <v>0</v>
      </c>
      <c r="M686" s="180">
        <f t="shared" si="20"/>
        <v>367674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19368</v>
      </c>
      <c r="D687" s="180">
        <f>(D615/D612)*V76</f>
        <v>0</v>
      </c>
      <c r="E687" s="180">
        <f>(E623/E612)*SUM(C687:D687)</f>
        <v>872.92200323039197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8147.3671242269829</v>
      </c>
      <c r="L687" s="180">
        <f>(L647/L612)*V80</f>
        <v>0</v>
      </c>
      <c r="M687" s="180">
        <f t="shared" si="20"/>
        <v>9020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0</v>
      </c>
      <c r="D689" s="180">
        <f>(D615/D612)*X76</f>
        <v>0</v>
      </c>
      <c r="E689" s="180">
        <f>(E623/E612)*SUM(C689:D689)</f>
        <v>0</v>
      </c>
      <c r="F689" s="180">
        <f>(F624/F612)*X64</f>
        <v>0</v>
      </c>
      <c r="G689" s="180">
        <f>(G625/G612)*X77</f>
        <v>0</v>
      </c>
      <c r="H689" s="180">
        <f>(H628/H612)*X60</f>
        <v>0</v>
      </c>
      <c r="I689" s="180">
        <f>(I629/I612)*X78</f>
        <v>0</v>
      </c>
      <c r="J689" s="180">
        <f>(J630/J612)*X79</f>
        <v>0</v>
      </c>
      <c r="K689" s="180">
        <f>(K644/K612)*X75</f>
        <v>0</v>
      </c>
      <c r="L689" s="180">
        <f>(L647/L612)*X80</f>
        <v>0</v>
      </c>
      <c r="M689" s="180">
        <f t="shared" si="20"/>
        <v>0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2944709.8</v>
      </c>
      <c r="D690" s="180">
        <f>(D615/D612)*Y76</f>
        <v>132661.99819256307</v>
      </c>
      <c r="E690" s="180">
        <f>(E623/E612)*SUM(C690:D690)</f>
        <v>138698.13892828199</v>
      </c>
      <c r="F690" s="180">
        <f>(F624/F612)*Y64</f>
        <v>11843.599109607087</v>
      </c>
      <c r="G690" s="180">
        <f>(G625/G612)*Y77</f>
        <v>0</v>
      </c>
      <c r="H690" s="180">
        <f>(H628/H612)*Y60</f>
        <v>22838.507287030217</v>
      </c>
      <c r="I690" s="180">
        <f>(I629/I612)*Y78</f>
        <v>31870.634960056712</v>
      </c>
      <c r="J690" s="180">
        <f>(J630/J612)*Y79</f>
        <v>15835.23173450769</v>
      </c>
      <c r="K690" s="180">
        <f>(K644/K612)*Y75</f>
        <v>604961.92652369023</v>
      </c>
      <c r="L690" s="180">
        <f>(L647/L612)*Y80</f>
        <v>2449.5577647575838</v>
      </c>
      <c r="M690" s="180">
        <f t="shared" si="20"/>
        <v>961160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0</v>
      </c>
      <c r="D692" s="180">
        <f>(D615/D612)*AA76</f>
        <v>0</v>
      </c>
      <c r="E692" s="180">
        <f>(E623/E612)*SUM(C692:D692)</f>
        <v>0</v>
      </c>
      <c r="F692" s="180">
        <f>(F624/F612)*AA64</f>
        <v>0</v>
      </c>
      <c r="G692" s="180">
        <f>(G625/G612)*AA77</f>
        <v>0</v>
      </c>
      <c r="H692" s="180">
        <f>(H628/H612)*AA60</f>
        <v>0</v>
      </c>
      <c r="I692" s="180">
        <f>(I629/I612)*AA78</f>
        <v>0</v>
      </c>
      <c r="J692" s="180">
        <f>(J630/J612)*AA79</f>
        <v>0</v>
      </c>
      <c r="K692" s="180">
        <f>(K644/K612)*AA75</f>
        <v>0</v>
      </c>
      <c r="L692" s="180">
        <f>(L647/L612)*AA80</f>
        <v>0</v>
      </c>
      <c r="M692" s="180">
        <f t="shared" si="20"/>
        <v>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738886.80999999994</v>
      </c>
      <c r="D693" s="180">
        <f>(D615/D612)*AB76</f>
        <v>15532.707076309654</v>
      </c>
      <c r="E693" s="180">
        <f>(E623/E612)*SUM(C693:D693)</f>
        <v>34001.930820030822</v>
      </c>
      <c r="F693" s="180">
        <f>(F624/F612)*AB64</f>
        <v>15002.364300148802</v>
      </c>
      <c r="G693" s="180">
        <f>(G625/G612)*AB77</f>
        <v>0</v>
      </c>
      <c r="H693" s="180">
        <f>(H628/H612)*AB60</f>
        <v>4527.55564381556</v>
      </c>
      <c r="I693" s="180">
        <f>(I629/I612)*AB78</f>
        <v>1554.7301075717917</v>
      </c>
      <c r="J693" s="180">
        <f>(J630/J612)*AB79</f>
        <v>0</v>
      </c>
      <c r="K693" s="180">
        <f>(K644/K612)*AB75</f>
        <v>110215.47368595366</v>
      </c>
      <c r="L693" s="180">
        <f>(L647/L612)*AB80</f>
        <v>0</v>
      </c>
      <c r="M693" s="180">
        <f t="shared" si="20"/>
        <v>180835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334360.28000000003</v>
      </c>
      <c r="D694" s="180">
        <f>(D615/D612)*AC76</f>
        <v>10407.970387867354</v>
      </c>
      <c r="E694" s="180">
        <f>(E623/E612)*SUM(C694:D694)</f>
        <v>15538.816180236192</v>
      </c>
      <c r="F694" s="180">
        <f>(F624/F612)*AC64</f>
        <v>761.06428183753098</v>
      </c>
      <c r="G694" s="180">
        <f>(G625/G612)*AC77</f>
        <v>0</v>
      </c>
      <c r="H694" s="180">
        <f>(H628/H612)*AC60</f>
        <v>6624.0592424296628</v>
      </c>
      <c r="I694" s="180">
        <f>(I629/I612)*AC78</f>
        <v>5596.761938225447</v>
      </c>
      <c r="J694" s="180">
        <f>(J630/J612)*AC79</f>
        <v>0</v>
      </c>
      <c r="K694" s="180">
        <f>(K644/K612)*AC75</f>
        <v>22562.499311233656</v>
      </c>
      <c r="L694" s="180">
        <f>(L647/L612)*AC80</f>
        <v>0</v>
      </c>
      <c r="M694" s="180">
        <f t="shared" si="20"/>
        <v>61491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532014.65999999992</v>
      </c>
      <c r="D696" s="180">
        <f>(D615/D612)*AE76</f>
        <v>61602.504935296114</v>
      </c>
      <c r="E696" s="180">
        <f>(E623/E612)*SUM(C696:D696)</f>
        <v>26754.516974765833</v>
      </c>
      <c r="F696" s="180">
        <f>(F624/F612)*AE64</f>
        <v>337.00777676814596</v>
      </c>
      <c r="G696" s="180">
        <f>(G625/G612)*AE77</f>
        <v>0</v>
      </c>
      <c r="H696" s="180">
        <f>(H628/H612)*AE60</f>
        <v>12155.260226007293</v>
      </c>
      <c r="I696" s="180">
        <f>(I629/I612)*AE78</f>
        <v>15080.349145380373</v>
      </c>
      <c r="J696" s="180">
        <f>(J630/J612)*AE79</f>
        <v>0</v>
      </c>
      <c r="K696" s="180">
        <f>(K644/K612)*AE75</f>
        <v>45026.694621613009</v>
      </c>
      <c r="L696" s="180">
        <f>(L647/L612)*AE80</f>
        <v>0</v>
      </c>
      <c r="M696" s="180">
        <f t="shared" si="20"/>
        <v>160956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3800215.78</v>
      </c>
      <c r="D698" s="180">
        <f>(D615/D612)*AG76</f>
        <v>98136.065966820344</v>
      </c>
      <c r="E698" s="180">
        <f>(E623/E612)*SUM(C698:D698)</f>
        <v>175699.97432250378</v>
      </c>
      <c r="F698" s="180">
        <f>(F624/F612)*AG64</f>
        <v>3094.2037364922453</v>
      </c>
      <c r="G698" s="180">
        <f>(G625/G612)*AG77</f>
        <v>0</v>
      </c>
      <c r="H698" s="180">
        <f>(H628/H612)*AG60</f>
        <v>51074.396179003117</v>
      </c>
      <c r="I698" s="180">
        <f>(I629/I612)*AG78</f>
        <v>77266.555896630758</v>
      </c>
      <c r="J698" s="180">
        <f>(J630/J612)*AG79</f>
        <v>19150.792069394574</v>
      </c>
      <c r="K698" s="180">
        <f>(K644/K612)*AG75</f>
        <v>239851.92001397201</v>
      </c>
      <c r="L698" s="180">
        <f>(L647/L612)*AG80</f>
        <v>69435.541254859199</v>
      </c>
      <c r="M698" s="180">
        <f t="shared" si="20"/>
        <v>733709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0</v>
      </c>
      <c r="D701" s="180">
        <f>(D615/D612)*AJ76</f>
        <v>0</v>
      </c>
      <c r="E701" s="180">
        <f>(E623/E612)*SUM(C701:D701)</f>
        <v>0</v>
      </c>
      <c r="F701" s="180">
        <f>(F624/F612)*AJ64</f>
        <v>0</v>
      </c>
      <c r="G701" s="180">
        <f>(G625/G612)*AJ77</f>
        <v>0</v>
      </c>
      <c r="H701" s="180">
        <f>(H628/H612)*AJ60</f>
        <v>0</v>
      </c>
      <c r="I701" s="180">
        <f>(I629/I612)*AJ78</f>
        <v>0</v>
      </c>
      <c r="J701" s="180">
        <f>(J630/J612)*AJ79</f>
        <v>0</v>
      </c>
      <c r="K701" s="180">
        <f>(K644/K612)*AJ75</f>
        <v>0</v>
      </c>
      <c r="L701" s="180">
        <f>(L647/L612)*AJ80</f>
        <v>0</v>
      </c>
      <c r="M701" s="180">
        <f t="shared" si="20"/>
        <v>0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0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0</v>
      </c>
      <c r="D703" s="180">
        <f>(D615/D612)*AL76</f>
        <v>0</v>
      </c>
      <c r="E703" s="180">
        <f>(E623/E612)*SUM(C703:D703)</f>
        <v>0</v>
      </c>
      <c r="F703" s="180">
        <f>(F624/F612)*AL64</f>
        <v>0</v>
      </c>
      <c r="G703" s="180">
        <f>(G625/G612)*AL77</f>
        <v>0</v>
      </c>
      <c r="H703" s="180">
        <f>(H628/H612)*AL60</f>
        <v>0</v>
      </c>
      <c r="I703" s="180">
        <f>(I629/I612)*AL78</f>
        <v>0</v>
      </c>
      <c r="J703" s="180">
        <f>(J630/J612)*AL79</f>
        <v>0</v>
      </c>
      <c r="K703" s="180">
        <f>(K644/K612)*AL75</f>
        <v>0</v>
      </c>
      <c r="L703" s="180">
        <f>(L647/L612)*AL80</f>
        <v>0</v>
      </c>
      <c r="M703" s="180">
        <f t="shared" si="20"/>
        <v>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5209362.34</v>
      </c>
      <c r="D707" s="180">
        <f>(D615/D612)*AP76</f>
        <v>412858.29744157073</v>
      </c>
      <c r="E707" s="180">
        <f>(E623/E612)*SUM(C707:D707)</f>
        <v>253395.29643942314</v>
      </c>
      <c r="F707" s="180">
        <f>(F624/F612)*AP64</f>
        <v>5614.8878117492395</v>
      </c>
      <c r="G707" s="180">
        <f>(G625/G612)*AP77</f>
        <v>0</v>
      </c>
      <c r="H707" s="180">
        <f>(H628/H612)*AP60</f>
        <v>74381.271291255631</v>
      </c>
      <c r="I707" s="180">
        <f>(I629/I612)*AP78</f>
        <v>57566.313580271737</v>
      </c>
      <c r="J707" s="180">
        <f>(J630/J612)*AP79</f>
        <v>0</v>
      </c>
      <c r="K707" s="180">
        <f>(K644/K612)*AP75</f>
        <v>321611.32251317688</v>
      </c>
      <c r="L707" s="180">
        <f>(L647/L612)*AP80</f>
        <v>87618.796970175114</v>
      </c>
      <c r="M707" s="180">
        <f t="shared" si="20"/>
        <v>1213046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0"/>
        <v>0</v>
      </c>
      <c r="N713" s="199" t="s">
        <v>741</v>
      </c>
    </row>
    <row r="715" spans="1:83" ht="12.6" customHeight="1" x14ac:dyDescent="0.25">
      <c r="C715" s="180">
        <f>SUM(C614:C647)+SUM(C668:C713)</f>
        <v>30981606.870000001</v>
      </c>
      <c r="D715" s="180">
        <f>SUM(D616:D647)+SUM(D668:D713)</f>
        <v>1484033.93</v>
      </c>
      <c r="E715" s="180">
        <f>SUM(E624:E647)+SUM(E668:E713)</f>
        <v>1336131.1469873085</v>
      </c>
      <c r="F715" s="180">
        <f>SUM(F625:F648)+SUM(F668:F713)</f>
        <v>143169.58207695029</v>
      </c>
      <c r="G715" s="180">
        <f>SUM(G626:G647)+SUM(G668:G713)</f>
        <v>429015.0495853225</v>
      </c>
      <c r="H715" s="180">
        <f>SUM(H629:H647)+SUM(H668:H713)</f>
        <v>390061.1854910854</v>
      </c>
      <c r="I715" s="180">
        <f>SUM(I630:I647)+SUM(I668:I713)</f>
        <v>513392.66454477981</v>
      </c>
      <c r="J715" s="180">
        <f>SUM(J631:J647)+SUM(J668:J713)</f>
        <v>157861.12322138995</v>
      </c>
      <c r="K715" s="180">
        <f>SUM(K668:K713)</f>
        <v>2453281.9198938264</v>
      </c>
      <c r="L715" s="180">
        <f>SUM(L668:L713)</f>
        <v>398147.35053329036</v>
      </c>
      <c r="M715" s="180">
        <f>SUM(M668:M713)</f>
        <v>6690053</v>
      </c>
      <c r="N715" s="198" t="s">
        <v>742</v>
      </c>
    </row>
    <row r="716" spans="1:83" ht="12.6" customHeight="1" x14ac:dyDescent="0.25">
      <c r="C716" s="180">
        <f>CE71</f>
        <v>30981606.870000001</v>
      </c>
      <c r="D716" s="180">
        <f>D615</f>
        <v>1484033.9300000002</v>
      </c>
      <c r="E716" s="180">
        <f>E623</f>
        <v>1336131.1469873085</v>
      </c>
      <c r="F716" s="180">
        <f>F624</f>
        <v>143169.58207695029</v>
      </c>
      <c r="G716" s="180">
        <f>G625</f>
        <v>429015.0495853225</v>
      </c>
      <c r="H716" s="180">
        <f>H628</f>
        <v>390061.18549108546</v>
      </c>
      <c r="I716" s="180">
        <f>I629</f>
        <v>513392.66454477981</v>
      </c>
      <c r="J716" s="180">
        <f>J630</f>
        <v>157861.12322138995</v>
      </c>
      <c r="K716" s="180">
        <f>K644</f>
        <v>2453281.9198938259</v>
      </c>
      <c r="L716" s="180">
        <f>L647</f>
        <v>398147.35053329036</v>
      </c>
      <c r="M716" s="180">
        <f>C648</f>
        <v>6690053.5100000016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147*2017*A</v>
      </c>
      <c r="B722" s="275">
        <f>ROUND(C165,0)</f>
        <v>1021896</v>
      </c>
      <c r="C722" s="275">
        <f>ROUND(C166,0)</f>
        <v>23090</v>
      </c>
      <c r="D722" s="275">
        <f>ROUND(C167,0)</f>
        <v>223741</v>
      </c>
      <c r="E722" s="275">
        <f>ROUND(C168,0)</f>
        <v>2161369</v>
      </c>
      <c r="F722" s="275">
        <f>ROUND(C169,0)</f>
        <v>33825</v>
      </c>
      <c r="G722" s="275">
        <f>ROUND(C170,0)</f>
        <v>239157</v>
      </c>
      <c r="H722" s="275">
        <f>ROUND(C171+C172,0)</f>
        <v>34267</v>
      </c>
      <c r="I722" s="275">
        <f>ROUND(C175,0)</f>
        <v>2500</v>
      </c>
      <c r="J722" s="275">
        <f>ROUND(C176,0)</f>
        <v>367239</v>
      </c>
      <c r="K722" s="275">
        <f>ROUND(C179,0)</f>
        <v>390889</v>
      </c>
      <c r="L722" s="275">
        <f>ROUND(C180,0)</f>
        <v>82020</v>
      </c>
      <c r="M722" s="275">
        <f>ROUND(C183,0)</f>
        <v>22413</v>
      </c>
      <c r="N722" s="275">
        <f>ROUND(C184,0)</f>
        <v>151531</v>
      </c>
      <c r="O722" s="275">
        <f>ROUND(C185,0)</f>
        <v>0</v>
      </c>
      <c r="P722" s="275">
        <f>ROUND(C188,0)</f>
        <v>326656</v>
      </c>
      <c r="Q722" s="275">
        <f>ROUND(C189,0)</f>
        <v>0</v>
      </c>
      <c r="R722" s="275">
        <f>ROUND(B195,0)</f>
        <v>84306</v>
      </c>
      <c r="S722" s="275">
        <f>ROUND(C195,0)</f>
        <v>62000</v>
      </c>
      <c r="T722" s="275">
        <f>ROUND(D195,0)</f>
        <v>0</v>
      </c>
      <c r="U722" s="275">
        <f>ROUND(B196,0)</f>
        <v>1137603</v>
      </c>
      <c r="V722" s="275">
        <f>ROUND(C196,0)</f>
        <v>0</v>
      </c>
      <c r="W722" s="275">
        <f>ROUND(D196,0)</f>
        <v>0</v>
      </c>
      <c r="X722" s="275">
        <f>ROUND(B197,0)</f>
        <v>7458235</v>
      </c>
      <c r="Y722" s="275">
        <f>ROUND(C197,0)</f>
        <v>306445</v>
      </c>
      <c r="Z722" s="275">
        <f>ROUND(D197,0)</f>
        <v>2659</v>
      </c>
      <c r="AA722" s="275">
        <f>ROUND(B198,0)</f>
        <v>3415291</v>
      </c>
      <c r="AB722" s="275">
        <f>ROUND(C198,0)</f>
        <v>2253263</v>
      </c>
      <c r="AC722" s="275">
        <f>ROUND(D198,0)</f>
        <v>114835</v>
      </c>
      <c r="AD722" s="275">
        <f>ROUND(B199,0)</f>
        <v>230997</v>
      </c>
      <c r="AE722" s="275">
        <f>ROUND(C199,0)</f>
        <v>105246</v>
      </c>
      <c r="AF722" s="275">
        <f>ROUND(D199,0)</f>
        <v>14019</v>
      </c>
      <c r="AG722" s="275">
        <f>ROUND(B200,0)</f>
        <v>8089754</v>
      </c>
      <c r="AH722" s="275">
        <f>ROUND(C200,0)</f>
        <v>345627</v>
      </c>
      <c r="AI722" s="275">
        <f>ROUND(D200,0)</f>
        <v>271350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0</v>
      </c>
      <c r="AN722" s="275">
        <f>ROUND(C202,0)</f>
        <v>0</v>
      </c>
      <c r="AO722" s="275">
        <f>ROUND(D202,0)</f>
        <v>0</v>
      </c>
      <c r="AP722" s="275">
        <f>ROUND(B203,0)</f>
        <v>217255</v>
      </c>
      <c r="AQ722" s="275">
        <f>ROUND(C203,0)</f>
        <v>2536629</v>
      </c>
      <c r="AR722" s="275">
        <f>ROUND(D203,0)</f>
        <v>2733570</v>
      </c>
      <c r="AS722" s="275"/>
      <c r="AT722" s="275"/>
      <c r="AU722" s="275"/>
      <c r="AV722" s="275">
        <f>ROUND(B209,0)</f>
        <v>639254</v>
      </c>
      <c r="AW722" s="275">
        <f>ROUND(C209,0)</f>
        <v>91958</v>
      </c>
      <c r="AX722" s="275">
        <f>ROUND(D209,0)</f>
        <v>0</v>
      </c>
      <c r="AY722" s="275">
        <f>ROUND(B210,0)</f>
        <v>3709615</v>
      </c>
      <c r="AZ722" s="275">
        <f>ROUND(C210,0)</f>
        <v>275729</v>
      </c>
      <c r="BA722" s="275">
        <f>ROUND(D210,0)</f>
        <v>2659</v>
      </c>
      <c r="BB722" s="275">
        <f>ROUND(B211,0)</f>
        <v>2303743</v>
      </c>
      <c r="BC722" s="275">
        <f>ROUND(C211,0)</f>
        <v>133522</v>
      </c>
      <c r="BD722" s="275">
        <f>ROUND(D211,0)</f>
        <v>114835</v>
      </c>
      <c r="BE722" s="275">
        <f>ROUND(B212,0)</f>
        <v>178007</v>
      </c>
      <c r="BF722" s="275">
        <f>ROUND(C212,0)</f>
        <v>10725</v>
      </c>
      <c r="BG722" s="275">
        <f>ROUND(D212,0)</f>
        <v>14019</v>
      </c>
      <c r="BH722" s="275">
        <f>ROUND(B213,0)</f>
        <v>5594453</v>
      </c>
      <c r="BI722" s="275">
        <f>ROUND(C213,0)</f>
        <v>633480</v>
      </c>
      <c r="BJ722" s="275">
        <f>ROUND(D213,0)</f>
        <v>262492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0</v>
      </c>
      <c r="BO722" s="275">
        <f>ROUND(C215,0)</f>
        <v>0</v>
      </c>
      <c r="BP722" s="275">
        <f>ROUND(D215,0)</f>
        <v>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14671799</v>
      </c>
      <c r="BU722" s="275">
        <f>ROUND(C224,0)</f>
        <v>10369229</v>
      </c>
      <c r="BV722" s="275">
        <f>ROUND(C225,0)</f>
        <v>917244</v>
      </c>
      <c r="BW722" s="275">
        <f>ROUND(C226,0)</f>
        <v>769060</v>
      </c>
      <c r="BX722" s="275">
        <f>ROUND(C227,0)</f>
        <v>5126469</v>
      </c>
      <c r="BY722" s="275">
        <f>ROUND(C228,0)</f>
        <v>0</v>
      </c>
      <c r="BZ722" s="275">
        <f>ROUND(C231,0)</f>
        <v>427</v>
      </c>
      <c r="CA722" s="275">
        <f>ROUND(C233,0)</f>
        <v>118982</v>
      </c>
      <c r="CB722" s="275">
        <f>ROUND(C234,0)</f>
        <v>746678</v>
      </c>
      <c r="CC722" s="275">
        <f>ROUND(C238+C239,0)</f>
        <v>335974</v>
      </c>
      <c r="CD722" s="275">
        <f>D221</f>
        <v>995689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147*2017*A</v>
      </c>
      <c r="B726" s="275">
        <f>ROUND(C111,0)</f>
        <v>817</v>
      </c>
      <c r="C726" s="275">
        <f>ROUND(C112,0)</f>
        <v>11</v>
      </c>
      <c r="D726" s="275">
        <f>ROUND(C113,0)</f>
        <v>0</v>
      </c>
      <c r="E726" s="275">
        <f>ROUND(C114,0)</f>
        <v>229</v>
      </c>
      <c r="F726" s="275">
        <f>ROUND(D111,0)</f>
        <v>2072</v>
      </c>
      <c r="G726" s="275">
        <f>ROUND(D112,0)</f>
        <v>41</v>
      </c>
      <c r="H726" s="275">
        <f>ROUND(D113,0)</f>
        <v>0</v>
      </c>
      <c r="I726" s="275">
        <f>ROUND(D114,0)</f>
        <v>373</v>
      </c>
      <c r="J726" s="275">
        <f>ROUND(C116,0)</f>
        <v>0</v>
      </c>
      <c r="K726" s="275">
        <f>ROUND(C117,0)</f>
        <v>0</v>
      </c>
      <c r="L726" s="275">
        <f>ROUND(C118,0)</f>
        <v>25</v>
      </c>
      <c r="M726" s="275">
        <f>ROUND(C119,0)</f>
        <v>0</v>
      </c>
      <c r="N726" s="275">
        <f>ROUND(C120,0)</f>
        <v>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0</v>
      </c>
      <c r="V726" s="275">
        <f>ROUND(C128,0)</f>
        <v>44</v>
      </c>
      <c r="W726" s="275">
        <f>ROUND(C129,0)</f>
        <v>0</v>
      </c>
      <c r="X726" s="275">
        <f>ROUND(B138,0)</f>
        <v>355</v>
      </c>
      <c r="Y726" s="275">
        <f>ROUND(B139,0)</f>
        <v>1005</v>
      </c>
      <c r="Z726" s="275">
        <f>ROUND(B140,0)</f>
        <v>10274</v>
      </c>
      <c r="AA726" s="275">
        <f>ROUND(B141,0)</f>
        <v>8310320</v>
      </c>
      <c r="AB726" s="275">
        <f>ROUND(B142,0)</f>
        <v>17858345</v>
      </c>
      <c r="AC726" s="275">
        <f>ROUND(C138,0)</f>
        <v>292</v>
      </c>
      <c r="AD726" s="275">
        <f>ROUND(C139,0)</f>
        <v>676</v>
      </c>
      <c r="AE726" s="275">
        <f>ROUND(C140,0)</f>
        <v>8472</v>
      </c>
      <c r="AF726" s="275">
        <f>ROUND(C141,0)</f>
        <v>5354541</v>
      </c>
      <c r="AG726" s="275">
        <f>ROUND(C142,0)</f>
        <v>12917213</v>
      </c>
      <c r="AH726" s="275">
        <f>ROUND(D138,0)</f>
        <v>170</v>
      </c>
      <c r="AI726" s="275">
        <f>ROUND(D139,0)</f>
        <v>391</v>
      </c>
      <c r="AJ726" s="275">
        <f>ROUND(D140,0)</f>
        <v>8722</v>
      </c>
      <c r="AK726" s="275">
        <f>ROUND(D141,0)</f>
        <v>3304575</v>
      </c>
      <c r="AL726" s="275">
        <f>ROUND(D142,0)</f>
        <v>15319003</v>
      </c>
      <c r="AM726" s="275">
        <f>ROUND(B144,0)</f>
        <v>11</v>
      </c>
      <c r="AN726" s="275">
        <f>ROUND(B145,0)</f>
        <v>41</v>
      </c>
      <c r="AO726" s="275">
        <f>ROUND(B146,0)</f>
        <v>0</v>
      </c>
      <c r="AP726" s="275">
        <f>ROUND(B147,0)</f>
        <v>48707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7105765</v>
      </c>
      <c r="BR726" s="275">
        <f>ROUND(C157,0)</f>
        <v>3848042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147*2017*A</v>
      </c>
      <c r="B730" s="275">
        <f>ROUND(C250,0)</f>
        <v>1341802</v>
      </c>
      <c r="C730" s="275">
        <f>ROUND(C251,0)</f>
        <v>0</v>
      </c>
      <c r="D730" s="275">
        <f>ROUND(C252,0)</f>
        <v>7674203</v>
      </c>
      <c r="E730" s="275">
        <f>ROUND(C253,0)</f>
        <v>4288742</v>
      </c>
      <c r="F730" s="275">
        <f>ROUND(C254,0)</f>
        <v>329850</v>
      </c>
      <c r="G730" s="275">
        <f>ROUND(C255,0)</f>
        <v>670110</v>
      </c>
      <c r="H730" s="275">
        <f>ROUND(C256,0)</f>
        <v>0</v>
      </c>
      <c r="I730" s="275">
        <f>ROUND(C257,0)</f>
        <v>786695</v>
      </c>
      <c r="J730" s="275">
        <f>ROUND(C258,0)</f>
        <v>361114</v>
      </c>
      <c r="K730" s="275">
        <f>ROUND(C259,0)</f>
        <v>0</v>
      </c>
      <c r="L730" s="275">
        <f>ROUND(C262,0)</f>
        <v>2641279</v>
      </c>
      <c r="M730" s="275">
        <f>ROUND(C263,0)</f>
        <v>0</v>
      </c>
      <c r="N730" s="275">
        <f>ROUND(C264,0)</f>
        <v>0</v>
      </c>
      <c r="O730" s="275">
        <f>ROUND(C267,0)</f>
        <v>146306</v>
      </c>
      <c r="P730" s="275">
        <f>ROUND(C268,0)</f>
        <v>1137604</v>
      </c>
      <c r="Q730" s="275">
        <f>ROUND(C269,0)</f>
        <v>7762021</v>
      </c>
      <c r="R730" s="275">
        <f>ROUND(C270,0)</f>
        <v>5553720</v>
      </c>
      <c r="S730" s="275">
        <f>ROUND(C271,0)</f>
        <v>322224</v>
      </c>
      <c r="T730" s="275">
        <f>ROUND(C272,0)</f>
        <v>8164031</v>
      </c>
      <c r="U730" s="275">
        <f>ROUND(C273,0)</f>
        <v>0</v>
      </c>
      <c r="V730" s="275">
        <f>ROUND(C274,0)</f>
        <v>20313</v>
      </c>
      <c r="W730" s="275">
        <f>ROUND(C275,0)</f>
        <v>0</v>
      </c>
      <c r="X730" s="275">
        <f>ROUND(C276,0)</f>
        <v>13176481</v>
      </c>
      <c r="Y730" s="275">
        <f>ROUND(C279,0)</f>
        <v>1558333</v>
      </c>
      <c r="Z730" s="275">
        <f>ROUND(C280,0)</f>
        <v>1217834</v>
      </c>
      <c r="AA730" s="275">
        <f>ROUND(C281,0)</f>
        <v>0</v>
      </c>
      <c r="AB730" s="275">
        <f>ROUND(C282,0)</f>
        <v>45327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0</v>
      </c>
      <c r="AH730" s="275">
        <f>ROUND(C305,0)</f>
        <v>1122209</v>
      </c>
      <c r="AI730" s="275">
        <f>ROUND(C306,0)</f>
        <v>1605321</v>
      </c>
      <c r="AJ730" s="275">
        <f>ROUND(C307,0)</f>
        <v>0</v>
      </c>
      <c r="AK730" s="275">
        <f>ROUND(C308,0)</f>
        <v>0</v>
      </c>
      <c r="AL730" s="275">
        <f>ROUND(C309,0)</f>
        <v>686332</v>
      </c>
      <c r="AM730" s="275">
        <f>ROUND(C310,0)</f>
        <v>0</v>
      </c>
      <c r="AN730" s="275">
        <f>ROUND(C311,0)</f>
        <v>0</v>
      </c>
      <c r="AO730" s="275">
        <f>ROUND(C312,0)</f>
        <v>24640</v>
      </c>
      <c r="AP730" s="275">
        <f>ROUND(C313,0)</f>
        <v>1131003</v>
      </c>
      <c r="AQ730" s="275">
        <f>ROUND(C316,0)</f>
        <v>0</v>
      </c>
      <c r="AR730" s="275">
        <f>ROUND(C317,0)</f>
        <v>0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10147</v>
      </c>
      <c r="AW730" s="275">
        <f>ROUND(C324,0)</f>
        <v>2467112</v>
      </c>
      <c r="AX730" s="275">
        <f>ROUND(C325,0)</f>
        <v>6090913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7825201</v>
      </c>
      <c r="BC730" s="275"/>
      <c r="BD730" s="275"/>
      <c r="BE730" s="275">
        <f>ROUND(C337,0)</f>
        <v>0</v>
      </c>
      <c r="BF730" s="275">
        <f>ROUND(C336,0)</f>
        <v>0</v>
      </c>
      <c r="BG730" s="275"/>
      <c r="BH730" s="275"/>
      <c r="BI730" s="275">
        <f>ROUND(CE60,2)</f>
        <v>194.34</v>
      </c>
      <c r="BJ730" s="275">
        <f>ROUND(C359,0)</f>
        <v>16969436</v>
      </c>
      <c r="BK730" s="275">
        <f>ROUND(C360,0)</f>
        <v>46094561</v>
      </c>
      <c r="BL730" s="275">
        <f>ROUND(C364,0)</f>
        <v>31853801</v>
      </c>
      <c r="BM730" s="275">
        <f>ROUND(C365,0)</f>
        <v>865660</v>
      </c>
      <c r="BN730" s="275">
        <f>ROUND(C366,0)</f>
        <v>335974</v>
      </c>
      <c r="BO730" s="275">
        <f>ROUND(C370,0)</f>
        <v>430393</v>
      </c>
      <c r="BP730" s="275">
        <f>ROUND(C371,0)</f>
        <v>1023836</v>
      </c>
      <c r="BQ730" s="275">
        <f>ROUND(C378,0)</f>
        <v>15144901</v>
      </c>
      <c r="BR730" s="275">
        <f>ROUND(C379,0)</f>
        <v>3740283</v>
      </c>
      <c r="BS730" s="275">
        <f>ROUND(C380,0)</f>
        <v>3433651</v>
      </c>
      <c r="BT730" s="275">
        <f>ROUND(C381,0)</f>
        <v>3866148</v>
      </c>
      <c r="BU730" s="275">
        <f>ROUND(C382,0)</f>
        <v>421800</v>
      </c>
      <c r="BV730" s="275">
        <f>ROUND(C383,0)</f>
        <v>1987867</v>
      </c>
      <c r="BW730" s="275">
        <f>ROUND(C384,0)</f>
        <v>1145046</v>
      </c>
      <c r="BX730" s="275">
        <f>ROUND(C385,0)</f>
        <v>369739</v>
      </c>
      <c r="BY730" s="275">
        <f>ROUND(C386,0)</f>
        <v>472908</v>
      </c>
      <c r="BZ730" s="275">
        <f>ROUND(C387,0)</f>
        <v>173944</v>
      </c>
      <c r="CA730" s="275">
        <f>ROUND(C388,0)</f>
        <v>326656</v>
      </c>
      <c r="CB730" s="275">
        <f>C363</f>
        <v>995689</v>
      </c>
      <c r="CC730" s="275">
        <f>ROUND(C389,0)</f>
        <v>329048</v>
      </c>
      <c r="CD730" s="275">
        <f>ROUND(C392,0)</f>
        <v>394824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147*2017*6010*A</v>
      </c>
      <c r="B734" s="275">
        <f>ROUND(C59,0)</f>
        <v>0</v>
      </c>
      <c r="C734" s="275">
        <f>ROUND(C60,2)</f>
        <v>0.23</v>
      </c>
      <c r="D734" s="275">
        <f>ROUND(C61,0)</f>
        <v>3889</v>
      </c>
      <c r="E734" s="275">
        <f>ROUND(C62,0)</f>
        <v>15387</v>
      </c>
      <c r="F734" s="275">
        <f>ROUND(C63,0)</f>
        <v>0</v>
      </c>
      <c r="G734" s="275">
        <f>ROUND(C64,0)</f>
        <v>49</v>
      </c>
      <c r="H734" s="275">
        <f>ROUND(C65,0)</f>
        <v>0</v>
      </c>
      <c r="I734" s="275">
        <f>ROUND(C66,0)</f>
        <v>217</v>
      </c>
      <c r="J734" s="275">
        <f>ROUND(C67,0)</f>
        <v>144</v>
      </c>
      <c r="K734" s="275">
        <f>ROUND(C68,0)</f>
        <v>1907</v>
      </c>
      <c r="L734" s="275">
        <f>ROUND(C69,0)</f>
        <v>0</v>
      </c>
      <c r="M734" s="275">
        <f>ROUND(C70,0)</f>
        <v>0</v>
      </c>
      <c r="N734" s="275">
        <f>ROUND(C75,0)</f>
        <v>3080</v>
      </c>
      <c r="O734" s="275">
        <f>ROUND(C73,0)</f>
        <v>3080</v>
      </c>
      <c r="P734" s="275">
        <f>IF(C76&gt;0,ROUND(C76,0),0)</f>
        <v>0</v>
      </c>
      <c r="Q734" s="275">
        <f>IF(C77&gt;0,ROUND(C77,0),0)</f>
        <v>0</v>
      </c>
      <c r="R734" s="275">
        <f>IF(C78&gt;0,ROUND(C78,0),0)</f>
        <v>0</v>
      </c>
      <c r="S734" s="275">
        <f>IF(C79&gt;0,ROUND(C79,0),0)</f>
        <v>0</v>
      </c>
      <c r="T734" s="275">
        <f>IF(C80&gt;0,ROUND(C80,2),0)</f>
        <v>0.18</v>
      </c>
      <c r="U734" s="275"/>
      <c r="V734" s="275"/>
      <c r="W734" s="275"/>
      <c r="X734" s="275"/>
      <c r="Y734" s="275">
        <f>IF(M668&lt;&gt;0,ROUND(M668,0),0)</f>
        <v>3304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147*2017*6030*A</v>
      </c>
      <c r="B735" s="275">
        <f>ROUND(D59,0)</f>
        <v>0</v>
      </c>
      <c r="C735" s="277">
        <f>ROUND(D60,2)</f>
        <v>0</v>
      </c>
      <c r="D735" s="275">
        <f>ROUND(D61,0)</f>
        <v>0</v>
      </c>
      <c r="E735" s="275">
        <f>ROUND(D62,0)</f>
        <v>0</v>
      </c>
      <c r="F735" s="275">
        <f>ROUND(D63,0)</f>
        <v>0</v>
      </c>
      <c r="G735" s="275">
        <f>ROUND(D64,0)</f>
        <v>0</v>
      </c>
      <c r="H735" s="275">
        <f>ROUND(D65,0)</f>
        <v>0</v>
      </c>
      <c r="I735" s="275">
        <f>ROUND(D66,0)</f>
        <v>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0</v>
      </c>
      <c r="O735" s="275">
        <f>ROUND(D73,0)</f>
        <v>0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1">IF(M669&lt;&gt;0,ROUND(M669,0),0)</f>
        <v>0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147*2017*6070*A</v>
      </c>
      <c r="B736" s="275">
        <f>ROUND(E59,0)</f>
        <v>2072</v>
      </c>
      <c r="C736" s="277">
        <f>ROUND(E60,2)</f>
        <v>27.19</v>
      </c>
      <c r="D736" s="275">
        <f>ROUND(E61,0)</f>
        <v>1908229</v>
      </c>
      <c r="E736" s="275">
        <f>ROUND(E62,0)</f>
        <v>498464</v>
      </c>
      <c r="F736" s="275">
        <f>ROUND(E63,0)</f>
        <v>584523</v>
      </c>
      <c r="G736" s="275">
        <f>ROUND(E64,0)</f>
        <v>73636</v>
      </c>
      <c r="H736" s="275">
        <f>ROUND(E65,0)</f>
        <v>0</v>
      </c>
      <c r="I736" s="275">
        <f>ROUND(E66,0)</f>
        <v>198839</v>
      </c>
      <c r="J736" s="275">
        <f>ROUND(E67,0)</f>
        <v>49329</v>
      </c>
      <c r="K736" s="275">
        <f>ROUND(E68,0)</f>
        <v>41317</v>
      </c>
      <c r="L736" s="275">
        <f>ROUND(E69,0)</f>
        <v>3810</v>
      </c>
      <c r="M736" s="275">
        <f>ROUND(E70,0)</f>
        <v>0</v>
      </c>
      <c r="N736" s="275">
        <f>ROUND(E75,0)</f>
        <v>4558163</v>
      </c>
      <c r="O736" s="275">
        <f>ROUND(E73,0)</f>
        <v>3392408</v>
      </c>
      <c r="P736" s="275">
        <f>IF(E76&gt;0,ROUND(E76,0),0)</f>
        <v>5858</v>
      </c>
      <c r="Q736" s="275">
        <f>IF(E77&gt;0,ROUND(E77,0),0)</f>
        <v>6862</v>
      </c>
      <c r="R736" s="275">
        <f>IF(E78&gt;0,ROUND(E78,0),0)</f>
        <v>5191</v>
      </c>
      <c r="S736" s="275">
        <f>IF(E79&gt;0,ROUND(E79,0),0)</f>
        <v>51259</v>
      </c>
      <c r="T736" s="277">
        <f>IF(E80&gt;0,ROUND(E80,2),0)</f>
        <v>12.7</v>
      </c>
      <c r="U736" s="275"/>
      <c r="V736" s="276"/>
      <c r="W736" s="275"/>
      <c r="X736" s="275"/>
      <c r="Y736" s="275">
        <f t="shared" si="21"/>
        <v>1255040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147*2017*6100*A</v>
      </c>
      <c r="B737" s="275">
        <f>ROUND(F59,0)</f>
        <v>0</v>
      </c>
      <c r="C737" s="277">
        <f>ROUND(F60,2)</f>
        <v>0</v>
      </c>
      <c r="D737" s="275">
        <f>ROUND(F61,0)</f>
        <v>0</v>
      </c>
      <c r="E737" s="275">
        <f>ROUND(F62,0)</f>
        <v>0</v>
      </c>
      <c r="F737" s="275">
        <f>ROUND(F63,0)</f>
        <v>0</v>
      </c>
      <c r="G737" s="275">
        <f>ROUND(F64,0)</f>
        <v>0</v>
      </c>
      <c r="H737" s="275">
        <f>ROUND(F65,0)</f>
        <v>0</v>
      </c>
      <c r="I737" s="275">
        <f>ROUND(F66,0)</f>
        <v>0</v>
      </c>
      <c r="J737" s="275">
        <f>ROUND(F67,0)</f>
        <v>0</v>
      </c>
      <c r="K737" s="275">
        <f>ROUND(F68,0)</f>
        <v>0</v>
      </c>
      <c r="L737" s="275">
        <f>ROUND(F69,0)</f>
        <v>0</v>
      </c>
      <c r="M737" s="275">
        <f>ROUND(F70,0)</f>
        <v>0</v>
      </c>
      <c r="N737" s="275">
        <f>ROUND(F75,0)</f>
        <v>0</v>
      </c>
      <c r="O737" s="275">
        <f>ROUND(F73,0)</f>
        <v>0</v>
      </c>
      <c r="P737" s="275">
        <f>IF(F76&gt;0,ROUND(F76,0),0)</f>
        <v>0</v>
      </c>
      <c r="Q737" s="275">
        <f>IF(F77&gt;0,ROUND(F77,0),0)</f>
        <v>0</v>
      </c>
      <c r="R737" s="275">
        <f>IF(F78&gt;0,ROUND(F78,0),0)</f>
        <v>0</v>
      </c>
      <c r="S737" s="275">
        <f>IF(F79&gt;0,ROUND(F79,0),0)</f>
        <v>0</v>
      </c>
      <c r="T737" s="277">
        <f>IF(F80&gt;0,ROUND(F80,2),0)</f>
        <v>0</v>
      </c>
      <c r="U737" s="275"/>
      <c r="V737" s="276"/>
      <c r="W737" s="275"/>
      <c r="X737" s="275"/>
      <c r="Y737" s="275">
        <f t="shared" si="21"/>
        <v>0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147*2017*6120*A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1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147*2017*6140*A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1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147*2017*6150*A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1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147*2017*6170*A</v>
      </c>
      <c r="B741" s="275">
        <f>ROUND(J59,0)</f>
        <v>373</v>
      </c>
      <c r="C741" s="277">
        <f>ROUND(J60,2)</f>
        <v>0</v>
      </c>
      <c r="D741" s="275">
        <f>ROUND(J61,0)</f>
        <v>706</v>
      </c>
      <c r="E741" s="275">
        <f>ROUND(J62,0)</f>
        <v>0</v>
      </c>
      <c r="F741" s="275">
        <f>ROUND(J63,0)</f>
        <v>0</v>
      </c>
      <c r="G741" s="275">
        <f>ROUND(J64,0)</f>
        <v>0</v>
      </c>
      <c r="H741" s="275">
        <f>ROUND(J65,0)</f>
        <v>0</v>
      </c>
      <c r="I741" s="275">
        <f>ROUND(J66,0)</f>
        <v>0</v>
      </c>
      <c r="J741" s="275">
        <f>ROUND(J67,0)</f>
        <v>410</v>
      </c>
      <c r="K741" s="275">
        <f>ROUND(J68,0)</f>
        <v>0</v>
      </c>
      <c r="L741" s="275">
        <f>ROUND(J69,0)</f>
        <v>0</v>
      </c>
      <c r="M741" s="275">
        <f>ROUND(J70,0)</f>
        <v>0</v>
      </c>
      <c r="N741" s="275">
        <f>ROUND(J75,0)</f>
        <v>411590</v>
      </c>
      <c r="O741" s="275">
        <f>ROUND(J73,0)</f>
        <v>402519</v>
      </c>
      <c r="P741" s="275">
        <f>IF(J76&gt;0,ROUND(J76,0),0)</f>
        <v>142</v>
      </c>
      <c r="Q741" s="275">
        <f>IF(J77&gt;0,ROUND(J77,0),0)</f>
        <v>0</v>
      </c>
      <c r="R741" s="275">
        <f>IF(J78&gt;0,ROUND(J78,0),0)</f>
        <v>0</v>
      </c>
      <c r="S741" s="275">
        <f>IF(J79&gt;0,ROUND(J79,0),0)</f>
        <v>0</v>
      </c>
      <c r="T741" s="277">
        <f>IF(J80&gt;0,ROUND(J80,2),0)</f>
        <v>0</v>
      </c>
      <c r="U741" s="275"/>
      <c r="V741" s="276"/>
      <c r="W741" s="275"/>
      <c r="X741" s="275"/>
      <c r="Y741" s="275">
        <f t="shared" si="21"/>
        <v>19982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147*2017*6200*A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1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147*2017*6210*A</v>
      </c>
      <c r="B743" s="275">
        <f>ROUND(L59,0)</f>
        <v>41</v>
      </c>
      <c r="C743" s="277">
        <f>ROUND(L60,2)</f>
        <v>0</v>
      </c>
      <c r="D743" s="275">
        <f>ROUND(L61,0)</f>
        <v>28617</v>
      </c>
      <c r="E743" s="275">
        <f>ROUND(L62,0)</f>
        <v>7476</v>
      </c>
      <c r="F743" s="275">
        <f>ROUND(L63,0)</f>
        <v>8766</v>
      </c>
      <c r="G743" s="275">
        <f>ROUND(L64,0)</f>
        <v>1104</v>
      </c>
      <c r="H743" s="275">
        <f>ROUND(L65,0)</f>
        <v>0</v>
      </c>
      <c r="I743" s="275">
        <f>ROUND(L66,0)</f>
        <v>2982</v>
      </c>
      <c r="J743" s="275">
        <f>ROUND(L67,0)</f>
        <v>539</v>
      </c>
      <c r="K743" s="275">
        <f>ROUND(L68,0)</f>
        <v>620</v>
      </c>
      <c r="L743" s="275">
        <f>ROUND(L69,0)</f>
        <v>57</v>
      </c>
      <c r="M743" s="275">
        <f>ROUND(L70,0)</f>
        <v>0</v>
      </c>
      <c r="N743" s="275">
        <f>ROUND(L75,0)</f>
        <v>48707</v>
      </c>
      <c r="O743" s="275">
        <f>ROUND(L73,0)</f>
        <v>48707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1"/>
        <v>4197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147*2017*6330*A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1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147*2017*6400*A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1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147*2017*7010*A</v>
      </c>
      <c r="B746" s="275">
        <f>ROUND(O59,0)</f>
        <v>229</v>
      </c>
      <c r="C746" s="277">
        <f>ROUND(O60,2)</f>
        <v>5.93</v>
      </c>
      <c r="D746" s="275">
        <f>ROUND(O61,0)</f>
        <v>523161</v>
      </c>
      <c r="E746" s="275">
        <f>ROUND(O62,0)</f>
        <v>150969</v>
      </c>
      <c r="F746" s="275">
        <f>ROUND(O63,0)</f>
        <v>332169</v>
      </c>
      <c r="G746" s="275">
        <f>ROUND(O64,0)</f>
        <v>30011</v>
      </c>
      <c r="H746" s="275">
        <f>ROUND(O65,0)</f>
        <v>0</v>
      </c>
      <c r="I746" s="275">
        <f>ROUND(O66,0)</f>
        <v>52063</v>
      </c>
      <c r="J746" s="275">
        <f>ROUND(O67,0)</f>
        <v>48764</v>
      </c>
      <c r="K746" s="275">
        <f>ROUND(O68,0)</f>
        <v>7916</v>
      </c>
      <c r="L746" s="275">
        <f>ROUND(O69,0)</f>
        <v>5774</v>
      </c>
      <c r="M746" s="275">
        <f>ROUND(O70,0)</f>
        <v>0</v>
      </c>
      <c r="N746" s="275">
        <f>ROUND(O75,0)</f>
        <v>1440674</v>
      </c>
      <c r="O746" s="275">
        <f>ROUND(O73,0)</f>
        <v>1265344</v>
      </c>
      <c r="P746" s="275">
        <f>IF(O76&gt;0,ROUND(O76,0),0)</f>
        <v>1533</v>
      </c>
      <c r="Q746" s="275">
        <f>IF(O77&gt;0,ROUND(O77,0),0)</f>
        <v>1935</v>
      </c>
      <c r="R746" s="275">
        <f>IF(O78&gt;0,ROUND(O78,0),0)</f>
        <v>728</v>
      </c>
      <c r="S746" s="275">
        <f>IF(O79&gt;0,ROUND(O79,0),0)</f>
        <v>5259</v>
      </c>
      <c r="T746" s="277">
        <f>IF(O80&gt;0,ROUND(O80,2),0)</f>
        <v>5.16</v>
      </c>
      <c r="U746" s="275"/>
      <c r="V746" s="276"/>
      <c r="W746" s="275"/>
      <c r="X746" s="275"/>
      <c r="Y746" s="275">
        <f t="shared" si="21"/>
        <v>339421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147*2017*7020*A</v>
      </c>
      <c r="B747" s="275">
        <f>ROUND(P59,0)</f>
        <v>122028</v>
      </c>
      <c r="C747" s="277">
        <f>ROUND(P60,2)</f>
        <v>9.84</v>
      </c>
      <c r="D747" s="275">
        <f>ROUND(P61,0)</f>
        <v>742712</v>
      </c>
      <c r="E747" s="275">
        <f>ROUND(P62,0)</f>
        <v>206304</v>
      </c>
      <c r="F747" s="275">
        <f>ROUND(P63,0)</f>
        <v>19846</v>
      </c>
      <c r="G747" s="275">
        <f>ROUND(P64,0)</f>
        <v>128124</v>
      </c>
      <c r="H747" s="275">
        <f>ROUND(P65,0)</f>
        <v>0</v>
      </c>
      <c r="I747" s="275">
        <f>ROUND(P66,0)</f>
        <v>103220</v>
      </c>
      <c r="J747" s="275">
        <f>ROUND(P67,0)</f>
        <v>195878</v>
      </c>
      <c r="K747" s="275">
        <f>ROUND(P68,0)</f>
        <v>4877</v>
      </c>
      <c r="L747" s="275">
        <f>ROUND(P69,0)</f>
        <v>60</v>
      </c>
      <c r="M747" s="275">
        <f>ROUND(P70,0)</f>
        <v>0</v>
      </c>
      <c r="N747" s="275">
        <f>ROUND(P75,0)</f>
        <v>5900237</v>
      </c>
      <c r="O747" s="275">
        <f>ROUND(P73,0)</f>
        <v>2164684</v>
      </c>
      <c r="P747" s="275">
        <f>IF(P76&gt;0,ROUND(P76,0),0)</f>
        <v>4261</v>
      </c>
      <c r="Q747" s="275">
        <f>IF(P77&gt;0,ROUND(P77,0),0)</f>
        <v>0</v>
      </c>
      <c r="R747" s="275">
        <f>IF(P78&gt;0,ROUND(P78,0),0)</f>
        <v>1293</v>
      </c>
      <c r="S747" s="275">
        <f>IF(P79&gt;0,ROUND(P79,0),0)</f>
        <v>28535</v>
      </c>
      <c r="T747" s="277">
        <f>IF(P80&gt;0,ROUND(P80,2),0)</f>
        <v>3.5</v>
      </c>
      <c r="U747" s="275"/>
      <c r="V747" s="276"/>
      <c r="W747" s="275"/>
      <c r="X747" s="275"/>
      <c r="Y747" s="275">
        <f t="shared" si="21"/>
        <v>554340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147*2017*7030*A</v>
      </c>
      <c r="B748" s="275">
        <f>ROUND(Q59,0)</f>
        <v>120673</v>
      </c>
      <c r="C748" s="277">
        <f>ROUND(Q60,2)</f>
        <v>4.42</v>
      </c>
      <c r="D748" s="275">
        <f>ROUND(Q61,0)</f>
        <v>411686</v>
      </c>
      <c r="E748" s="275">
        <f>ROUND(Q62,0)</f>
        <v>100003</v>
      </c>
      <c r="F748" s="275">
        <f>ROUND(Q63,0)</f>
        <v>0</v>
      </c>
      <c r="G748" s="275">
        <f>ROUND(Q64,0)</f>
        <v>11394</v>
      </c>
      <c r="H748" s="275">
        <f>ROUND(Q65,0)</f>
        <v>0</v>
      </c>
      <c r="I748" s="275">
        <f>ROUND(Q66,0)</f>
        <v>216</v>
      </c>
      <c r="J748" s="275">
        <f>ROUND(Q67,0)</f>
        <v>7671</v>
      </c>
      <c r="K748" s="275">
        <f>ROUND(Q68,0)</f>
        <v>28974</v>
      </c>
      <c r="L748" s="275">
        <f>ROUND(Q69,0)</f>
        <v>100</v>
      </c>
      <c r="M748" s="275">
        <f>ROUND(Q70,0)</f>
        <v>0</v>
      </c>
      <c r="N748" s="275">
        <f>ROUND(Q75,0)</f>
        <v>1573102</v>
      </c>
      <c r="O748" s="275">
        <f>ROUND(Q73,0)</f>
        <v>309796</v>
      </c>
      <c r="P748" s="275">
        <f>IF(Q76&gt;0,ROUND(Q76,0),0)</f>
        <v>2020</v>
      </c>
      <c r="Q748" s="275">
        <f>IF(Q77&gt;0,ROUND(Q77,0),0)</f>
        <v>0</v>
      </c>
      <c r="R748" s="275">
        <f>IF(Q78&gt;0,ROUND(Q78,0),0)</f>
        <v>1176</v>
      </c>
      <c r="S748" s="275">
        <f>IF(Q79&gt;0,ROUND(Q79,0),0)</f>
        <v>0</v>
      </c>
      <c r="T748" s="277">
        <f>IF(Q80&gt;0,ROUND(Q80,2),0)</f>
        <v>3.79</v>
      </c>
      <c r="U748" s="275"/>
      <c r="V748" s="276"/>
      <c r="W748" s="275"/>
      <c r="X748" s="275"/>
      <c r="Y748" s="275">
        <f t="shared" si="21"/>
        <v>227375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147*2017*7040*A</v>
      </c>
      <c r="B749" s="275">
        <f>ROUND(R59,0)</f>
        <v>121959</v>
      </c>
      <c r="C749" s="277">
        <f>ROUND(R60,2)</f>
        <v>2.86</v>
      </c>
      <c r="D749" s="275">
        <f>ROUND(R61,0)</f>
        <v>623726</v>
      </c>
      <c r="E749" s="275">
        <f>ROUND(R62,0)</f>
        <v>83175</v>
      </c>
      <c r="F749" s="275">
        <f>ROUND(R63,0)</f>
        <v>72074</v>
      </c>
      <c r="G749" s="275">
        <f>ROUND(R64,0)</f>
        <v>6907</v>
      </c>
      <c r="H749" s="275">
        <f>ROUND(R65,0)</f>
        <v>0</v>
      </c>
      <c r="I749" s="275">
        <f>ROUND(R66,0)</f>
        <v>5218</v>
      </c>
      <c r="J749" s="275">
        <f>ROUND(R67,0)</f>
        <v>0</v>
      </c>
      <c r="K749" s="275">
        <f>ROUND(R68,0)</f>
        <v>12259</v>
      </c>
      <c r="L749" s="275">
        <f>ROUND(R69,0)</f>
        <v>1976</v>
      </c>
      <c r="M749" s="275">
        <f>ROUND(R70,0)</f>
        <v>0</v>
      </c>
      <c r="N749" s="275">
        <f>ROUND(R75,0)</f>
        <v>2067977</v>
      </c>
      <c r="O749" s="275">
        <f>ROUND(R73,0)</f>
        <v>946566</v>
      </c>
      <c r="P749" s="275">
        <f>IF(R76&gt;0,ROUND(R76,0),0)</f>
        <v>0</v>
      </c>
      <c r="Q749" s="275">
        <f>IF(R77&gt;0,ROUND(R77,0),0)</f>
        <v>0</v>
      </c>
      <c r="R749" s="275">
        <f>IF(R78&gt;0,ROUND(R78,0),0)</f>
        <v>0</v>
      </c>
      <c r="S749" s="275">
        <f>IF(R79&gt;0,ROUND(R79,0),0)</f>
        <v>0</v>
      </c>
      <c r="T749" s="277">
        <f>IF(R80&gt;0,ROUND(R80,2),0)</f>
        <v>0</v>
      </c>
      <c r="U749" s="275"/>
      <c r="V749" s="276"/>
      <c r="W749" s="275"/>
      <c r="X749" s="275"/>
      <c r="Y749" s="275">
        <f t="shared" si="21"/>
        <v>123383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147*2017*7050*A</v>
      </c>
      <c r="B750" s="275"/>
      <c r="C750" s="277">
        <f>ROUND(S60,2)</f>
        <v>1.94</v>
      </c>
      <c r="D750" s="275">
        <f>ROUND(S61,0)</f>
        <v>60254</v>
      </c>
      <c r="E750" s="275">
        <f>ROUND(S62,0)</f>
        <v>27460</v>
      </c>
      <c r="F750" s="275">
        <f>ROUND(S63,0)</f>
        <v>0</v>
      </c>
      <c r="G750" s="275">
        <f>ROUND(S64,0)</f>
        <v>1942249</v>
      </c>
      <c r="H750" s="275">
        <f>ROUND(S65,0)</f>
        <v>0</v>
      </c>
      <c r="I750" s="275">
        <f>ROUND(S66,0)</f>
        <v>14870</v>
      </c>
      <c r="J750" s="275">
        <f>ROUND(S67,0)</f>
        <v>8778</v>
      </c>
      <c r="K750" s="275">
        <f>ROUND(S68,0)</f>
        <v>0</v>
      </c>
      <c r="L750" s="275">
        <f>ROUND(S69,0)</f>
        <v>0</v>
      </c>
      <c r="M750" s="275">
        <f>ROUND(S70,0)</f>
        <v>7010</v>
      </c>
      <c r="N750" s="275">
        <f>ROUND(S75,0)</f>
        <v>6439338</v>
      </c>
      <c r="O750" s="275">
        <f>ROUND(S73,0)</f>
        <v>3020800</v>
      </c>
      <c r="P750" s="275">
        <f>IF(S76&gt;0,ROUND(S76,0),0)</f>
        <v>1628</v>
      </c>
      <c r="Q750" s="275">
        <f>IF(S77&gt;0,ROUND(S77,0),0)</f>
        <v>0</v>
      </c>
      <c r="R750" s="275">
        <f>IF(S78&gt;0,ROUND(S78,0),0)</f>
        <v>299</v>
      </c>
      <c r="S750" s="275">
        <f>IF(S79&gt;0,ROUND(S79,0),0)</f>
        <v>0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1"/>
        <v>475120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147*2017*7060*A</v>
      </c>
      <c r="B751" s="275"/>
      <c r="C751" s="277">
        <f>ROUND(T60,2)</f>
        <v>0</v>
      </c>
      <c r="D751" s="275">
        <f>ROUND(T61,0)</f>
        <v>0</v>
      </c>
      <c r="E751" s="275">
        <f>ROUND(T62,0)</f>
        <v>0</v>
      </c>
      <c r="F751" s="275">
        <f>ROUND(T63,0)</f>
        <v>0</v>
      </c>
      <c r="G751" s="275">
        <f>ROUND(T64,0)</f>
        <v>0</v>
      </c>
      <c r="H751" s="275">
        <f>ROUND(T65,0)</f>
        <v>0</v>
      </c>
      <c r="I751" s="275">
        <f>ROUND(T66,0)</f>
        <v>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0</v>
      </c>
      <c r="O751" s="275">
        <f>ROUND(T73,0)</f>
        <v>0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1"/>
        <v>0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147*2017*7070*A</v>
      </c>
      <c r="B752" s="275">
        <f>ROUND(U59,0)</f>
        <v>69668</v>
      </c>
      <c r="C752" s="277">
        <f>ROUND(U60,2)</f>
        <v>7.31</v>
      </c>
      <c r="D752" s="275">
        <f>ROUND(U61,0)</f>
        <v>474308</v>
      </c>
      <c r="E752" s="275">
        <f>ROUND(U62,0)</f>
        <v>117456</v>
      </c>
      <c r="F752" s="275">
        <f>ROUND(U63,0)</f>
        <v>100963</v>
      </c>
      <c r="G752" s="275">
        <f>ROUND(U64,0)</f>
        <v>392619</v>
      </c>
      <c r="H752" s="275">
        <f>ROUND(U65,0)</f>
        <v>0</v>
      </c>
      <c r="I752" s="275">
        <f>ROUND(U66,0)</f>
        <v>151325</v>
      </c>
      <c r="J752" s="275">
        <f>ROUND(U67,0)</f>
        <v>25266</v>
      </c>
      <c r="K752" s="275">
        <f>ROUND(U68,0)</f>
        <v>55325</v>
      </c>
      <c r="L752" s="275">
        <f>ROUND(U69,0)</f>
        <v>529</v>
      </c>
      <c r="M752" s="275">
        <f>ROUND(U70,0)</f>
        <v>0</v>
      </c>
      <c r="N752" s="275">
        <f>ROUND(U75,0)</f>
        <v>5856959</v>
      </c>
      <c r="O752" s="275">
        <f>ROUND(U73,0)</f>
        <v>1350116</v>
      </c>
      <c r="P752" s="275">
        <f>IF(U76&gt;0,ROUND(U76,0),0)</f>
        <v>1213</v>
      </c>
      <c r="Q752" s="275">
        <f>IF(U77&gt;0,ROUND(U77,0),0)</f>
        <v>0</v>
      </c>
      <c r="R752" s="275">
        <f>IF(U78&gt;0,ROUND(U78,0),0)</f>
        <v>476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1"/>
        <v>367674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147*2017*7110*A</v>
      </c>
      <c r="B753" s="275">
        <f>ROUND(V59,0)</f>
        <v>0</v>
      </c>
      <c r="C753" s="277">
        <f>ROUND(V60,2)</f>
        <v>0</v>
      </c>
      <c r="D753" s="275">
        <f>ROUND(V61,0)</f>
        <v>19364</v>
      </c>
      <c r="E753" s="275">
        <f>ROUND(V62,0)</f>
        <v>4</v>
      </c>
      <c r="F753" s="275">
        <f>ROUND(V63,0)</f>
        <v>0</v>
      </c>
      <c r="G753" s="275">
        <f>ROUND(V64,0)</f>
        <v>0</v>
      </c>
      <c r="H753" s="275">
        <f>ROUND(V65,0)</f>
        <v>0</v>
      </c>
      <c r="I753" s="275">
        <f>ROUND(V66,0)</f>
        <v>0</v>
      </c>
      <c r="J753" s="275">
        <f>ROUND(V67,0)</f>
        <v>0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209436</v>
      </c>
      <c r="O753" s="275">
        <f>ROUND(V73,0)</f>
        <v>42690</v>
      </c>
      <c r="P753" s="275">
        <f>IF(V76&gt;0,ROUND(V76,0),0)</f>
        <v>0</v>
      </c>
      <c r="Q753" s="275">
        <f>IF(V77&gt;0,ROUND(V77,0),0)</f>
        <v>0</v>
      </c>
      <c r="R753" s="275">
        <f>IF(V78&gt;0,ROUND(V78,0),0)</f>
        <v>0</v>
      </c>
      <c r="S753" s="275">
        <f>IF(V79&gt;0,ROUND(V79,0),0)</f>
        <v>0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1"/>
        <v>9020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147*2017*7120*A</v>
      </c>
      <c r="B754" s="275">
        <f>ROUND(W59,0)</f>
        <v>0</v>
      </c>
      <c r="C754" s="277">
        <f>ROUND(W60,2)</f>
        <v>0</v>
      </c>
      <c r="D754" s="275">
        <f>ROUND(W61,0)</f>
        <v>0</v>
      </c>
      <c r="E754" s="275">
        <f>ROUND(W62,0)</f>
        <v>0</v>
      </c>
      <c r="F754" s="275">
        <f>ROUND(W63,0)</f>
        <v>0</v>
      </c>
      <c r="G754" s="275">
        <f>ROUND(W64,0)</f>
        <v>0</v>
      </c>
      <c r="H754" s="275">
        <f>ROUND(W65,0)</f>
        <v>0</v>
      </c>
      <c r="I754" s="275">
        <f>ROUND(W66,0)</f>
        <v>0</v>
      </c>
      <c r="J754" s="275">
        <f>ROUND(W67,0)</f>
        <v>0</v>
      </c>
      <c r="K754" s="275">
        <f>ROUND(W68,0)</f>
        <v>0</v>
      </c>
      <c r="L754" s="275">
        <f>ROUND(W69,0)</f>
        <v>0</v>
      </c>
      <c r="M754" s="275">
        <f>ROUND(W70,0)</f>
        <v>0</v>
      </c>
      <c r="N754" s="275">
        <f>ROUND(W75,0)</f>
        <v>0</v>
      </c>
      <c r="O754" s="275">
        <f>ROUND(W73,0)</f>
        <v>0</v>
      </c>
      <c r="P754" s="275">
        <f>IF(W76&gt;0,ROUND(W76,0),0)</f>
        <v>0</v>
      </c>
      <c r="Q754" s="275">
        <f>IF(W77&gt;0,ROUND(W77,0),0)</f>
        <v>0</v>
      </c>
      <c r="R754" s="275">
        <f>IF(W78&gt;0,ROUND(W78,0),0)</f>
        <v>0</v>
      </c>
      <c r="S754" s="275">
        <f>IF(W79&gt;0,ROUND(W79,0),0)</f>
        <v>0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1"/>
        <v>0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147*2017*7130*A</v>
      </c>
      <c r="B755" s="275">
        <f>ROUND(X59,0)</f>
        <v>0</v>
      </c>
      <c r="C755" s="277">
        <f>ROUND(X60,2)</f>
        <v>0</v>
      </c>
      <c r="D755" s="275">
        <f>ROUND(X61,0)</f>
        <v>0</v>
      </c>
      <c r="E755" s="275">
        <f>ROUND(X62,0)</f>
        <v>0</v>
      </c>
      <c r="F755" s="275">
        <f>ROUND(X63,0)</f>
        <v>0</v>
      </c>
      <c r="G755" s="275">
        <f>ROUND(X64,0)</f>
        <v>0</v>
      </c>
      <c r="H755" s="275">
        <f>ROUND(X65,0)</f>
        <v>0</v>
      </c>
      <c r="I755" s="275">
        <f>ROUND(X66,0)</f>
        <v>0</v>
      </c>
      <c r="J755" s="275">
        <f>ROUND(X67,0)</f>
        <v>0</v>
      </c>
      <c r="K755" s="275">
        <f>ROUND(X68,0)</f>
        <v>0</v>
      </c>
      <c r="L755" s="275">
        <f>ROUND(X69,0)</f>
        <v>0</v>
      </c>
      <c r="M755" s="275">
        <f>ROUND(X70,0)</f>
        <v>0</v>
      </c>
      <c r="N755" s="275">
        <f>ROUND(X75,0)</f>
        <v>0</v>
      </c>
      <c r="O755" s="275">
        <f>ROUND(X73,0)</f>
        <v>0</v>
      </c>
      <c r="P755" s="275">
        <f>IF(X76&gt;0,ROUND(X76,0),0)</f>
        <v>0</v>
      </c>
      <c r="Q755" s="275">
        <f>IF(X77&gt;0,ROUND(X77,0),0)</f>
        <v>0</v>
      </c>
      <c r="R755" s="275">
        <f>IF(X78&gt;0,ROUND(X78,0),0)</f>
        <v>0</v>
      </c>
      <c r="S755" s="275">
        <f>IF(X79&gt;0,ROUND(X79,0),0)</f>
        <v>0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1"/>
        <v>0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147*2017*7140*A</v>
      </c>
      <c r="B756" s="275">
        <f>ROUND(Y59,0)</f>
        <v>0</v>
      </c>
      <c r="C756" s="277">
        <f>ROUND(Y60,2)</f>
        <v>10.24</v>
      </c>
      <c r="D756" s="275">
        <f>ROUND(Y61,0)</f>
        <v>748522</v>
      </c>
      <c r="E756" s="275">
        <f>ROUND(Y62,0)</f>
        <v>195708</v>
      </c>
      <c r="F756" s="275">
        <f>ROUND(Y63,0)</f>
        <v>864296</v>
      </c>
      <c r="G756" s="275">
        <f>ROUND(Y64,0)</f>
        <v>314428</v>
      </c>
      <c r="H756" s="275">
        <f>ROUND(Y65,0)</f>
        <v>0</v>
      </c>
      <c r="I756" s="275">
        <f>ROUND(Y66,0)</f>
        <v>371265</v>
      </c>
      <c r="J756" s="275">
        <f>ROUND(Y67,0)</f>
        <v>369776</v>
      </c>
      <c r="K756" s="275">
        <f>ROUND(Y68,0)</f>
        <v>80053</v>
      </c>
      <c r="L756" s="275">
        <f>ROUND(Y69,0)</f>
        <v>662</v>
      </c>
      <c r="M756" s="275">
        <f>ROUND(Y70,0)</f>
        <v>0</v>
      </c>
      <c r="N756" s="275">
        <f>ROUND(Y75,0)</f>
        <v>15551135</v>
      </c>
      <c r="O756" s="275">
        <f>ROUND(Y73,0)</f>
        <v>893730</v>
      </c>
      <c r="P756" s="275">
        <f>IF(Y76&gt;0,ROUND(Y76,0),0)</f>
        <v>5022</v>
      </c>
      <c r="Q756" s="275">
        <f>IF(Y77&gt;0,ROUND(Y77,0),0)</f>
        <v>0</v>
      </c>
      <c r="R756" s="275">
        <f>IF(Y78&gt;0,ROUND(Y78,0),0)</f>
        <v>957</v>
      </c>
      <c r="S756" s="275">
        <f>IF(Y79&gt;0,ROUND(Y79,0),0)</f>
        <v>10961</v>
      </c>
      <c r="T756" s="277">
        <f>IF(Y80&gt;0,ROUND(Y80,2),0)</f>
        <v>0.26</v>
      </c>
      <c r="U756" s="275"/>
      <c r="V756" s="276"/>
      <c r="W756" s="275"/>
      <c r="X756" s="275"/>
      <c r="Y756" s="275">
        <f t="shared" si="21"/>
        <v>961160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147*2017*7150*A</v>
      </c>
      <c r="B757" s="275">
        <f>ROUND(Z59,0)</f>
        <v>0</v>
      </c>
      <c r="C757" s="277">
        <f>ROUND(Z60,2)</f>
        <v>0</v>
      </c>
      <c r="D757" s="275">
        <f>ROUND(Z61,0)</f>
        <v>0</v>
      </c>
      <c r="E757" s="275">
        <f>ROUND(Z62,0)</f>
        <v>0</v>
      </c>
      <c r="F757" s="275">
        <f>ROUND(Z63,0)</f>
        <v>0</v>
      </c>
      <c r="G757" s="275">
        <f>ROUND(Z64,0)</f>
        <v>0</v>
      </c>
      <c r="H757" s="275">
        <f>ROUND(Z65,0)</f>
        <v>0</v>
      </c>
      <c r="I757" s="275">
        <f>ROUND(Z66,0)</f>
        <v>0</v>
      </c>
      <c r="J757" s="275">
        <f>ROUND(Z67,0)</f>
        <v>0</v>
      </c>
      <c r="K757" s="275">
        <f>ROUND(Z68,0)</f>
        <v>0</v>
      </c>
      <c r="L757" s="275">
        <f>ROUND(Z69,0)</f>
        <v>0</v>
      </c>
      <c r="M757" s="275">
        <f>ROUND(Z70,0)</f>
        <v>0</v>
      </c>
      <c r="N757" s="275">
        <f>ROUND(Z75,0)</f>
        <v>0</v>
      </c>
      <c r="O757" s="275">
        <f>ROUND(Z73,0)</f>
        <v>0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1"/>
        <v>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147*2017*7160*A</v>
      </c>
      <c r="B758" s="275">
        <f>ROUND(AA59,0)</f>
        <v>0</v>
      </c>
      <c r="C758" s="277">
        <f>ROUND(AA60,2)</f>
        <v>0</v>
      </c>
      <c r="D758" s="275">
        <f>ROUND(AA61,0)</f>
        <v>0</v>
      </c>
      <c r="E758" s="275">
        <f>ROUND(AA62,0)</f>
        <v>0</v>
      </c>
      <c r="F758" s="275">
        <f>ROUND(AA63,0)</f>
        <v>0</v>
      </c>
      <c r="G758" s="275">
        <f>ROUND(AA64,0)</f>
        <v>0</v>
      </c>
      <c r="H758" s="275">
        <f>ROUND(AA65,0)</f>
        <v>0</v>
      </c>
      <c r="I758" s="275">
        <f>ROUND(AA66,0)</f>
        <v>0</v>
      </c>
      <c r="J758" s="275">
        <f>ROUND(AA67,0)</f>
        <v>0</v>
      </c>
      <c r="K758" s="275">
        <f>ROUND(AA68,0)</f>
        <v>0</v>
      </c>
      <c r="L758" s="275">
        <f>ROUND(AA69,0)</f>
        <v>0</v>
      </c>
      <c r="M758" s="275">
        <f>ROUND(AA70,0)</f>
        <v>0</v>
      </c>
      <c r="N758" s="275">
        <f>ROUND(AA75,0)</f>
        <v>0</v>
      </c>
      <c r="O758" s="275">
        <f>ROUND(AA73,0)</f>
        <v>0</v>
      </c>
      <c r="P758" s="275">
        <f>IF(AA76&gt;0,ROUND(AA76,0),0)</f>
        <v>0</v>
      </c>
      <c r="Q758" s="275">
        <f>IF(AA77&gt;0,ROUND(AA77,0),0)</f>
        <v>0</v>
      </c>
      <c r="R758" s="275">
        <f>IF(AA78&gt;0,ROUND(AA78,0),0)</f>
        <v>0</v>
      </c>
      <c r="S758" s="275">
        <f>IF(AA79&gt;0,ROUND(AA79,0),0)</f>
        <v>0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1"/>
        <v>0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147*2017*7170*A</v>
      </c>
      <c r="B759" s="275"/>
      <c r="C759" s="277">
        <f>ROUND(AB60,2)</f>
        <v>2.0299999999999998</v>
      </c>
      <c r="D759" s="275">
        <f>ROUND(AB61,0)</f>
        <v>176511</v>
      </c>
      <c r="E759" s="275">
        <f>ROUND(AB62,0)</f>
        <v>41897</v>
      </c>
      <c r="F759" s="275">
        <f>ROUND(AB63,0)</f>
        <v>86641</v>
      </c>
      <c r="G759" s="275">
        <f>ROUND(AB64,0)</f>
        <v>398288</v>
      </c>
      <c r="H759" s="275">
        <f>ROUND(AB65,0)</f>
        <v>0</v>
      </c>
      <c r="I759" s="275">
        <f>ROUND(AB66,0)</f>
        <v>24680</v>
      </c>
      <c r="J759" s="275">
        <f>ROUND(AB67,0)</f>
        <v>1346</v>
      </c>
      <c r="K759" s="275">
        <f>ROUND(AB68,0)</f>
        <v>5020</v>
      </c>
      <c r="L759" s="275">
        <f>ROUND(AB69,0)</f>
        <v>5753</v>
      </c>
      <c r="M759" s="275">
        <f>ROUND(AB70,0)</f>
        <v>1249</v>
      </c>
      <c r="N759" s="275">
        <f>ROUND(AB75,0)</f>
        <v>2833196</v>
      </c>
      <c r="O759" s="275">
        <f>ROUND(AB73,0)</f>
        <v>906436</v>
      </c>
      <c r="P759" s="275">
        <f>IF(AB76&gt;0,ROUND(AB76,0),0)</f>
        <v>588</v>
      </c>
      <c r="Q759" s="275">
        <f>IF(AB77&gt;0,ROUND(AB77,0),0)</f>
        <v>0</v>
      </c>
      <c r="R759" s="275">
        <f>IF(AB78&gt;0,ROUND(AB78,0),0)</f>
        <v>47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1"/>
        <v>180835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147*2017*7180*A</v>
      </c>
      <c r="B760" s="275">
        <f>ROUND(AC59,0)</f>
        <v>1577</v>
      </c>
      <c r="C760" s="277">
        <f>ROUND(AC60,2)</f>
        <v>2.97</v>
      </c>
      <c r="D760" s="275">
        <f>ROUND(AC61,0)</f>
        <v>215210</v>
      </c>
      <c r="E760" s="275">
        <f>ROUND(AC62,0)</f>
        <v>55933</v>
      </c>
      <c r="F760" s="275">
        <f>ROUND(AC63,0)</f>
        <v>0</v>
      </c>
      <c r="G760" s="275">
        <f>ROUND(AC64,0)</f>
        <v>20205</v>
      </c>
      <c r="H760" s="275">
        <f>ROUND(AC65,0)</f>
        <v>0</v>
      </c>
      <c r="I760" s="275">
        <f>ROUND(AC66,0)</f>
        <v>7533</v>
      </c>
      <c r="J760" s="275">
        <f>ROUND(AC67,0)</f>
        <v>12359</v>
      </c>
      <c r="K760" s="275">
        <f>ROUND(AC68,0)</f>
        <v>21439</v>
      </c>
      <c r="L760" s="275">
        <f>ROUND(AC69,0)</f>
        <v>1681</v>
      </c>
      <c r="M760" s="275">
        <f>ROUND(AC70,0)</f>
        <v>0</v>
      </c>
      <c r="N760" s="275">
        <f>ROUND(AC75,0)</f>
        <v>579991</v>
      </c>
      <c r="O760" s="275">
        <f>ROUND(AC73,0)</f>
        <v>287755</v>
      </c>
      <c r="P760" s="275">
        <f>IF(AC76&gt;0,ROUND(AC76,0),0)</f>
        <v>394</v>
      </c>
      <c r="Q760" s="275">
        <f>IF(AC77&gt;0,ROUND(AC77,0),0)</f>
        <v>0</v>
      </c>
      <c r="R760" s="275">
        <f>IF(AC78&gt;0,ROUND(AC78,0),0)</f>
        <v>168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1"/>
        <v>61491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147*2017*7190*A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1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147*2017*7200*A</v>
      </c>
      <c r="B762" s="275">
        <f>ROUND(AE59,0)</f>
        <v>10042</v>
      </c>
      <c r="C762" s="277">
        <f>ROUND(AE60,2)</f>
        <v>5.45</v>
      </c>
      <c r="D762" s="275">
        <f>ROUND(AE61,0)</f>
        <v>397078</v>
      </c>
      <c r="E762" s="275">
        <f>ROUND(AE62,0)</f>
        <v>111871</v>
      </c>
      <c r="F762" s="275">
        <f>ROUND(AE63,0)</f>
        <v>1247</v>
      </c>
      <c r="G762" s="275">
        <f>ROUND(AE64,0)</f>
        <v>8947</v>
      </c>
      <c r="H762" s="275">
        <f>ROUND(AE65,0)</f>
        <v>0</v>
      </c>
      <c r="I762" s="275">
        <f>ROUND(AE66,0)</f>
        <v>23671</v>
      </c>
      <c r="J762" s="275">
        <f>ROUND(AE67,0)</f>
        <v>5996</v>
      </c>
      <c r="K762" s="275">
        <f>ROUND(AE68,0)</f>
        <v>1322</v>
      </c>
      <c r="L762" s="275">
        <f>ROUND(AE69,0)</f>
        <v>4238</v>
      </c>
      <c r="M762" s="275">
        <f>ROUND(AE70,0)</f>
        <v>22356</v>
      </c>
      <c r="N762" s="275">
        <f>ROUND(AE75,0)</f>
        <v>1157455</v>
      </c>
      <c r="O762" s="275">
        <f>ROUND(AE73,0)</f>
        <v>102837</v>
      </c>
      <c r="P762" s="275">
        <f>IF(AE76&gt;0,ROUND(AE76,0),0)</f>
        <v>2332</v>
      </c>
      <c r="Q762" s="275">
        <f>IF(AE77&gt;0,ROUND(AE77,0),0)</f>
        <v>0</v>
      </c>
      <c r="R762" s="275">
        <f>IF(AE78&gt;0,ROUND(AE78,0),0)</f>
        <v>453</v>
      </c>
      <c r="S762" s="275">
        <f>IF(AE79&gt;0,ROUND(AE79,0),0)</f>
        <v>0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1"/>
        <v>160956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147*2017*7220*A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1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147*2017*7230*A</v>
      </c>
      <c r="B764" s="275">
        <f>ROUND(AG59,0)</f>
        <v>8923</v>
      </c>
      <c r="C764" s="277">
        <f>ROUND(AG60,2)</f>
        <v>22.9</v>
      </c>
      <c r="D764" s="275">
        <f>ROUND(AG61,0)</f>
        <v>2381843</v>
      </c>
      <c r="E764" s="275">
        <f>ROUND(AG62,0)</f>
        <v>409510</v>
      </c>
      <c r="F764" s="275">
        <f>ROUND(AG63,0)</f>
        <v>666287</v>
      </c>
      <c r="G764" s="275">
        <f>ROUND(AG64,0)</f>
        <v>82146</v>
      </c>
      <c r="H764" s="275">
        <f>ROUND(AG65,0)</f>
        <v>0</v>
      </c>
      <c r="I764" s="275">
        <f>ROUND(AG66,0)</f>
        <v>75539</v>
      </c>
      <c r="J764" s="275">
        <f>ROUND(AG67,0)</f>
        <v>164817</v>
      </c>
      <c r="K764" s="275">
        <f>ROUND(AG68,0)</f>
        <v>11222</v>
      </c>
      <c r="L764" s="275">
        <f>ROUND(AG69,0)</f>
        <v>8852</v>
      </c>
      <c r="M764" s="275">
        <f>ROUND(AG70,0)</f>
        <v>0</v>
      </c>
      <c r="N764" s="275">
        <f>ROUND(AG75,0)</f>
        <v>6165627</v>
      </c>
      <c r="O764" s="275">
        <f>ROUND(AG73,0)</f>
        <v>280074</v>
      </c>
      <c r="P764" s="275">
        <f>IF(AG76&gt;0,ROUND(AG76,0),0)</f>
        <v>3715</v>
      </c>
      <c r="Q764" s="275">
        <f>IF(AG77&gt;0,ROUND(AG77,0),0)</f>
        <v>0</v>
      </c>
      <c r="R764" s="275">
        <f>IF(AG78&gt;0,ROUND(AG78,0),0)</f>
        <v>2320</v>
      </c>
      <c r="S764" s="275">
        <f>IF(AG79&gt;0,ROUND(AG79,0),0)</f>
        <v>13256</v>
      </c>
      <c r="T764" s="277">
        <f>IF(AG80&gt;0,ROUND(AG80,2),0)</f>
        <v>7.37</v>
      </c>
      <c r="U764" s="275"/>
      <c r="V764" s="276"/>
      <c r="W764" s="275"/>
      <c r="X764" s="275"/>
      <c r="Y764" s="275">
        <f t="shared" si="21"/>
        <v>733709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147*2017*7240*A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1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147*2017*7250*A</v>
      </c>
      <c r="B766" s="275">
        <f>ROUND(AI59,0)</f>
        <v>0</v>
      </c>
      <c r="C766" s="277">
        <f>ROUND(AI60,2)</f>
        <v>0</v>
      </c>
      <c r="D766" s="275">
        <f>ROUND(AI61,0)</f>
        <v>0</v>
      </c>
      <c r="E766" s="275">
        <f>ROUND(AI62,0)</f>
        <v>0</v>
      </c>
      <c r="F766" s="275">
        <f>ROUND(AI63,0)</f>
        <v>0</v>
      </c>
      <c r="G766" s="275">
        <f>ROUND(AI64,0)</f>
        <v>0</v>
      </c>
      <c r="H766" s="275">
        <f>ROUND(AI65,0)</f>
        <v>0</v>
      </c>
      <c r="I766" s="275">
        <f>ROUND(AI66,0)</f>
        <v>0</v>
      </c>
      <c r="J766" s="275">
        <f>ROUND(AI67,0)</f>
        <v>0</v>
      </c>
      <c r="K766" s="275">
        <f>ROUND(AI68,0)</f>
        <v>0</v>
      </c>
      <c r="L766" s="275">
        <f>ROUND(AI69,0)</f>
        <v>0</v>
      </c>
      <c r="M766" s="275">
        <f>ROUND(AI70,0)</f>
        <v>0</v>
      </c>
      <c r="N766" s="275">
        <f>ROUND(AI75,0)</f>
        <v>0</v>
      </c>
      <c r="O766" s="275">
        <f>ROUND(AI73,0)</f>
        <v>0</v>
      </c>
      <c r="P766" s="275">
        <f>IF(AI76&gt;0,ROUND(AI76,0),0)</f>
        <v>0</v>
      </c>
      <c r="Q766" s="275">
        <f>IF(AI77&gt;0,ROUND(AI77,0),0)</f>
        <v>0</v>
      </c>
      <c r="R766" s="275">
        <f>IF(AI78&gt;0,ROUND(AI78,0),0)</f>
        <v>0</v>
      </c>
      <c r="S766" s="275">
        <f>IF(AI79&gt;0,ROUND(AI79,0),0)</f>
        <v>0</v>
      </c>
      <c r="T766" s="277">
        <f>IF(AI80&gt;0,ROUND(AI80,2),0)</f>
        <v>0</v>
      </c>
      <c r="U766" s="275"/>
      <c r="V766" s="276"/>
      <c r="W766" s="275"/>
      <c r="X766" s="275"/>
      <c r="Y766" s="275">
        <f t="shared" si="21"/>
        <v>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147*2017*7260*A</v>
      </c>
      <c r="B767" s="275">
        <f>ROUND(AJ59,0)</f>
        <v>0</v>
      </c>
      <c r="C767" s="277">
        <f>ROUND(AJ60,2)</f>
        <v>0</v>
      </c>
      <c r="D767" s="275">
        <f>ROUND(AJ61,0)</f>
        <v>0</v>
      </c>
      <c r="E767" s="275">
        <f>ROUND(AJ62,0)</f>
        <v>0</v>
      </c>
      <c r="F767" s="275">
        <f>ROUND(AJ63,0)</f>
        <v>0</v>
      </c>
      <c r="G767" s="275">
        <f>ROUND(AJ64,0)</f>
        <v>0</v>
      </c>
      <c r="H767" s="275">
        <f>ROUND(AJ65,0)</f>
        <v>0</v>
      </c>
      <c r="I767" s="275">
        <f>ROUND(AJ66,0)</f>
        <v>0</v>
      </c>
      <c r="J767" s="275">
        <f>ROUND(AJ67,0)</f>
        <v>0</v>
      </c>
      <c r="K767" s="275">
        <f>ROUND(AJ68,0)</f>
        <v>0</v>
      </c>
      <c r="L767" s="275">
        <f>ROUND(AJ69,0)</f>
        <v>0</v>
      </c>
      <c r="M767" s="275">
        <f>ROUND(AJ70,0)</f>
        <v>0</v>
      </c>
      <c r="N767" s="275">
        <f>ROUND(AJ75,0)</f>
        <v>0</v>
      </c>
      <c r="O767" s="275">
        <f>ROUND(AJ73,0)</f>
        <v>0</v>
      </c>
      <c r="P767" s="275">
        <f>IF(AJ76&gt;0,ROUND(AJ76,0),0)</f>
        <v>0</v>
      </c>
      <c r="Q767" s="275">
        <f>IF(AJ77&gt;0,ROUND(AJ77,0),0)</f>
        <v>0</v>
      </c>
      <c r="R767" s="275">
        <f>IF(AJ78&gt;0,ROUND(AJ78,0),0)</f>
        <v>0</v>
      </c>
      <c r="S767" s="275">
        <f>IF(AJ79&gt;0,ROUND(AJ79,0),0)</f>
        <v>0</v>
      </c>
      <c r="T767" s="277">
        <f>IF(AJ80&gt;0,ROUND(AJ80,2),0)</f>
        <v>0</v>
      </c>
      <c r="U767" s="275"/>
      <c r="V767" s="276"/>
      <c r="W767" s="275"/>
      <c r="X767" s="275"/>
      <c r="Y767" s="275">
        <f t="shared" si="21"/>
        <v>0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147*2017*7310*A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1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147*2017*7320*A</v>
      </c>
      <c r="B769" s="275">
        <f>ROUND(AL59,0)</f>
        <v>0</v>
      </c>
      <c r="C769" s="277">
        <f>ROUND(AL60,2)</f>
        <v>0</v>
      </c>
      <c r="D769" s="275">
        <f>ROUND(AL61,0)</f>
        <v>0</v>
      </c>
      <c r="E769" s="275">
        <f>ROUND(AL62,0)</f>
        <v>0</v>
      </c>
      <c r="F769" s="275">
        <f>ROUND(AL63,0)</f>
        <v>0</v>
      </c>
      <c r="G769" s="275">
        <f>ROUND(AL64,0)</f>
        <v>0</v>
      </c>
      <c r="H769" s="275">
        <f>ROUND(AL65,0)</f>
        <v>0</v>
      </c>
      <c r="I769" s="275">
        <f>ROUND(AL66,0)</f>
        <v>0</v>
      </c>
      <c r="J769" s="275">
        <f>ROUND(AL67,0)</f>
        <v>0</v>
      </c>
      <c r="K769" s="275">
        <f>ROUND(AL68,0)</f>
        <v>0</v>
      </c>
      <c r="L769" s="275">
        <f>ROUND(AL69,0)</f>
        <v>0</v>
      </c>
      <c r="M769" s="275">
        <f>ROUND(AL70,0)</f>
        <v>0</v>
      </c>
      <c r="N769" s="275">
        <f>ROUND(AL75,0)</f>
        <v>0</v>
      </c>
      <c r="O769" s="275">
        <f>ROUND(AL73,0)</f>
        <v>0</v>
      </c>
      <c r="P769" s="275">
        <f>IF(AL76&gt;0,ROUND(AL76,0),0)</f>
        <v>0</v>
      </c>
      <c r="Q769" s="275">
        <f>IF(AL77&gt;0,ROUND(AL77,0),0)</f>
        <v>0</v>
      </c>
      <c r="R769" s="275">
        <f>IF(AL78&gt;0,ROUND(AL78,0),0)</f>
        <v>0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1"/>
        <v>0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147*2017*7330*A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1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147*2017*7340*A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1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147*2017*7350*A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1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147*2017*7380*A</v>
      </c>
      <c r="B773" s="275">
        <f>ROUND(AP59,0)</f>
        <v>17195</v>
      </c>
      <c r="C773" s="277">
        <f>ROUND(AP60,2)</f>
        <v>33.35</v>
      </c>
      <c r="D773" s="275">
        <f>ROUND(AP61,0)</f>
        <v>3532720</v>
      </c>
      <c r="E773" s="275">
        <f>ROUND(AP62,0)</f>
        <v>701022</v>
      </c>
      <c r="F773" s="275">
        <f>ROUND(AP63,0)</f>
        <v>412477</v>
      </c>
      <c r="G773" s="275">
        <f>ROUND(AP64,0)</f>
        <v>149066</v>
      </c>
      <c r="H773" s="275">
        <f>ROUND(AP65,0)</f>
        <v>43005</v>
      </c>
      <c r="I773" s="275">
        <f>ROUND(AP66,0)</f>
        <v>194706</v>
      </c>
      <c r="J773" s="275">
        <f>ROUND(AP67,0)</f>
        <v>103939</v>
      </c>
      <c r="K773" s="275">
        <f>ROUND(AP68,0)</f>
        <v>13872</v>
      </c>
      <c r="L773" s="275">
        <f>ROUND(AP69,0)</f>
        <v>113077</v>
      </c>
      <c r="M773" s="275">
        <f>ROUND(AP70,0)</f>
        <v>54522</v>
      </c>
      <c r="N773" s="275">
        <f>ROUND(AP75,0)</f>
        <v>8267332</v>
      </c>
      <c r="O773" s="275">
        <f>ROUND(AP73,0)</f>
        <v>1551896</v>
      </c>
      <c r="P773" s="275">
        <f>IF(AP76&gt;0,ROUND(AP76,0),0)</f>
        <v>15629</v>
      </c>
      <c r="Q773" s="275">
        <f>IF(AP77&gt;0,ROUND(AP77,0),0)</f>
        <v>0</v>
      </c>
      <c r="R773" s="275">
        <f>IF(AP78&gt;0,ROUND(AP78,0),0)</f>
        <v>1728</v>
      </c>
      <c r="S773" s="275">
        <f>IF(AP79&gt;0,ROUND(AP79,0),0)</f>
        <v>0</v>
      </c>
      <c r="T773" s="277">
        <f>IF(AP80&gt;0,ROUND(AP80,2),0)</f>
        <v>9.3000000000000007</v>
      </c>
      <c r="U773" s="275"/>
      <c r="V773" s="276"/>
      <c r="W773" s="275"/>
      <c r="X773" s="275"/>
      <c r="Y773" s="275">
        <f t="shared" si="21"/>
        <v>1213046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147*2017*7390*A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1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147*2017*7400*A</v>
      </c>
      <c r="B775" s="275">
        <f>ROUND(AR59,0)</f>
        <v>0</v>
      </c>
      <c r="C775" s="277">
        <f>ROUND(AR60,2)</f>
        <v>0</v>
      </c>
      <c r="D775" s="275">
        <f>ROUND(AR61,0)</f>
        <v>0</v>
      </c>
      <c r="E775" s="275">
        <f>ROUND(AR62,0)</f>
        <v>0</v>
      </c>
      <c r="F775" s="275">
        <f>ROUND(AR63,0)</f>
        <v>0</v>
      </c>
      <c r="G775" s="275">
        <f>ROUND(AR64,0)</f>
        <v>0</v>
      </c>
      <c r="H775" s="275">
        <f>ROUND(AR65,0)</f>
        <v>0</v>
      </c>
      <c r="I775" s="275">
        <f>ROUND(AR66,0)</f>
        <v>0</v>
      </c>
      <c r="J775" s="275">
        <f>ROUND(AR67,0)</f>
        <v>0</v>
      </c>
      <c r="K775" s="275">
        <f>ROUND(AR68,0)</f>
        <v>0</v>
      </c>
      <c r="L775" s="275">
        <f>ROUND(AR69,0)</f>
        <v>0</v>
      </c>
      <c r="M775" s="275">
        <f>ROUND(AR70,0)</f>
        <v>0</v>
      </c>
      <c r="N775" s="275">
        <f>ROUND(AR75,0)</f>
        <v>0</v>
      </c>
      <c r="O775" s="275">
        <f>ROUND(AR73,0)</f>
        <v>0</v>
      </c>
      <c r="P775" s="275">
        <f>IF(AR76&gt;0,ROUND(AR76,0),0)</f>
        <v>0</v>
      </c>
      <c r="Q775" s="275">
        <f>IF(AR77&gt;0,ROUND(AR77,0),0)</f>
        <v>0</v>
      </c>
      <c r="R775" s="275">
        <f>IF(AR78&gt;0,ROUND(AR78,0),0)</f>
        <v>0</v>
      </c>
      <c r="S775" s="275">
        <f>IF(AR79&gt;0,ROUND(AR79,0),0)</f>
        <v>0</v>
      </c>
      <c r="T775" s="277">
        <f>IF(AR80&gt;0,ROUND(AR80,2),0)</f>
        <v>0</v>
      </c>
      <c r="U775" s="275"/>
      <c r="V775" s="276"/>
      <c r="W775" s="275"/>
      <c r="X775" s="275"/>
      <c r="Y775" s="275">
        <f t="shared" si="21"/>
        <v>0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147*2017*7410*A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1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147*2017*7420*A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1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147*2017*7430*A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1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147*2017*7490*A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0</v>
      </c>
      <c r="L779" s="275">
        <f>ROUND(AV69,0)</f>
        <v>0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1"/>
        <v>0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147*2017*8200*A</v>
      </c>
      <c r="B780" s="275"/>
      <c r="C780" s="277">
        <f>ROUND(AW60,2)</f>
        <v>0</v>
      </c>
      <c r="D780" s="275">
        <f>ROUND(AW61,0)</f>
        <v>0</v>
      </c>
      <c r="E780" s="275">
        <f>ROUND(AW62,0)</f>
        <v>0</v>
      </c>
      <c r="F780" s="275">
        <f>ROUND(AW63,0)</f>
        <v>0</v>
      </c>
      <c r="G780" s="275">
        <f>ROUND(AW64,0)</f>
        <v>0</v>
      </c>
      <c r="H780" s="275">
        <f>ROUND(AW65,0)</f>
        <v>0</v>
      </c>
      <c r="I780" s="275">
        <f>ROUND(AW66,0)</f>
        <v>0</v>
      </c>
      <c r="J780" s="275">
        <f>ROUND(AW67,0)</f>
        <v>0</v>
      </c>
      <c r="K780" s="275">
        <f>ROUND(AW68,0)</f>
        <v>0</v>
      </c>
      <c r="L780" s="275">
        <f>ROUND(AW69,0)</f>
        <v>0</v>
      </c>
      <c r="M780" s="275">
        <f>ROUND(AW70,0)</f>
        <v>0</v>
      </c>
      <c r="N780" s="275"/>
      <c r="O780" s="275"/>
      <c r="P780" s="275">
        <f>IF(AW76&gt;0,ROUND(AW76,0),0)</f>
        <v>0</v>
      </c>
      <c r="Q780" s="275">
        <f>IF(AW77&gt;0,ROUND(AW77,0),0)</f>
        <v>0</v>
      </c>
      <c r="R780" s="275">
        <f>IF(AW78&gt;0,ROUND(AW78,0),0)</f>
        <v>0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147*2017*8310*A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147*2017*8320*A</v>
      </c>
      <c r="B782" s="275">
        <f>ROUND(AY59,0)</f>
        <v>8797</v>
      </c>
      <c r="C782" s="277">
        <f>ROUND(AY60,2)</f>
        <v>5.86</v>
      </c>
      <c r="D782" s="275">
        <f>ROUND(AY61,0)</f>
        <v>211270</v>
      </c>
      <c r="E782" s="275">
        <f>ROUND(AY62,0)</f>
        <v>87947</v>
      </c>
      <c r="F782" s="275">
        <f>ROUND(AY63,0)</f>
        <v>0</v>
      </c>
      <c r="G782" s="275">
        <f>ROUND(AY64,0)</f>
        <v>112510</v>
      </c>
      <c r="H782" s="275">
        <f>ROUND(AY65,0)</f>
        <v>0</v>
      </c>
      <c r="I782" s="275">
        <f>ROUND(AY66,0)</f>
        <v>5299</v>
      </c>
      <c r="J782" s="275">
        <f>ROUND(AY67,0)</f>
        <v>6148</v>
      </c>
      <c r="K782" s="275">
        <f>ROUND(AY68,0)</f>
        <v>23155</v>
      </c>
      <c r="L782" s="275">
        <f>ROUND(AY69,0)</f>
        <v>159</v>
      </c>
      <c r="M782" s="275">
        <f>ROUND(AY70,0)</f>
        <v>79734</v>
      </c>
      <c r="N782" s="275"/>
      <c r="O782" s="275"/>
      <c r="P782" s="275">
        <f>IF(AY76&gt;0,ROUND(AY76,0),0)</f>
        <v>1503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147*2017*8330*A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1490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651</v>
      </c>
      <c r="Q783" s="275">
        <f>IF(AZ77&gt;0,ROUND(AZ77,0),0)</f>
        <v>0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147*2017*8350*A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0</v>
      </c>
      <c r="H784" s="275">
        <f>ROUND(BA65,0)</f>
        <v>0</v>
      </c>
      <c r="I784" s="275">
        <f>ROUND(BA66,0)</f>
        <v>118082</v>
      </c>
      <c r="J784" s="275">
        <f>ROUND(BA67,0)</f>
        <v>1158</v>
      </c>
      <c r="K784" s="275">
        <f>ROUND(BA68,0)</f>
        <v>0</v>
      </c>
      <c r="L784" s="275">
        <f>ROUND(BA69,0)</f>
        <v>0</v>
      </c>
      <c r="M784" s="275">
        <f>ROUND(BA70,0)</f>
        <v>0</v>
      </c>
      <c r="N784" s="275"/>
      <c r="O784" s="275"/>
      <c r="P784" s="275">
        <f>IF(BA76&gt;0,ROUND(BA76,0),0)</f>
        <v>506</v>
      </c>
      <c r="Q784" s="275">
        <f>IF(BA77&gt;0,ROUND(BA77,0),0)</f>
        <v>0</v>
      </c>
      <c r="R784" s="275">
        <f>IF(BA78&gt;0,ROUND(BA78,0),0)</f>
        <v>579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147*2017*8360*A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147*2017*8370*A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147*2017*8420*A</v>
      </c>
      <c r="B787" s="275"/>
      <c r="C787" s="277">
        <f>ROUND(BD60,2)</f>
        <v>1.88</v>
      </c>
      <c r="D787" s="275">
        <f>ROUND(BD61,0)</f>
        <v>89424</v>
      </c>
      <c r="E787" s="275">
        <f>ROUND(BD62,0)</f>
        <v>32162</v>
      </c>
      <c r="F787" s="275">
        <f>ROUND(BD63,0)</f>
        <v>0</v>
      </c>
      <c r="G787" s="275">
        <f>ROUND(BD64,0)</f>
        <v>408</v>
      </c>
      <c r="H787" s="275">
        <f>ROUND(BD65,0)</f>
        <v>0</v>
      </c>
      <c r="I787" s="275">
        <f>ROUND(BD66,0)</f>
        <v>4746</v>
      </c>
      <c r="J787" s="275">
        <f>ROUND(BD67,0)</f>
        <v>785</v>
      </c>
      <c r="K787" s="275">
        <f>ROUND(BD68,0)</f>
        <v>0</v>
      </c>
      <c r="L787" s="275">
        <f>ROUND(BD69,0)</f>
        <v>409</v>
      </c>
      <c r="M787" s="275">
        <f>ROUND(BD70,0)</f>
        <v>0</v>
      </c>
      <c r="N787" s="275"/>
      <c r="O787" s="275"/>
      <c r="P787" s="275">
        <f>IF(BD76&gt;0,ROUND(BD76,0),0)</f>
        <v>343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147*2017*8430*A</v>
      </c>
      <c r="B788" s="275">
        <f>ROUND(BE59,0)</f>
        <v>82579</v>
      </c>
      <c r="C788" s="277">
        <f>ROUND(BE60,2)</f>
        <v>3.14</v>
      </c>
      <c r="D788" s="275">
        <f>ROUND(BE61,0)</f>
        <v>188690</v>
      </c>
      <c r="E788" s="275">
        <f>ROUND(BE62,0)</f>
        <v>53685</v>
      </c>
      <c r="F788" s="275">
        <f>ROUND(BE63,0)</f>
        <v>0</v>
      </c>
      <c r="G788" s="275">
        <f>ROUND(BE64,0)</f>
        <v>33555</v>
      </c>
      <c r="H788" s="275">
        <f>ROUND(BE65,0)</f>
        <v>317498</v>
      </c>
      <c r="I788" s="275">
        <f>ROUND(BE66,0)</f>
        <v>76555</v>
      </c>
      <c r="J788" s="275">
        <f>ROUND(BE67,0)</f>
        <v>84186</v>
      </c>
      <c r="K788" s="275">
        <f>ROUND(BE68,0)</f>
        <v>35</v>
      </c>
      <c r="L788" s="275">
        <f>ROUND(BE69,0)</f>
        <v>959</v>
      </c>
      <c r="M788" s="275">
        <f>ROUND(BE70,0)</f>
        <v>0</v>
      </c>
      <c r="N788" s="275"/>
      <c r="O788" s="275"/>
      <c r="P788" s="275">
        <f>IF(BE76&gt;0,ROUND(BE76,0),0)</f>
        <v>26400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147*2017*8460*A</v>
      </c>
      <c r="B789" s="275"/>
      <c r="C789" s="277">
        <f>ROUND(BF60,2)</f>
        <v>9.84</v>
      </c>
      <c r="D789" s="275">
        <f>ROUND(BF61,0)</f>
        <v>298820</v>
      </c>
      <c r="E789" s="275">
        <f>ROUND(BF62,0)</f>
        <v>124990</v>
      </c>
      <c r="F789" s="275">
        <f>ROUND(BF63,0)</f>
        <v>0</v>
      </c>
      <c r="G789" s="275">
        <f>ROUND(BF64,0)</f>
        <v>31111</v>
      </c>
      <c r="H789" s="275">
        <f>ROUND(BF65,0)</f>
        <v>0</v>
      </c>
      <c r="I789" s="275">
        <f>ROUND(BF66,0)</f>
        <v>3671</v>
      </c>
      <c r="J789" s="275">
        <f>ROUND(BF67,0)</f>
        <v>1288</v>
      </c>
      <c r="K789" s="275">
        <f>ROUND(BF68,0)</f>
        <v>0</v>
      </c>
      <c r="L789" s="275">
        <f>ROUND(BF69,0)</f>
        <v>5</v>
      </c>
      <c r="M789" s="275">
        <f>ROUND(BF70,0)</f>
        <v>0</v>
      </c>
      <c r="N789" s="275"/>
      <c r="O789" s="275"/>
      <c r="P789" s="275">
        <f>IF(BF76&gt;0,ROUND(BF76,0),0)</f>
        <v>350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147*2017*8470*A</v>
      </c>
      <c r="B790" s="275"/>
      <c r="C790" s="277">
        <f>ROUND(BG60,2)</f>
        <v>0.38</v>
      </c>
      <c r="D790" s="275">
        <f>ROUND(BG61,0)</f>
        <v>25118</v>
      </c>
      <c r="E790" s="275">
        <f>ROUND(BG62,0)</f>
        <v>14884</v>
      </c>
      <c r="F790" s="275">
        <f>ROUND(BG63,0)</f>
        <v>0</v>
      </c>
      <c r="G790" s="275">
        <f>ROUND(BG64,0)</f>
        <v>324</v>
      </c>
      <c r="H790" s="275">
        <f>ROUND(BG65,0)</f>
        <v>61297</v>
      </c>
      <c r="I790" s="275">
        <f>ROUND(BG66,0)</f>
        <v>14944</v>
      </c>
      <c r="J790" s="275">
        <f>ROUND(BG67,0)</f>
        <v>668</v>
      </c>
      <c r="K790" s="275">
        <f>ROUND(BG68,0)</f>
        <v>2665</v>
      </c>
      <c r="L790" s="275">
        <f>ROUND(BG69,0)</f>
        <v>0</v>
      </c>
      <c r="M790" s="275">
        <f>ROUND(BG70,0)</f>
        <v>405</v>
      </c>
      <c r="N790" s="275"/>
      <c r="O790" s="275"/>
      <c r="P790" s="275">
        <f>IF(BG76&gt;0,ROUND(BG76,0),0)</f>
        <v>292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147*2017*8480*A</v>
      </c>
      <c r="B791" s="275"/>
      <c r="C791" s="277">
        <f>ROUND(BH60,2)</f>
        <v>2.87</v>
      </c>
      <c r="D791" s="275">
        <f>ROUND(BH61,0)</f>
        <v>207755</v>
      </c>
      <c r="E791" s="275">
        <f>ROUND(BH62,0)</f>
        <v>57697</v>
      </c>
      <c r="F791" s="275">
        <f>ROUND(BH63,0)</f>
        <v>0</v>
      </c>
      <c r="G791" s="275">
        <f>ROUND(BH64,0)</f>
        <v>21028</v>
      </c>
      <c r="H791" s="275">
        <f>ROUND(BH65,0)</f>
        <v>0</v>
      </c>
      <c r="I791" s="275">
        <f>ROUND(BH66,0)</f>
        <v>176989</v>
      </c>
      <c r="J791" s="275">
        <f>ROUND(BH67,0)</f>
        <v>15958</v>
      </c>
      <c r="K791" s="275">
        <f>ROUND(BH68,0)</f>
        <v>27000</v>
      </c>
      <c r="L791" s="275">
        <f>ROUND(BH69,0)</f>
        <v>645</v>
      </c>
      <c r="M791" s="275">
        <f>ROUND(BH70,0)</f>
        <v>0</v>
      </c>
      <c r="N791" s="275"/>
      <c r="O791" s="275"/>
      <c r="P791" s="275">
        <f>IF(BH76&gt;0,ROUND(BH76,0),0)</f>
        <v>652</v>
      </c>
      <c r="Q791" s="275">
        <f>IF(BH77&gt;0,ROUND(BH77,0),0)</f>
        <v>0</v>
      </c>
      <c r="R791" s="275">
        <f>IF(BH78&gt;0,ROUND(BH78,0),0)</f>
        <v>0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147*2017*8490*A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147*2017*8510*A</v>
      </c>
      <c r="B793" s="275"/>
      <c r="C793" s="277">
        <f>ROUND(BJ60,2)</f>
        <v>4.09</v>
      </c>
      <c r="D793" s="275">
        <f>ROUND(BJ61,0)</f>
        <v>354720</v>
      </c>
      <c r="E793" s="275">
        <f>ROUND(BJ62,0)</f>
        <v>83734</v>
      </c>
      <c r="F793" s="275">
        <f>ROUND(BJ63,0)</f>
        <v>51304</v>
      </c>
      <c r="G793" s="275">
        <f>ROUND(BJ64,0)</f>
        <v>28974</v>
      </c>
      <c r="H793" s="275">
        <f>ROUND(BJ65,0)</f>
        <v>0</v>
      </c>
      <c r="I793" s="275">
        <f>ROUND(BJ66,0)</f>
        <v>45093</v>
      </c>
      <c r="J793" s="275">
        <f>ROUND(BJ67,0)</f>
        <v>18895</v>
      </c>
      <c r="K793" s="275">
        <f>ROUND(BJ68,0)</f>
        <v>10172</v>
      </c>
      <c r="L793" s="275">
        <f>ROUND(BJ69,0)</f>
        <v>7396</v>
      </c>
      <c r="M793" s="275">
        <f>ROUND(BJ70,0)</f>
        <v>0</v>
      </c>
      <c r="N793" s="275"/>
      <c r="O793" s="275"/>
      <c r="P793" s="275">
        <f>IF(BJ76&gt;0,ROUND(BJ76,0),0)</f>
        <v>697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147*2017*8530*A</v>
      </c>
      <c r="B794" s="275"/>
      <c r="C794" s="277">
        <f>ROUND(BK60,2)</f>
        <v>10.09</v>
      </c>
      <c r="D794" s="275">
        <f>ROUND(BK61,0)</f>
        <v>350142</v>
      </c>
      <c r="E794" s="275">
        <f>ROUND(BK62,0)</f>
        <v>147885</v>
      </c>
      <c r="F794" s="275">
        <f>ROUND(BK63,0)</f>
        <v>25855</v>
      </c>
      <c r="G794" s="275">
        <f>ROUND(BK64,0)</f>
        <v>52941</v>
      </c>
      <c r="H794" s="275">
        <f>ROUND(BK65,0)</f>
        <v>0</v>
      </c>
      <c r="I794" s="275">
        <f>ROUND(BK66,0)</f>
        <v>91563</v>
      </c>
      <c r="J794" s="275">
        <f>ROUND(BK67,0)</f>
        <v>3825</v>
      </c>
      <c r="K794" s="275">
        <f>ROUND(BK68,0)</f>
        <v>11473</v>
      </c>
      <c r="L794" s="275">
        <f>ROUND(BK69,0)</f>
        <v>2594</v>
      </c>
      <c r="M794" s="275">
        <f>ROUND(BK70,0)</f>
        <v>0</v>
      </c>
      <c r="N794" s="275"/>
      <c r="O794" s="275"/>
      <c r="P794" s="275">
        <f>IF(BK76&gt;0,ROUND(BK76,0),0)</f>
        <v>1671</v>
      </c>
      <c r="Q794" s="275">
        <f>IF(BK77&gt;0,ROUND(BK77,0),0)</f>
        <v>0</v>
      </c>
      <c r="R794" s="275">
        <f>IF(BK78&gt;0,ROUND(BK78,0),0)</f>
        <v>0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147*2017*8560*A</v>
      </c>
      <c r="B795" s="275"/>
      <c r="C795" s="277">
        <f>ROUND(BL60,2)</f>
        <v>4.58</v>
      </c>
      <c r="D795" s="275">
        <f>ROUND(BL61,0)</f>
        <v>154067</v>
      </c>
      <c r="E795" s="275">
        <f>ROUND(BL62,0)</f>
        <v>123503</v>
      </c>
      <c r="F795" s="275">
        <f>ROUND(BL63,0)</f>
        <v>0</v>
      </c>
      <c r="G795" s="275">
        <f>ROUND(BL64,0)</f>
        <v>9307</v>
      </c>
      <c r="H795" s="275">
        <f>ROUND(BL65,0)</f>
        <v>0</v>
      </c>
      <c r="I795" s="275">
        <f>ROUND(BL66,0)</f>
        <v>6801</v>
      </c>
      <c r="J795" s="275">
        <f>ROUND(BL67,0)</f>
        <v>577</v>
      </c>
      <c r="K795" s="275">
        <f>ROUND(BL68,0)</f>
        <v>1485</v>
      </c>
      <c r="L795" s="275">
        <f>ROUND(BL69,0)</f>
        <v>0</v>
      </c>
      <c r="M795" s="275">
        <f>ROUND(BL70,0)</f>
        <v>0</v>
      </c>
      <c r="N795" s="275"/>
      <c r="O795" s="275"/>
      <c r="P795" s="275">
        <f>IF(BL76&gt;0,ROUND(BL76,0),0)</f>
        <v>252</v>
      </c>
      <c r="Q795" s="275">
        <f>IF(BL77&gt;0,ROUND(BL77,0),0)</f>
        <v>0</v>
      </c>
      <c r="R795" s="275">
        <f>IF(BL78&gt;0,ROUND(BL78,0),0)</f>
        <v>0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147*2017*8590*A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147*2017*8610*A</v>
      </c>
      <c r="B797" s="275"/>
      <c r="C797" s="277">
        <f>ROUND(BN60,2)</f>
        <v>1.66</v>
      </c>
      <c r="D797" s="275">
        <f>ROUND(BN61,0)</f>
        <v>162434</v>
      </c>
      <c r="E797" s="275">
        <f>ROUND(BN62,0)</f>
        <v>46191</v>
      </c>
      <c r="F797" s="275">
        <f>ROUND(BN63,0)</f>
        <v>190713</v>
      </c>
      <c r="G797" s="275">
        <f>ROUND(BN64,0)</f>
        <v>1972</v>
      </c>
      <c r="H797" s="275">
        <f>ROUND(BN65,0)</f>
        <v>0</v>
      </c>
      <c r="I797" s="275">
        <f>ROUND(BN66,0)</f>
        <v>57323</v>
      </c>
      <c r="J797" s="275">
        <f>ROUND(BN67,0)</f>
        <v>1472</v>
      </c>
      <c r="K797" s="275">
        <f>ROUND(BN68,0)</f>
        <v>7533</v>
      </c>
      <c r="L797" s="275">
        <f>ROUND(BN69,0)</f>
        <v>68071</v>
      </c>
      <c r="M797" s="275">
        <f>ROUND(BN70,0)</f>
        <v>0</v>
      </c>
      <c r="N797" s="275"/>
      <c r="O797" s="275"/>
      <c r="P797" s="275">
        <f>IF(BN76&gt;0,ROUND(BN76,0),0)</f>
        <v>643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147*2017*8620*A</v>
      </c>
      <c r="B798" s="275"/>
      <c r="C798" s="277">
        <f>ROUND(BO60,2)</f>
        <v>0.28999999999999998</v>
      </c>
      <c r="D798" s="275">
        <f>ROUND(BO61,0)</f>
        <v>37039</v>
      </c>
      <c r="E798" s="275">
        <f>ROUND(BO62,0)</f>
        <v>7</v>
      </c>
      <c r="F798" s="275">
        <f>ROUND(BO63,0)</f>
        <v>0</v>
      </c>
      <c r="G798" s="275">
        <f>ROUND(BO64,0)</f>
        <v>0</v>
      </c>
      <c r="H798" s="275">
        <f>ROUND(BO65,0)</f>
        <v>0</v>
      </c>
      <c r="I798" s="275">
        <f>ROUND(BO66,0)</f>
        <v>0</v>
      </c>
      <c r="J798" s="275">
        <f>ROUND(BO67,0)</f>
        <v>0</v>
      </c>
      <c r="K798" s="275">
        <f>ROUND(BO68,0)</f>
        <v>0</v>
      </c>
      <c r="L798" s="275">
        <f>ROUND(BO69,0)</f>
        <v>4188</v>
      </c>
      <c r="M798" s="275">
        <f>ROUND(BO70,0)</f>
        <v>0</v>
      </c>
      <c r="N798" s="275"/>
      <c r="O798" s="275"/>
      <c r="P798" s="275">
        <f>IF(BO76&gt;0,ROUND(BO76,0),0)</f>
        <v>0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147*2017*8630*A</v>
      </c>
      <c r="B799" s="275"/>
      <c r="C799" s="277">
        <f>ROUND(BP60,2)</f>
        <v>0</v>
      </c>
      <c r="D799" s="275">
        <f>ROUND(BP61,0)</f>
        <v>0</v>
      </c>
      <c r="E799" s="275">
        <f>ROUND(BP62,0)</f>
        <v>0</v>
      </c>
      <c r="F799" s="275">
        <f>ROUND(BP63,0)</f>
        <v>0</v>
      </c>
      <c r="G799" s="275">
        <f>ROUND(BP64,0)</f>
        <v>0</v>
      </c>
      <c r="H799" s="275">
        <f>ROUND(BP65,0)</f>
        <v>0</v>
      </c>
      <c r="I799" s="275">
        <f>ROUND(BP66,0)</f>
        <v>0</v>
      </c>
      <c r="J799" s="275">
        <f>ROUND(BP67,0)</f>
        <v>0</v>
      </c>
      <c r="K799" s="275">
        <f>ROUND(BP68,0)</f>
        <v>0</v>
      </c>
      <c r="L799" s="275">
        <f>ROUND(BP69,0)</f>
        <v>0</v>
      </c>
      <c r="M799" s="275">
        <f>ROUND(BP70,0)</f>
        <v>0</v>
      </c>
      <c r="N799" s="275"/>
      <c r="O799" s="275"/>
      <c r="P799" s="275">
        <f>IF(BP76&gt;0,ROUND(BP76,0),0)</f>
        <v>0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147*2017*8640*A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147*2017*8650*A</v>
      </c>
      <c r="B801" s="275"/>
      <c r="C801" s="277">
        <f>ROUND(BR60,2)</f>
        <v>2.02</v>
      </c>
      <c r="D801" s="275">
        <f>ROUND(BR61,0)</f>
        <v>158683</v>
      </c>
      <c r="E801" s="275">
        <f>ROUND(BR62,0)</f>
        <v>40486</v>
      </c>
      <c r="F801" s="275">
        <f>ROUND(BR63,0)</f>
        <v>13492</v>
      </c>
      <c r="G801" s="275">
        <f>ROUND(BR64,0)</f>
        <v>354</v>
      </c>
      <c r="H801" s="275">
        <f>ROUND(BR65,0)</f>
        <v>0</v>
      </c>
      <c r="I801" s="275">
        <f>ROUND(BR66,0)</f>
        <v>8282</v>
      </c>
      <c r="J801" s="275">
        <f>ROUND(BR67,0)</f>
        <v>716</v>
      </c>
      <c r="K801" s="275">
        <f>ROUND(BR68,0)</f>
        <v>0</v>
      </c>
      <c r="L801" s="275">
        <f>ROUND(BR69,0)</f>
        <v>83024</v>
      </c>
      <c r="M801" s="275">
        <f>ROUND(BR70,0)</f>
        <v>0</v>
      </c>
      <c r="N801" s="275"/>
      <c r="O801" s="275"/>
      <c r="P801" s="275">
        <f>IF(BR76&gt;0,ROUND(BR76,0),0)</f>
        <v>313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147*2017*8660*A</v>
      </c>
      <c r="B802" s="275"/>
      <c r="C802" s="277">
        <f>ROUND(BS60,2)</f>
        <v>0</v>
      </c>
      <c r="D802" s="275">
        <f>ROUND(BS61,0)</f>
        <v>0</v>
      </c>
      <c r="E802" s="275">
        <f>ROUND(BS62,0)</f>
        <v>0</v>
      </c>
      <c r="F802" s="275">
        <f>ROUND(BS63,0)</f>
        <v>0</v>
      </c>
      <c r="G802" s="275">
        <f>ROUND(BS64,0)</f>
        <v>0</v>
      </c>
      <c r="H802" s="275">
        <f>ROUND(BS65,0)</f>
        <v>0</v>
      </c>
      <c r="I802" s="275">
        <f>ROUND(BS66,0)</f>
        <v>0</v>
      </c>
      <c r="J802" s="275">
        <f>ROUND(BS67,0)</f>
        <v>0</v>
      </c>
      <c r="K802" s="275">
        <f>ROUND(BS68,0)</f>
        <v>0</v>
      </c>
      <c r="L802" s="275">
        <f>ROUND(BS69,0)</f>
        <v>0</v>
      </c>
      <c r="M802" s="275">
        <f>ROUND(BS70,0)</f>
        <v>0</v>
      </c>
      <c r="N802" s="275"/>
      <c r="O802" s="275"/>
      <c r="P802" s="275">
        <f>IF(BS76&gt;0,ROUND(BS76,0),0)</f>
        <v>0</v>
      </c>
      <c r="Q802" s="275">
        <f>IF(BS77&gt;0,ROUND(BS77,0),0)</f>
        <v>0</v>
      </c>
      <c r="R802" s="275">
        <f>IF(BS78&gt;0,ROUND(BS78,0),0)</f>
        <v>0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147*2017*8670*A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0</v>
      </c>
      <c r="K803" s="275">
        <f>ROUND(BT68,0)</f>
        <v>0</v>
      </c>
      <c r="L803" s="275">
        <f>ROUND(BT69,0)</f>
        <v>0</v>
      </c>
      <c r="M803" s="275">
        <f>ROUND(BT70,0)</f>
        <v>0</v>
      </c>
      <c r="N803" s="275"/>
      <c r="O803" s="275"/>
      <c r="P803" s="275">
        <f>IF(BT76&gt;0,ROUND(BT76,0),0)</f>
        <v>0</v>
      </c>
      <c r="Q803" s="275">
        <f>IF(BT77&gt;0,ROUND(BT77,0),0)</f>
        <v>0</v>
      </c>
      <c r="R803" s="275">
        <f>IF(BT78&gt;0,ROUND(BT78,0),0)</f>
        <v>0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147*2017*8680*A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147*2017*8690*A</v>
      </c>
      <c r="B805" s="275"/>
      <c r="C805" s="277">
        <f>ROUND(BV60,2)</f>
        <v>7.81</v>
      </c>
      <c r="D805" s="275">
        <f>ROUND(BV61,0)</f>
        <v>355864</v>
      </c>
      <c r="E805" s="275">
        <f>ROUND(BV62,0)</f>
        <v>118905</v>
      </c>
      <c r="F805" s="275">
        <f>ROUND(BV63,0)</f>
        <v>0</v>
      </c>
      <c r="G805" s="275">
        <f>ROUND(BV64,0)</f>
        <v>1848</v>
      </c>
      <c r="H805" s="275">
        <f>ROUND(BV65,0)</f>
        <v>0</v>
      </c>
      <c r="I805" s="275">
        <f>ROUND(BV66,0)</f>
        <v>125344</v>
      </c>
      <c r="J805" s="275">
        <f>ROUND(BV67,0)</f>
        <v>3917</v>
      </c>
      <c r="K805" s="275">
        <f>ROUND(BV68,0)</f>
        <v>0</v>
      </c>
      <c r="L805" s="275">
        <f>ROUND(BV69,0)</f>
        <v>1349</v>
      </c>
      <c r="M805" s="275">
        <f>ROUND(BV70,0)</f>
        <v>15500</v>
      </c>
      <c r="N805" s="275"/>
      <c r="O805" s="275"/>
      <c r="P805" s="275">
        <f>IF(BV76&gt;0,ROUND(BV76,0),0)</f>
        <v>1508</v>
      </c>
      <c r="Q805" s="275">
        <f>IF(BV77&gt;0,ROUND(BV77,0),0)</f>
        <v>0</v>
      </c>
      <c r="R805" s="275">
        <f>IF(BV78&gt;0,ROUND(BV78,0),0)</f>
        <v>0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147*2017*8700*A</v>
      </c>
      <c r="B806" s="275"/>
      <c r="C806" s="277">
        <f>ROUND(BW60,2)</f>
        <v>0</v>
      </c>
      <c r="D806" s="275">
        <f>ROUND(BW61,0)</f>
        <v>0</v>
      </c>
      <c r="E806" s="275">
        <f>ROUND(BW62,0)</f>
        <v>0</v>
      </c>
      <c r="F806" s="275">
        <f>ROUND(BW63,0)</f>
        <v>0</v>
      </c>
      <c r="G806" s="275">
        <f>ROUND(BW64,0)</f>
        <v>0</v>
      </c>
      <c r="H806" s="275">
        <f>ROUND(BW65,0)</f>
        <v>0</v>
      </c>
      <c r="I806" s="275">
        <f>ROUND(BW66,0)</f>
        <v>0</v>
      </c>
      <c r="J806" s="275">
        <f>ROUND(BW67,0)</f>
        <v>0</v>
      </c>
      <c r="K806" s="275">
        <f>ROUND(BW68,0)</f>
        <v>0</v>
      </c>
      <c r="L806" s="275">
        <f>ROUND(BW69,0)</f>
        <v>0</v>
      </c>
      <c r="M806" s="275">
        <f>ROUND(BW70,0)</f>
        <v>0</v>
      </c>
      <c r="N806" s="275"/>
      <c r="O806" s="275"/>
      <c r="P806" s="275">
        <f>IF(BW76&gt;0,ROUND(BW76,0),0)</f>
        <v>0</v>
      </c>
      <c r="Q806" s="275">
        <f>IF(BW77&gt;0,ROUND(BW77,0),0)</f>
        <v>0</v>
      </c>
      <c r="R806" s="275">
        <f>IF(BW78&gt;0,ROUND(BW78,0),0)</f>
        <v>0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147*2017*8710*A</v>
      </c>
      <c r="B807" s="275"/>
      <c r="C807" s="277">
        <f>ROUND(BX60,2)</f>
        <v>1.1000000000000001</v>
      </c>
      <c r="D807" s="275">
        <f>ROUND(BX61,0)</f>
        <v>74851</v>
      </c>
      <c r="E807" s="275">
        <f>ROUND(BX62,0)</f>
        <v>19914</v>
      </c>
      <c r="F807" s="275">
        <f>ROUND(BX63,0)</f>
        <v>0</v>
      </c>
      <c r="G807" s="275">
        <f>ROUND(BX64,0)</f>
        <v>0</v>
      </c>
      <c r="H807" s="275">
        <f>ROUND(BX65,0)</f>
        <v>0</v>
      </c>
      <c r="I807" s="275">
        <f>ROUND(BX66,0)</f>
        <v>0</v>
      </c>
      <c r="J807" s="275">
        <f>ROUND(BX67,0)</f>
        <v>0</v>
      </c>
      <c r="K807" s="275">
        <f>ROUND(BX68,0)</f>
        <v>0</v>
      </c>
      <c r="L807" s="275">
        <f>ROUND(BX69,0)</f>
        <v>4524</v>
      </c>
      <c r="M807" s="275">
        <f>ROUND(BX70,0)</f>
        <v>0</v>
      </c>
      <c r="N807" s="275"/>
      <c r="O807" s="275"/>
      <c r="P807" s="275">
        <f>IF(BX76&gt;0,ROUND(BX76,0),0)</f>
        <v>0</v>
      </c>
      <c r="Q807" s="275">
        <f>IF(BX77&gt;0,ROUND(BX77,0),0)</f>
        <v>0</v>
      </c>
      <c r="R807" s="275">
        <f>IF(BX78&gt;0,ROUND(BX78,0),0)</f>
        <v>0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147*2017*8720*A</v>
      </c>
      <c r="B808" s="275"/>
      <c r="C808" s="277">
        <f>ROUND(BY60,2)</f>
        <v>1.89</v>
      </c>
      <c r="D808" s="275">
        <f>ROUND(BY61,0)</f>
        <v>192761</v>
      </c>
      <c r="E808" s="275">
        <f>ROUND(BY62,0)</f>
        <v>63070</v>
      </c>
      <c r="F808" s="275">
        <f>ROUND(BY63,0)</f>
        <v>0</v>
      </c>
      <c r="G808" s="275">
        <f>ROUND(BY64,0)</f>
        <v>652</v>
      </c>
      <c r="H808" s="275">
        <f>ROUND(BY65,0)</f>
        <v>0</v>
      </c>
      <c r="I808" s="275">
        <f>ROUND(BY66,0)</f>
        <v>0</v>
      </c>
      <c r="J808" s="275">
        <f>ROUND(BY67,0)</f>
        <v>716</v>
      </c>
      <c r="K808" s="275">
        <f>ROUND(BY68,0)</f>
        <v>0</v>
      </c>
      <c r="L808" s="275">
        <f>ROUND(BY69,0)</f>
        <v>3569</v>
      </c>
      <c r="M808" s="275">
        <f>ROUND(BY70,0)</f>
        <v>0</v>
      </c>
      <c r="N808" s="275"/>
      <c r="O808" s="275"/>
      <c r="P808" s="275">
        <f>IF(BY76&gt;0,ROUND(BY76,0),0)</f>
        <v>313</v>
      </c>
      <c r="Q808" s="275">
        <f>IF(BY77&gt;0,ROUND(BY77,0),0)</f>
        <v>0</v>
      </c>
      <c r="R808" s="275">
        <f>IF(BY78&gt;0,ROUND(BY78,0),0)</f>
        <v>0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147*2017*8730*A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147*2017*8740*A</v>
      </c>
      <c r="B810" s="275"/>
      <c r="C810" s="277">
        <f>ROUND(CA60,2)</f>
        <v>0.05</v>
      </c>
      <c r="D810" s="275">
        <f>ROUND(CA61,0)</f>
        <v>3947</v>
      </c>
      <c r="E810" s="275">
        <f>ROUND(CA62,0)</f>
        <v>23</v>
      </c>
      <c r="F810" s="275">
        <f>ROUND(CA63,0)</f>
        <v>3000</v>
      </c>
      <c r="G810" s="275">
        <f>ROUND(CA64,0)</f>
        <v>11992</v>
      </c>
      <c r="H810" s="275">
        <f>ROUND(CA65,0)</f>
        <v>0</v>
      </c>
      <c r="I810" s="275">
        <f>ROUND(CA66,0)</f>
        <v>26832</v>
      </c>
      <c r="J810" s="275">
        <f>ROUND(CA67,0)</f>
        <v>8236</v>
      </c>
      <c r="K810" s="275">
        <f>ROUND(CA68,0)</f>
        <v>100</v>
      </c>
      <c r="L810" s="275">
        <f>ROUND(CA69,0)</f>
        <v>1400</v>
      </c>
      <c r="M810" s="275">
        <f>ROUND(CA70,0)</f>
        <v>4980</v>
      </c>
      <c r="N810" s="275"/>
      <c r="O810" s="275"/>
      <c r="P810" s="275">
        <f>IF(CA76&gt;0,ROUND(CA76,0),0)</f>
        <v>2150</v>
      </c>
      <c r="Q810" s="275">
        <f>IF(CA77&gt;0,ROUND(CA77,0),0)</f>
        <v>0</v>
      </c>
      <c r="R810" s="275">
        <f>IF(CA78&gt;0,ROUND(CA78,0),0)</f>
        <v>0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147*2017*8770*A</v>
      </c>
      <c r="B811" s="275"/>
      <c r="C811" s="277">
        <f>ROUND(CB60,2)</f>
        <v>0</v>
      </c>
      <c r="D811" s="275">
        <f>ROUND(CB61,0)</f>
        <v>0</v>
      </c>
      <c r="E811" s="275">
        <f>ROUND(CB62,0)</f>
        <v>0</v>
      </c>
      <c r="F811" s="275">
        <f>ROUND(CB63,0)</f>
        <v>0</v>
      </c>
      <c r="G811" s="275">
        <f>ROUND(CB64,0)</f>
        <v>0</v>
      </c>
      <c r="H811" s="275">
        <f>ROUND(CB65,0)</f>
        <v>0</v>
      </c>
      <c r="I811" s="275">
        <f>ROUND(CB66,0)</f>
        <v>0</v>
      </c>
      <c r="J811" s="275">
        <f>ROUND(CB67,0)</f>
        <v>0</v>
      </c>
      <c r="K811" s="275">
        <f>ROUND(CB68,0)</f>
        <v>0</v>
      </c>
      <c r="L811" s="275">
        <f>ROUND(CB69,0)</f>
        <v>0</v>
      </c>
      <c r="M811" s="275">
        <f>ROUND(CB70,0)</f>
        <v>0</v>
      </c>
      <c r="N811" s="275"/>
      <c r="O811" s="275"/>
      <c r="P811" s="275">
        <f>IF(CB76&gt;0,ROUND(CB76,0),0)</f>
        <v>0</v>
      </c>
      <c r="Q811" s="275">
        <f>IF(CB77&gt;0,ROUND(CB77,0),0)</f>
        <v>0</v>
      </c>
      <c r="R811" s="275">
        <f>IF(CB78&gt;0,ROUND(CB78,0),0)</f>
        <v>0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147*2017*8790*A</v>
      </c>
      <c r="B812" s="275"/>
      <c r="C812" s="277">
        <f>ROUND(CC60,2)</f>
        <v>0.13</v>
      </c>
      <c r="D812" s="275">
        <f>ROUND(CC61,0)</f>
        <v>30780</v>
      </c>
      <c r="E812" s="275">
        <f>ROUND(CC62,0)</f>
        <v>2562</v>
      </c>
      <c r="F812" s="275">
        <f>ROUND(CC63,0)</f>
        <v>0</v>
      </c>
      <c r="G812" s="275">
        <f>ROUND(CC64,0)</f>
        <v>0</v>
      </c>
      <c r="H812" s="275">
        <f>ROUND(CC65,0)</f>
        <v>0</v>
      </c>
      <c r="I812" s="275">
        <f>ROUND(CC66,0)</f>
        <v>0</v>
      </c>
      <c r="J812" s="275">
        <f>ROUND(CC67,0)</f>
        <v>0</v>
      </c>
      <c r="K812" s="275">
        <f>ROUND(CC68,0)</f>
        <v>0</v>
      </c>
      <c r="L812" s="275">
        <f>ROUND(CC69,0)</f>
        <v>4186</v>
      </c>
      <c r="M812" s="275">
        <f>ROUND(CC70,0)</f>
        <v>0</v>
      </c>
      <c r="N812" s="275"/>
      <c r="O812" s="275"/>
      <c r="P812" s="275">
        <f>IF(CC76&gt;0,ROUND(CC76,0),0)</f>
        <v>0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147*2017*9000*A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973508</v>
      </c>
      <c r="V813" s="276">
        <f>ROUND(CD70,0)</f>
        <v>244637</v>
      </c>
      <c r="W813" s="275">
        <f>ROUND(CE72,0)</f>
        <v>1023836</v>
      </c>
      <c r="X813" s="275">
        <f>ROUND(C131,0)</f>
        <v>48707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2">SUM(C734:C813)</f>
        <v>194.34</v>
      </c>
      <c r="D815" s="276">
        <f t="shared" si="22"/>
        <v>15144901</v>
      </c>
      <c r="E815" s="276">
        <f t="shared" si="22"/>
        <v>3740284</v>
      </c>
      <c r="F815" s="276">
        <f t="shared" si="22"/>
        <v>3433653</v>
      </c>
      <c r="G815" s="276">
        <f t="shared" si="22"/>
        <v>3866149</v>
      </c>
      <c r="H815" s="276">
        <f t="shared" si="22"/>
        <v>421800</v>
      </c>
      <c r="I815" s="276">
        <f t="shared" si="22"/>
        <v>1987868</v>
      </c>
      <c r="J815" s="276">
        <f t="shared" si="22"/>
        <v>1145047</v>
      </c>
      <c r="K815" s="276">
        <f t="shared" si="22"/>
        <v>369741</v>
      </c>
      <c r="L815" s="276">
        <f>SUM(L734:L813)+SUM(U734:U813)</f>
        <v>1302555</v>
      </c>
      <c r="M815" s="276">
        <f>SUM(M734:M813)+SUM(V734:V813)</f>
        <v>430393</v>
      </c>
      <c r="N815" s="276">
        <f t="shared" ref="N815:Y815" si="23">SUM(N734:N813)</f>
        <v>63063999</v>
      </c>
      <c r="O815" s="276">
        <f t="shared" si="23"/>
        <v>16969438</v>
      </c>
      <c r="P815" s="276">
        <f t="shared" si="23"/>
        <v>82579</v>
      </c>
      <c r="Q815" s="276">
        <f t="shared" si="23"/>
        <v>8797</v>
      </c>
      <c r="R815" s="276">
        <f t="shared" si="23"/>
        <v>15415</v>
      </c>
      <c r="S815" s="276">
        <f t="shared" si="23"/>
        <v>109270</v>
      </c>
      <c r="T815" s="280">
        <f t="shared" si="23"/>
        <v>42.260000000000005</v>
      </c>
      <c r="U815" s="276">
        <f t="shared" si="23"/>
        <v>973508</v>
      </c>
      <c r="V815" s="276">
        <f t="shared" si="23"/>
        <v>244637</v>
      </c>
      <c r="W815" s="276">
        <f t="shared" si="23"/>
        <v>1023836</v>
      </c>
      <c r="X815" s="276">
        <f t="shared" si="23"/>
        <v>48707</v>
      </c>
      <c r="Y815" s="276">
        <f t="shared" si="23"/>
        <v>6690053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194.34</v>
      </c>
      <c r="D816" s="276">
        <f>CE61</f>
        <v>15144901</v>
      </c>
      <c r="E816" s="276">
        <f>CE62</f>
        <v>3740284</v>
      </c>
      <c r="F816" s="276">
        <f>CE63</f>
        <v>3433653</v>
      </c>
      <c r="G816" s="276">
        <f>CE64</f>
        <v>3866149</v>
      </c>
      <c r="H816" s="279">
        <f>CE65</f>
        <v>421800</v>
      </c>
      <c r="I816" s="279">
        <f>CE66</f>
        <v>1987868</v>
      </c>
      <c r="J816" s="279">
        <f>CE67</f>
        <v>1145047</v>
      </c>
      <c r="K816" s="279">
        <f>CE68</f>
        <v>369741</v>
      </c>
      <c r="L816" s="279">
        <f>CE69</f>
        <v>1302556.5</v>
      </c>
      <c r="M816" s="279">
        <f>CE70</f>
        <v>430392.62999999995</v>
      </c>
      <c r="N816" s="276">
        <f>CE75</f>
        <v>63063999</v>
      </c>
      <c r="O816" s="276">
        <f>CE73</f>
        <v>16969438</v>
      </c>
      <c r="P816" s="276">
        <f>CE76</f>
        <v>82579</v>
      </c>
      <c r="Q816" s="276">
        <f>CE77</f>
        <v>8797</v>
      </c>
      <c r="R816" s="276">
        <f>CE78</f>
        <v>15414.36</v>
      </c>
      <c r="S816" s="276">
        <f>CE79</f>
        <v>109270</v>
      </c>
      <c r="T816" s="280">
        <f>CE80</f>
        <v>42.260000000000005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6690053.5100000016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15144901</v>
      </c>
      <c r="E817" s="180">
        <f>C379</f>
        <v>3740283</v>
      </c>
      <c r="F817" s="180">
        <f>C380</f>
        <v>3433651</v>
      </c>
      <c r="G817" s="239">
        <f>C381</f>
        <v>3866148</v>
      </c>
      <c r="H817" s="239">
        <f>C382</f>
        <v>421800</v>
      </c>
      <c r="I817" s="239">
        <f>C383</f>
        <v>1987867</v>
      </c>
      <c r="J817" s="239">
        <f>C384</f>
        <v>1145046</v>
      </c>
      <c r="K817" s="239">
        <f>C385</f>
        <v>369739</v>
      </c>
      <c r="L817" s="239">
        <f>C386+C387+C388+C389</f>
        <v>1302555.7</v>
      </c>
      <c r="M817" s="239">
        <f>C370</f>
        <v>430393</v>
      </c>
      <c r="N817" s="180">
        <f>D361</f>
        <v>63063997</v>
      </c>
      <c r="O817" s="180">
        <f>C359</f>
        <v>16969436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topLeftCell="A7" zoomScale="75" workbookViewId="0">
      <selection activeCell="C41" sqref="C41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8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Mid Valley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H-147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 xml:space="preserve"> 810 Jasmine Street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PO Box 793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Omak, WA  98841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topLeftCell="A16" zoomScale="75" workbookViewId="0">
      <selection activeCell="F46" sqref="F46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H-147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Mid Valley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Okanogan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Alan J Fisher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Holly J Stanley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Gary H Oestreich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509-826-1760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509-826-8183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 xml:space="preserve"> X</v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694</v>
      </c>
      <c r="G23" s="21">
        <f>data!D111</f>
        <v>1725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1</v>
      </c>
      <c r="G24" s="21">
        <f>data!D112</f>
        <v>49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216</v>
      </c>
      <c r="G26" s="13">
        <f>data!D114</f>
        <v>387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25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25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44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62631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topLeftCell="A10" zoomScale="75" workbookViewId="0">
      <selection activeCell="F46" sqref="F46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Mid Valley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291</v>
      </c>
      <c r="C7" s="48">
        <f>data!B139</f>
        <v>791</v>
      </c>
      <c r="D7" s="48">
        <f>data!B140</f>
        <v>11308</v>
      </c>
      <c r="E7" s="48">
        <f>data!B141</f>
        <v>5907726</v>
      </c>
      <c r="F7" s="48">
        <f>data!B142</f>
        <v>19396055.370000001</v>
      </c>
      <c r="G7" s="48">
        <f>data!B141+data!B142</f>
        <v>25303781.370000001</v>
      </c>
    </row>
    <row r="8" spans="1:13" ht="20.100000000000001" customHeight="1" x14ac:dyDescent="0.25">
      <c r="A8" s="23" t="s">
        <v>297</v>
      </c>
      <c r="B8" s="48">
        <f>data!C138</f>
        <v>254</v>
      </c>
      <c r="C8" s="48">
        <f>data!C139</f>
        <v>550</v>
      </c>
      <c r="D8" s="48">
        <f>data!C140</f>
        <v>8985</v>
      </c>
      <c r="E8" s="48">
        <f>data!C141</f>
        <v>4512588.54</v>
      </c>
      <c r="F8" s="48">
        <f>data!C142</f>
        <v>15509474.1</v>
      </c>
      <c r="G8" s="48">
        <f>data!C141+data!C142</f>
        <v>20022062.640000001</v>
      </c>
    </row>
    <row r="9" spans="1:13" ht="20.100000000000001" customHeight="1" x14ac:dyDescent="0.25">
      <c r="A9" s="23" t="s">
        <v>1058</v>
      </c>
      <c r="B9" s="48">
        <f>data!D138</f>
        <v>149</v>
      </c>
      <c r="C9" s="48">
        <f>data!D139</f>
        <v>384</v>
      </c>
      <c r="D9" s="48">
        <f>data!D140</f>
        <v>10006</v>
      </c>
      <c r="E9" s="48">
        <f>data!D141</f>
        <v>3295061.92</v>
      </c>
      <c r="F9" s="48">
        <f>data!D142</f>
        <v>16942798.809999999</v>
      </c>
      <c r="G9" s="48">
        <f>data!D141+data!D142</f>
        <v>20237860.729999997</v>
      </c>
    </row>
    <row r="10" spans="1:13" ht="20.100000000000001" customHeight="1" x14ac:dyDescent="0.25">
      <c r="A10" s="111" t="s">
        <v>203</v>
      </c>
      <c r="B10" s="48">
        <f>data!E138</f>
        <v>694</v>
      </c>
      <c r="C10" s="48">
        <f>data!E139</f>
        <v>1725</v>
      </c>
      <c r="D10" s="48">
        <f>data!E140</f>
        <v>30299</v>
      </c>
      <c r="E10" s="48">
        <f>data!E141</f>
        <v>13715376.459999999</v>
      </c>
      <c r="F10" s="48">
        <f>data!E142</f>
        <v>51848328.280000001</v>
      </c>
      <c r="G10" s="48">
        <f>data!E141+data!E142</f>
        <v>65563704.740000002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1</v>
      </c>
      <c r="C16" s="48">
        <f>data!B145</f>
        <v>49</v>
      </c>
      <c r="D16" s="48">
        <f>data!B146</f>
        <v>0</v>
      </c>
      <c r="E16" s="48">
        <f>data!B147</f>
        <v>62631</v>
      </c>
      <c r="F16" s="48">
        <f>data!B148</f>
        <v>0</v>
      </c>
      <c r="G16" s="48">
        <f>data!B147+data!B148</f>
        <v>62631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1</v>
      </c>
      <c r="C19" s="48">
        <f>data!E145</f>
        <v>49</v>
      </c>
      <c r="D19" s="48">
        <f>data!E146</f>
        <v>0</v>
      </c>
      <c r="E19" s="48">
        <f>data!E147</f>
        <v>62631</v>
      </c>
      <c r="F19" s="48">
        <f>data!E148</f>
        <v>0</v>
      </c>
      <c r="G19" s="48">
        <f>data!E147+data!E148</f>
        <v>62631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7784106.9900000002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3663018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3" zoomScale="75" workbookViewId="0">
      <selection activeCell="F46" sqref="F46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Mid Valley Hospital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1005798.47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20568.8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251850.42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2255325.38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37129.379999999997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168411.41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395.21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29713.25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3769192.32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2600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381859.6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384459.6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394755.33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63599.94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458355.27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25746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164476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190222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312018.42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0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312018.42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topLeftCell="A10" zoomScale="75" workbookViewId="0">
      <selection activeCell="F46" sqref="F46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Mid Valley Hospital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146306</v>
      </c>
      <c r="D7" s="21">
        <f>data!C195</f>
        <v>0</v>
      </c>
      <c r="E7" s="21">
        <f>data!D195</f>
        <v>0</v>
      </c>
      <c r="F7" s="21">
        <f>data!E195</f>
        <v>146306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1137603</v>
      </c>
      <c r="D8" s="21">
        <f>data!C196</f>
        <v>0</v>
      </c>
      <c r="E8" s="21">
        <f>data!D196</f>
        <v>9587.5400000000009</v>
      </c>
      <c r="F8" s="21">
        <f>data!E196</f>
        <v>1128015.46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7762021</v>
      </c>
      <c r="D9" s="21">
        <f>data!C197</f>
        <v>161598.71</v>
      </c>
      <c r="E9" s="21">
        <f>data!D197</f>
        <v>21690.23</v>
      </c>
      <c r="F9" s="21">
        <f>data!E197</f>
        <v>7901929.4799999995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5553719</v>
      </c>
      <c r="D10" s="21">
        <f>data!C198</f>
        <v>309592.7</v>
      </c>
      <c r="E10" s="21">
        <f>data!D198</f>
        <v>0</v>
      </c>
      <c r="F10" s="21">
        <f>data!E198</f>
        <v>5863311.7000000002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322224</v>
      </c>
      <c r="D11" s="21">
        <f>data!C199</f>
        <v>1859.27</v>
      </c>
      <c r="E11" s="21">
        <f>data!D199</f>
        <v>0</v>
      </c>
      <c r="F11" s="21">
        <f>data!E199</f>
        <v>324083.27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8164031</v>
      </c>
      <c r="D12" s="21">
        <f>data!C200</f>
        <v>111507.66</v>
      </c>
      <c r="E12" s="21">
        <f>data!D200</f>
        <v>64278.28</v>
      </c>
      <c r="F12" s="21">
        <f>data!E200</f>
        <v>8211260.3799999999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0</v>
      </c>
      <c r="D14" s="21">
        <f>data!C202</f>
        <v>0</v>
      </c>
      <c r="E14" s="21">
        <f>data!D202</f>
        <v>0</v>
      </c>
      <c r="F14" s="21">
        <f>data!E202</f>
        <v>0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20313</v>
      </c>
      <c r="D15" s="21">
        <f>data!C203</f>
        <v>703403.21</v>
      </c>
      <c r="E15" s="21">
        <f>data!D203</f>
        <v>0</v>
      </c>
      <c r="F15" s="21">
        <f>data!E203</f>
        <v>723716.21</v>
      </c>
      <c r="M15" s="268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23106217</v>
      </c>
      <c r="D16" s="21">
        <f>data!C204</f>
        <v>1287961.55</v>
      </c>
      <c r="E16" s="21">
        <f>data!D204</f>
        <v>95556.05</v>
      </c>
      <c r="F16" s="21">
        <f>data!E204</f>
        <v>24298622.5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731211.96</v>
      </c>
      <c r="D24" s="21">
        <f>data!C209</f>
        <v>76340.83</v>
      </c>
      <c r="E24" s="21">
        <f>data!D209</f>
        <v>9587.5400000000009</v>
      </c>
      <c r="F24" s="21">
        <f>data!E209</f>
        <v>797965.24999999988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3982685</v>
      </c>
      <c r="D25" s="21">
        <f>data!C210</f>
        <v>314382.8</v>
      </c>
      <c r="E25" s="21">
        <f>data!D210</f>
        <v>9496.2800000000007</v>
      </c>
      <c r="F25" s="21">
        <f>data!E210</f>
        <v>4287571.5199999996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2322429</v>
      </c>
      <c r="D26" s="21">
        <f>data!C211</f>
        <v>288105.3</v>
      </c>
      <c r="E26" s="21">
        <f>data!D211</f>
        <v>10114.4</v>
      </c>
      <c r="F26" s="21">
        <f>data!E211</f>
        <v>2600419.9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174714</v>
      </c>
      <c r="D27" s="21">
        <f>data!C212</f>
        <v>13951.37</v>
      </c>
      <c r="E27" s="21">
        <f>data!D212</f>
        <v>0</v>
      </c>
      <c r="F27" s="21">
        <f>data!E212</f>
        <v>188665.37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5965441</v>
      </c>
      <c r="D28" s="21">
        <f>data!C213</f>
        <v>609000.88</v>
      </c>
      <c r="E28" s="21">
        <f>data!D213</f>
        <v>40260.300000000003</v>
      </c>
      <c r="F28" s="21">
        <f>data!E213</f>
        <v>6534181.5800000001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0</v>
      </c>
      <c r="D30" s="21">
        <f>data!C215</f>
        <v>0</v>
      </c>
      <c r="E30" s="21">
        <f>data!D215</f>
        <v>0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13176480.960000001</v>
      </c>
      <c r="D32" s="21">
        <f>data!C217</f>
        <v>1301781.18</v>
      </c>
      <c r="E32" s="21">
        <f>data!D217</f>
        <v>69458.52</v>
      </c>
      <c r="F32" s="21">
        <f>data!E217</f>
        <v>14408803.620000001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F46" sqref="F46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Mid Valley Hospital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712101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12533810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11743888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1182150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677598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6160130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32297576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578</v>
      </c>
      <c r="M16" s="268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209133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710969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920102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822951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8655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34761385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115" zoomScale="75" workbookViewId="0">
      <selection activeCell="F46" sqref="F46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Mid Valley Hospital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1908199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8431963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4624213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398273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216406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819876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348644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8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7499148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2100681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2100681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146305.63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1128015.8799999999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7901929.5300000003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5863312.0899999999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324083.28000000003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8211260.1699999999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0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723716.01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24298622.59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14408803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9889819.5899999999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1558333.23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1266088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0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292245.23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19781893.82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Mid Valley Hospital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1795016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970221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329711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24275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1178243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4297466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5457221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2007348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0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609229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8073798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1178243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6895555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8588873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8588873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19781894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Mid Valley Hospital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13404848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52221500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65626348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712101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32297576.809999999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920102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831605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34761384.810000002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30864963.189999998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462242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1039314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1501556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32366519.189999998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14865003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3763692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4704936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4196122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451155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2110167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1301781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384460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458355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190222.1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312018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222146.9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32960058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-593538.81000000238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722066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128527.18999999762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-39563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88964.189999997616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8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265" zoomScale="65" workbookViewId="0">
      <selection activeCell="F46" sqref="F4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Mid Valley Hospital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0</v>
      </c>
      <c r="D9" s="14">
        <f>data!D59</f>
        <v>0</v>
      </c>
      <c r="E9" s="14">
        <f>data!E59</f>
        <v>1725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0</v>
      </c>
      <c r="D10" s="26">
        <f>data!D60</f>
        <v>0</v>
      </c>
      <c r="E10" s="26">
        <f>data!E60</f>
        <v>28.17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0</v>
      </c>
      <c r="D11" s="14">
        <f>data!D61</f>
        <v>0</v>
      </c>
      <c r="E11" s="14">
        <f>data!E61</f>
        <v>2011621.81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0</v>
      </c>
      <c r="D12" s="14">
        <f>data!D62</f>
        <v>0</v>
      </c>
      <c r="E12" s="14">
        <f>data!E62</f>
        <v>516127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0</v>
      </c>
      <c r="D13" s="14">
        <f>data!D63</f>
        <v>0</v>
      </c>
      <c r="E13" s="14">
        <f>data!E63</f>
        <v>469382.19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0</v>
      </c>
      <c r="D14" s="14">
        <f>data!D64</f>
        <v>0</v>
      </c>
      <c r="E14" s="14">
        <f>data!E64</f>
        <v>72957.52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0</v>
      </c>
      <c r="D15" s="14">
        <f>data!D65</f>
        <v>0</v>
      </c>
      <c r="E15" s="14">
        <f>data!E65</f>
        <v>0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7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0</v>
      </c>
      <c r="D16" s="14">
        <f>data!D66</f>
        <v>0</v>
      </c>
      <c r="E16" s="14">
        <f>data!E66</f>
        <v>181992.51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0</v>
      </c>
      <c r="D17" s="14">
        <f>data!D67</f>
        <v>0</v>
      </c>
      <c r="E17" s="14">
        <f>data!E67</f>
        <v>58619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0</v>
      </c>
      <c r="D18" s="14">
        <f>data!D68</f>
        <v>0</v>
      </c>
      <c r="E18" s="14">
        <f>data!E68</f>
        <v>64905.599999999999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0</v>
      </c>
      <c r="D19" s="14">
        <f>data!D69</f>
        <v>0</v>
      </c>
      <c r="E19" s="14">
        <f>data!E69</f>
        <v>2786.62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0</v>
      </c>
      <c r="D21" s="14">
        <f>data!D71</f>
        <v>0</v>
      </c>
      <c r="E21" s="14">
        <f>data!E71</f>
        <v>3378392.2500000005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0</v>
      </c>
      <c r="D23" s="48">
        <f>+data!M669</f>
        <v>0</v>
      </c>
      <c r="E23" s="48">
        <f>+data!M670</f>
        <v>1289860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0</v>
      </c>
      <c r="D24" s="14">
        <f>data!D73</f>
        <v>0</v>
      </c>
      <c r="E24" s="14">
        <f>data!E73</f>
        <v>2624288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0</v>
      </c>
      <c r="D25" s="14">
        <f>data!D74</f>
        <v>0</v>
      </c>
      <c r="E25" s="14">
        <f>data!E74</f>
        <v>1606338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0</v>
      </c>
      <c r="D26" s="14">
        <f>data!D75</f>
        <v>0</v>
      </c>
      <c r="E26" s="14">
        <f>data!E75</f>
        <v>4230626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0</v>
      </c>
      <c r="D28" s="14">
        <f>data!D76</f>
        <v>0</v>
      </c>
      <c r="E28" s="14">
        <f>data!E76</f>
        <v>6383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0</v>
      </c>
      <c r="D29" s="14">
        <f>data!D77</f>
        <v>0</v>
      </c>
      <c r="E29" s="14">
        <f>data!E77</f>
        <v>6175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0</v>
      </c>
      <c r="D30" s="14">
        <f>data!D78</f>
        <v>0</v>
      </c>
      <c r="E30" s="14">
        <f>data!E78</f>
        <v>5047.1499999999996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0</v>
      </c>
      <c r="D31" s="14">
        <f>data!D79</f>
        <v>0</v>
      </c>
      <c r="E31" s="14">
        <f>data!E79</f>
        <v>54654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0</v>
      </c>
      <c r="D32" s="84">
        <f>data!D80</f>
        <v>0</v>
      </c>
      <c r="E32" s="84">
        <f>data!E80</f>
        <v>13.12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Mid Valley Hospital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387</v>
      </c>
      <c r="D41" s="14">
        <f>data!K59</f>
        <v>0</v>
      </c>
      <c r="E41" s="14">
        <f>data!L59</f>
        <v>49</v>
      </c>
      <c r="F41" s="14">
        <f>data!M59</f>
        <v>0</v>
      </c>
      <c r="G41" s="14">
        <f>data!N59</f>
        <v>0</v>
      </c>
      <c r="H41" s="14">
        <f>data!O59</f>
        <v>216</v>
      </c>
      <c r="I41" s="14">
        <f>data!P59</f>
        <v>116968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5.42</v>
      </c>
      <c r="I42" s="26">
        <f>data!P60</f>
        <v>9.9600000000000009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46473.19</v>
      </c>
      <c r="F43" s="14">
        <f>data!M61</f>
        <v>0</v>
      </c>
      <c r="G43" s="14">
        <f>data!N61</f>
        <v>0</v>
      </c>
      <c r="H43" s="14">
        <f>data!O61</f>
        <v>470870</v>
      </c>
      <c r="I43" s="14">
        <f>data!P61</f>
        <v>754322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11924</v>
      </c>
      <c r="F44" s="14">
        <f>data!M62</f>
        <v>0</v>
      </c>
      <c r="G44" s="14">
        <f>data!N62</f>
        <v>0</v>
      </c>
      <c r="H44" s="14">
        <f>data!O62</f>
        <v>142905</v>
      </c>
      <c r="I44" s="14">
        <f>data!P62</f>
        <v>205235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10843.81</v>
      </c>
      <c r="F45" s="14">
        <f>data!M63</f>
        <v>0</v>
      </c>
      <c r="G45" s="14">
        <f>data!N63</f>
        <v>0</v>
      </c>
      <c r="H45" s="14">
        <f>data!O63</f>
        <v>546819</v>
      </c>
      <c r="I45" s="14">
        <f>data!P63</f>
        <v>30751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1685.48</v>
      </c>
      <c r="F46" s="14">
        <f>data!M64</f>
        <v>0</v>
      </c>
      <c r="G46" s="14">
        <f>data!N64</f>
        <v>0</v>
      </c>
      <c r="H46" s="14">
        <f>data!O64</f>
        <v>31383</v>
      </c>
      <c r="I46" s="14">
        <f>data!P64</f>
        <v>83885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4204.49</v>
      </c>
      <c r="F48" s="14">
        <f>data!M66</f>
        <v>0</v>
      </c>
      <c r="G48" s="14">
        <f>data!N66</f>
        <v>0</v>
      </c>
      <c r="H48" s="14">
        <f>data!O66</f>
        <v>51081</v>
      </c>
      <c r="I48" s="14">
        <f>data!P66</f>
        <v>116160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397</v>
      </c>
      <c r="D49" s="14">
        <f>data!K67</f>
        <v>0</v>
      </c>
      <c r="E49" s="14">
        <f>data!L67</f>
        <v>942</v>
      </c>
      <c r="F49" s="14">
        <f>data!M67</f>
        <v>0</v>
      </c>
      <c r="G49" s="14">
        <f>data!N67</f>
        <v>0</v>
      </c>
      <c r="H49" s="14">
        <f>data!O67</f>
        <v>45748</v>
      </c>
      <c r="I49" s="14">
        <f>data!P67</f>
        <v>316369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1499.4</v>
      </c>
      <c r="F50" s="14">
        <f>data!M68</f>
        <v>0</v>
      </c>
      <c r="G50" s="14">
        <f>data!N68</f>
        <v>0</v>
      </c>
      <c r="H50" s="14">
        <f>data!O68</f>
        <v>7427</v>
      </c>
      <c r="I50" s="14">
        <f>data!P68</f>
        <v>5387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64.38</v>
      </c>
      <c r="F51" s="14">
        <f>data!M69</f>
        <v>0</v>
      </c>
      <c r="G51" s="14">
        <f>data!N69</f>
        <v>0</v>
      </c>
      <c r="H51" s="14">
        <f>data!O69</f>
        <v>2460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397</v>
      </c>
      <c r="D53" s="14">
        <f>data!K71</f>
        <v>0</v>
      </c>
      <c r="E53" s="14">
        <f>data!L71</f>
        <v>77636.75</v>
      </c>
      <c r="F53" s="14">
        <f>data!M71</f>
        <v>0</v>
      </c>
      <c r="G53" s="14">
        <f>data!N71</f>
        <v>0</v>
      </c>
      <c r="H53" s="14">
        <f>data!O71</f>
        <v>1298693</v>
      </c>
      <c r="I53" s="14">
        <f>data!P71</f>
        <v>1512109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21069</v>
      </c>
      <c r="D55" s="48">
        <f>+data!M676</f>
        <v>0</v>
      </c>
      <c r="E55" s="48">
        <f>+data!M677</f>
        <v>6559</v>
      </c>
      <c r="F55" s="48">
        <f>+data!M678</f>
        <v>0</v>
      </c>
      <c r="G55" s="48">
        <f>+data!M679</f>
        <v>0</v>
      </c>
      <c r="H55" s="48">
        <f>+data!M680</f>
        <v>363763</v>
      </c>
      <c r="I55" s="48">
        <f>+data!M681</f>
        <v>561671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416629</v>
      </c>
      <c r="D56" s="14">
        <f>data!K73</f>
        <v>0</v>
      </c>
      <c r="E56" s="14">
        <f>data!L73</f>
        <v>62631</v>
      </c>
      <c r="F56" s="14">
        <f>data!M73</f>
        <v>0</v>
      </c>
      <c r="G56" s="14">
        <f>data!N73</f>
        <v>0</v>
      </c>
      <c r="H56" s="14">
        <f>data!O73</f>
        <v>1145924</v>
      </c>
      <c r="I56" s="14">
        <f>data!P73</f>
        <v>1570778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3024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102551</v>
      </c>
      <c r="I57" s="14">
        <f>data!P74</f>
        <v>4093324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419653</v>
      </c>
      <c r="D58" s="14">
        <f>data!K75</f>
        <v>0</v>
      </c>
      <c r="E58" s="14">
        <f>data!L75</f>
        <v>62631</v>
      </c>
      <c r="F58" s="14">
        <f>data!M75</f>
        <v>0</v>
      </c>
      <c r="G58" s="14">
        <f>data!N75</f>
        <v>0</v>
      </c>
      <c r="H58" s="14">
        <f>data!O75</f>
        <v>1248475</v>
      </c>
      <c r="I58" s="14">
        <f>data!P75</f>
        <v>5664102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142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1533</v>
      </c>
      <c r="I60" s="14">
        <f>data!P76</f>
        <v>4085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2058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742.7</v>
      </c>
      <c r="I62" s="14">
        <f>data!P78</f>
        <v>1292.8900000000001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5607</v>
      </c>
      <c r="I63" s="14">
        <f>data!P79</f>
        <v>30425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4.74</v>
      </c>
      <c r="I64" s="26">
        <f>data!P80</f>
        <v>3.57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Mid Valley Hospital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125899</v>
      </c>
      <c r="D73" s="48">
        <f>data!R59</f>
        <v>125724</v>
      </c>
      <c r="E73" s="212"/>
      <c r="F73" s="212"/>
      <c r="G73" s="14">
        <f>data!U59</f>
        <v>73713</v>
      </c>
      <c r="H73" s="14">
        <f>data!V59</f>
        <v>2350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4.72</v>
      </c>
      <c r="D74" s="26">
        <f>data!R60</f>
        <v>0.21</v>
      </c>
      <c r="E74" s="26">
        <f>data!S60</f>
        <v>2.08</v>
      </c>
      <c r="F74" s="26">
        <f>data!T60</f>
        <v>0</v>
      </c>
      <c r="G74" s="26">
        <f>data!U60</f>
        <v>8.66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451511</v>
      </c>
      <c r="D75" s="14">
        <f>data!R61</f>
        <v>41960</v>
      </c>
      <c r="E75" s="14">
        <f>data!S61</f>
        <v>59500</v>
      </c>
      <c r="F75" s="14">
        <f>data!T61</f>
        <v>0</v>
      </c>
      <c r="G75" s="14">
        <f>data!U61</f>
        <v>540667</v>
      </c>
      <c r="H75" s="14">
        <f>data!V61</f>
        <v>930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99330</v>
      </c>
      <c r="D76" s="14">
        <f>data!R62</f>
        <v>9427</v>
      </c>
      <c r="E76" s="14">
        <f>data!S62</f>
        <v>29879</v>
      </c>
      <c r="F76" s="14">
        <f>data!T62</f>
        <v>0</v>
      </c>
      <c r="G76" s="14">
        <f>data!U62</f>
        <v>133997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765371</v>
      </c>
      <c r="E77" s="14">
        <f>data!S63</f>
        <v>0</v>
      </c>
      <c r="F77" s="14">
        <f>data!T63</f>
        <v>0</v>
      </c>
      <c r="G77" s="14">
        <f>data!U63</f>
        <v>80586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12584</v>
      </c>
      <c r="D78" s="14">
        <f>data!R64</f>
        <v>2169</v>
      </c>
      <c r="E78" s="14">
        <f>data!S64</f>
        <v>2144202</v>
      </c>
      <c r="F78" s="14">
        <f>data!T64</f>
        <v>0</v>
      </c>
      <c r="G78" s="14">
        <f>data!U64</f>
        <v>422281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5416</v>
      </c>
      <c r="D80" s="14">
        <f>data!R66</f>
        <v>3025</v>
      </c>
      <c r="E80" s="14">
        <f>data!S66</f>
        <v>10683</v>
      </c>
      <c r="F80" s="14">
        <f>data!T66</f>
        <v>0</v>
      </c>
      <c r="G80" s="14">
        <f>data!U66</f>
        <v>132853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8040</v>
      </c>
      <c r="D81" s="14">
        <f>data!R67</f>
        <v>0</v>
      </c>
      <c r="E81" s="14">
        <f>data!S67</f>
        <v>5304</v>
      </c>
      <c r="F81" s="14">
        <f>data!T67</f>
        <v>0</v>
      </c>
      <c r="G81" s="14">
        <f>data!U67</f>
        <v>25869</v>
      </c>
      <c r="H81" s="14">
        <f>data!V67</f>
        <v>366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31037</v>
      </c>
      <c r="D82" s="14">
        <f>data!R68</f>
        <v>12481</v>
      </c>
      <c r="E82" s="14">
        <f>data!S68</f>
        <v>0</v>
      </c>
      <c r="F82" s="14">
        <f>data!T68</f>
        <v>0</v>
      </c>
      <c r="G82" s="14">
        <f>data!U68</f>
        <v>60434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971</v>
      </c>
      <c r="D83" s="14">
        <f>data!R69</f>
        <v>120</v>
      </c>
      <c r="E83" s="14">
        <f>data!S69</f>
        <v>0</v>
      </c>
      <c r="F83" s="14">
        <f>data!T69</f>
        <v>0</v>
      </c>
      <c r="G83" s="14">
        <f>data!U69</f>
        <v>1697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-2421.6</v>
      </c>
      <c r="F84" s="14">
        <f>-data!T70</f>
        <v>0</v>
      </c>
      <c r="G84" s="14">
        <f>-data!U70</f>
        <v>0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608889</v>
      </c>
      <c r="D85" s="14">
        <f>data!R71</f>
        <v>834553</v>
      </c>
      <c r="E85" s="14">
        <f>data!S71</f>
        <v>2247146.4</v>
      </c>
      <c r="F85" s="14">
        <f>data!T71</f>
        <v>0</v>
      </c>
      <c r="G85" s="14">
        <f>data!U71</f>
        <v>1398384</v>
      </c>
      <c r="H85" s="14">
        <f>data!V71</f>
        <v>1296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211588</v>
      </c>
      <c r="D87" s="48">
        <f>+data!M683</f>
        <v>130444</v>
      </c>
      <c r="E87" s="48">
        <f>+data!M684</f>
        <v>524770</v>
      </c>
      <c r="F87" s="48">
        <f>+data!M685</f>
        <v>0</v>
      </c>
      <c r="G87" s="48">
        <f>+data!M686</f>
        <v>413561</v>
      </c>
      <c r="H87" s="48">
        <f>+data!M687</f>
        <v>10341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234554</v>
      </c>
      <c r="D88" s="14">
        <f>data!R73</f>
        <v>689764</v>
      </c>
      <c r="E88" s="14">
        <f>data!S73</f>
        <v>2014356</v>
      </c>
      <c r="F88" s="14">
        <f>data!T73</f>
        <v>0</v>
      </c>
      <c r="G88" s="14">
        <f>data!U73</f>
        <v>1187586</v>
      </c>
      <c r="H88" s="14">
        <f>data!V73</f>
        <v>33822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1396886</v>
      </c>
      <c r="D89" s="14">
        <f>data!R74</f>
        <v>1455285</v>
      </c>
      <c r="E89" s="14">
        <f>data!S74</f>
        <v>4873989</v>
      </c>
      <c r="F89" s="14">
        <f>data!T74</f>
        <v>0</v>
      </c>
      <c r="G89" s="14">
        <f>data!U74</f>
        <v>5179805</v>
      </c>
      <c r="H89" s="14">
        <f>data!V74</f>
        <v>217780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1631440</v>
      </c>
      <c r="D90" s="14">
        <f>data!R75</f>
        <v>2145049</v>
      </c>
      <c r="E90" s="14">
        <f>data!S75</f>
        <v>6888345</v>
      </c>
      <c r="F90" s="14">
        <f>data!T75</f>
        <v>0</v>
      </c>
      <c r="G90" s="14">
        <f>data!U75</f>
        <v>6367391</v>
      </c>
      <c r="H90" s="14">
        <f>data!V75</f>
        <v>251602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1211</v>
      </c>
      <c r="D92" s="14">
        <f>data!R76</f>
        <v>0</v>
      </c>
      <c r="E92" s="14">
        <f>data!S76</f>
        <v>1628</v>
      </c>
      <c r="F92" s="14">
        <f>data!T76</f>
        <v>0</v>
      </c>
      <c r="G92" s="14">
        <f>data!U76</f>
        <v>1213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966.1</v>
      </c>
      <c r="D94" s="14">
        <f>data!R78</f>
        <v>0</v>
      </c>
      <c r="E94" s="14">
        <f>data!S78</f>
        <v>181.81</v>
      </c>
      <c r="F94" s="14">
        <f>data!T78</f>
        <v>0</v>
      </c>
      <c r="G94" s="14">
        <f>data!U78</f>
        <v>564.45000000000005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0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4.1399999999999997</v>
      </c>
      <c r="D96" s="84">
        <f>data!R80</f>
        <v>0</v>
      </c>
      <c r="E96" s="84">
        <f>data!S80</f>
        <v>0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Mid Valley Hospital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0</v>
      </c>
      <c r="D105" s="14">
        <f>data!Y59</f>
        <v>0</v>
      </c>
      <c r="E105" s="14">
        <f>data!Z59</f>
        <v>0</v>
      </c>
      <c r="F105" s="14">
        <f>data!AA59</f>
        <v>0</v>
      </c>
      <c r="G105" s="212"/>
      <c r="H105" s="14">
        <f>data!AC59</f>
        <v>1432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0</v>
      </c>
      <c r="D106" s="26">
        <f>data!Y60</f>
        <v>10.97</v>
      </c>
      <c r="E106" s="26">
        <f>data!Z60</f>
        <v>0</v>
      </c>
      <c r="F106" s="26">
        <f>data!AA60</f>
        <v>0</v>
      </c>
      <c r="G106" s="26">
        <f>data!AB60</f>
        <v>2.0299999999999998</v>
      </c>
      <c r="H106" s="26">
        <f>data!AC60</f>
        <v>2.94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0</v>
      </c>
      <c r="D107" s="14">
        <f>data!Y61</f>
        <v>805238</v>
      </c>
      <c r="E107" s="14">
        <f>data!Z61</f>
        <v>0</v>
      </c>
      <c r="F107" s="14">
        <f>data!AA61</f>
        <v>0</v>
      </c>
      <c r="G107" s="14">
        <f>data!AB61</f>
        <v>183173</v>
      </c>
      <c r="H107" s="14">
        <f>data!AC61</f>
        <v>225195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0</v>
      </c>
      <c r="D108" s="14">
        <f>data!Y62</f>
        <v>204943</v>
      </c>
      <c r="E108" s="14">
        <f>data!Z62</f>
        <v>0</v>
      </c>
      <c r="F108" s="14">
        <f>data!AA62</f>
        <v>0</v>
      </c>
      <c r="G108" s="14">
        <f>data!AB62</f>
        <v>41473</v>
      </c>
      <c r="H108" s="14">
        <f>data!AC62</f>
        <v>54540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792721</v>
      </c>
      <c r="E109" s="14">
        <f>data!Z63</f>
        <v>0</v>
      </c>
      <c r="F109" s="14">
        <f>data!AA63</f>
        <v>0</v>
      </c>
      <c r="G109" s="14">
        <f>data!AB63</f>
        <v>71930</v>
      </c>
      <c r="H109" s="14">
        <f>data!AC63</f>
        <v>0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0</v>
      </c>
      <c r="D110" s="14">
        <f>data!Y64</f>
        <v>301077</v>
      </c>
      <c r="E110" s="14">
        <f>data!Z64</f>
        <v>0</v>
      </c>
      <c r="F110" s="14">
        <f>data!AA64</f>
        <v>0</v>
      </c>
      <c r="G110" s="14">
        <f>data!AB64</f>
        <v>480029</v>
      </c>
      <c r="H110" s="14">
        <f>data!AC64</f>
        <v>27446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0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0</v>
      </c>
      <c r="D112" s="14">
        <f>data!Y66</f>
        <v>456305</v>
      </c>
      <c r="E112" s="14">
        <f>data!Z66</f>
        <v>0</v>
      </c>
      <c r="F112" s="14">
        <f>data!AA66</f>
        <v>0</v>
      </c>
      <c r="G112" s="14">
        <f>data!AB66</f>
        <v>17169</v>
      </c>
      <c r="H112" s="14">
        <f>data!AC66</f>
        <v>8962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0</v>
      </c>
      <c r="D113" s="14">
        <f>data!Y67</f>
        <v>373052</v>
      </c>
      <c r="E113" s="14">
        <f>data!Z67</f>
        <v>0</v>
      </c>
      <c r="F113" s="14">
        <f>data!AA67</f>
        <v>0</v>
      </c>
      <c r="G113" s="14">
        <f>data!AB67</f>
        <v>1643</v>
      </c>
      <c r="H113" s="14">
        <f>data!AC67</f>
        <v>12680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82838</v>
      </c>
      <c r="E114" s="14">
        <f>data!Z68</f>
        <v>0</v>
      </c>
      <c r="F114" s="14">
        <f>data!AA68</f>
        <v>0</v>
      </c>
      <c r="G114" s="14">
        <f>data!AB68</f>
        <v>4577</v>
      </c>
      <c r="H114" s="14">
        <f>data!AC68</f>
        <v>21060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10792</v>
      </c>
      <c r="E115" s="14">
        <f>data!Z69</f>
        <v>0</v>
      </c>
      <c r="F115" s="14">
        <f>data!AA69</f>
        <v>0</v>
      </c>
      <c r="G115" s="14">
        <f>data!AB69</f>
        <v>545</v>
      </c>
      <c r="H115" s="14">
        <f>data!AC69</f>
        <v>913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-16567.34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0</v>
      </c>
      <c r="D117" s="14">
        <f>data!Y71</f>
        <v>3026966</v>
      </c>
      <c r="E117" s="14">
        <f>data!Z71</f>
        <v>0</v>
      </c>
      <c r="F117" s="14">
        <f>data!AA71</f>
        <v>0</v>
      </c>
      <c r="G117" s="14">
        <f>data!AB71</f>
        <v>783971.66</v>
      </c>
      <c r="H117" s="14">
        <f>data!AC71</f>
        <v>350796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0</v>
      </c>
      <c r="D119" s="48">
        <f>+data!M690</f>
        <v>1070825</v>
      </c>
      <c r="E119" s="48">
        <f>+data!M691</f>
        <v>0</v>
      </c>
      <c r="F119" s="48">
        <f>+data!M692</f>
        <v>0</v>
      </c>
      <c r="G119" s="48">
        <f>+data!M693</f>
        <v>200378</v>
      </c>
      <c r="H119" s="48">
        <f>+data!M694</f>
        <v>62384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0</v>
      </c>
      <c r="D120" s="14">
        <f>data!Y73</f>
        <v>876252</v>
      </c>
      <c r="E120" s="14">
        <f>data!Z73</f>
        <v>0</v>
      </c>
      <c r="F120" s="14">
        <f>data!AA73</f>
        <v>0</v>
      </c>
      <c r="G120" s="14">
        <f>data!AB73</f>
        <v>761087</v>
      </c>
      <c r="H120" s="14">
        <f>data!AC73</f>
        <v>248636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0</v>
      </c>
      <c r="D121" s="14">
        <f>data!Y74</f>
        <v>15769057</v>
      </c>
      <c r="E121" s="14">
        <f>data!Z74</f>
        <v>0</v>
      </c>
      <c r="F121" s="14">
        <f>data!AA74</f>
        <v>0</v>
      </c>
      <c r="G121" s="14">
        <f>data!AB74</f>
        <v>2157860</v>
      </c>
      <c r="H121" s="14">
        <f>data!AC74</f>
        <v>331411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0</v>
      </c>
      <c r="D122" s="14">
        <f>data!Y75</f>
        <v>16645309</v>
      </c>
      <c r="E122" s="14">
        <f>data!Z75</f>
        <v>0</v>
      </c>
      <c r="F122" s="14">
        <f>data!AA75</f>
        <v>0</v>
      </c>
      <c r="G122" s="14">
        <f>data!AB75</f>
        <v>2918947</v>
      </c>
      <c r="H122" s="14">
        <f>data!AC75</f>
        <v>580047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0</v>
      </c>
      <c r="D124" s="14">
        <f>data!Y76</f>
        <v>5596</v>
      </c>
      <c r="E124" s="14">
        <f>data!Z76</f>
        <v>0</v>
      </c>
      <c r="F124" s="14">
        <f>data!AA76</f>
        <v>0</v>
      </c>
      <c r="G124" s="14">
        <f>data!AB76</f>
        <v>588</v>
      </c>
      <c r="H124" s="14">
        <f>data!AC76</f>
        <v>394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0</v>
      </c>
      <c r="D126" s="14">
        <f>data!Y78</f>
        <v>1023.52</v>
      </c>
      <c r="E126" s="14">
        <f>data!Z78</f>
        <v>0</v>
      </c>
      <c r="F126" s="14">
        <f>data!AA78</f>
        <v>0</v>
      </c>
      <c r="G126" s="14">
        <f>data!AB78</f>
        <v>143.79</v>
      </c>
      <c r="H126" s="14">
        <f>data!AC78</f>
        <v>111.7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0</v>
      </c>
      <c r="D127" s="14">
        <f>data!Y79</f>
        <v>11687</v>
      </c>
      <c r="E127" s="14">
        <f>data!Z79</f>
        <v>0</v>
      </c>
      <c r="F127" s="14">
        <f>data!AA79</f>
        <v>0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0.27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Mid Valley Hospital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12540</v>
      </c>
      <c r="D137" s="14">
        <f>data!AF59</f>
        <v>0</v>
      </c>
      <c r="E137" s="14">
        <f>data!AG59</f>
        <v>8824</v>
      </c>
      <c r="F137" s="14">
        <f>data!AH59</f>
        <v>0</v>
      </c>
      <c r="G137" s="14">
        <f>data!AI59</f>
        <v>0</v>
      </c>
      <c r="H137" s="14">
        <f>data!AJ59</f>
        <v>0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6.17</v>
      </c>
      <c r="D138" s="26">
        <f>data!AF60</f>
        <v>0</v>
      </c>
      <c r="E138" s="26">
        <f>data!AG60</f>
        <v>20.82</v>
      </c>
      <c r="F138" s="26">
        <f>data!AH60</f>
        <v>0</v>
      </c>
      <c r="G138" s="26">
        <f>data!AI60</f>
        <v>0</v>
      </c>
      <c r="H138" s="26">
        <f>data!AJ60</f>
        <v>0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446500</v>
      </c>
      <c r="D139" s="14">
        <f>data!AF61</f>
        <v>0</v>
      </c>
      <c r="E139" s="14">
        <f>data!AG61</f>
        <v>1526279</v>
      </c>
      <c r="F139" s="14">
        <f>data!AH61</f>
        <v>0</v>
      </c>
      <c r="G139" s="14">
        <f>data!AI61</f>
        <v>0</v>
      </c>
      <c r="H139" s="14">
        <f>data!AJ61</f>
        <v>0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115333</v>
      </c>
      <c r="D140" s="14">
        <f>data!AF62</f>
        <v>0</v>
      </c>
      <c r="E140" s="14">
        <f>data!AG62</f>
        <v>338896</v>
      </c>
      <c r="F140" s="14">
        <f>data!AH62</f>
        <v>0</v>
      </c>
      <c r="G140" s="14">
        <f>data!AI62</f>
        <v>0</v>
      </c>
      <c r="H140" s="14">
        <f>data!AJ62</f>
        <v>0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1718484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15213</v>
      </c>
      <c r="D142" s="14">
        <f>data!AF64</f>
        <v>0</v>
      </c>
      <c r="E142" s="14">
        <f>data!AG64</f>
        <v>79027</v>
      </c>
      <c r="F142" s="14">
        <f>data!AH64</f>
        <v>0</v>
      </c>
      <c r="G142" s="14">
        <f>data!AI64</f>
        <v>0</v>
      </c>
      <c r="H142" s="14">
        <f>data!AJ64</f>
        <v>0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0</v>
      </c>
      <c r="D143" s="14">
        <f>data!AF65</f>
        <v>0</v>
      </c>
      <c r="E143" s="14">
        <f>data!AG65</f>
        <v>0</v>
      </c>
      <c r="F143" s="14">
        <f>data!AH65</f>
        <v>0</v>
      </c>
      <c r="G143" s="14">
        <f>data!AI65</f>
        <v>0</v>
      </c>
      <c r="H143" s="14">
        <f>data!AJ65</f>
        <v>0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27288</v>
      </c>
      <c r="D144" s="14">
        <f>data!AF66</f>
        <v>0</v>
      </c>
      <c r="E144" s="14">
        <f>data!AG66</f>
        <v>77831</v>
      </c>
      <c r="F144" s="14">
        <f>data!AH66</f>
        <v>0</v>
      </c>
      <c r="G144" s="14">
        <f>data!AI66</f>
        <v>0</v>
      </c>
      <c r="H144" s="14">
        <f>data!AJ66</f>
        <v>0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6573</v>
      </c>
      <c r="D145" s="14">
        <f>data!AF67</f>
        <v>0</v>
      </c>
      <c r="E145" s="14">
        <f>data!AG67</f>
        <v>166614</v>
      </c>
      <c r="F145" s="14">
        <f>data!AH67</f>
        <v>0</v>
      </c>
      <c r="G145" s="14">
        <f>data!AI67</f>
        <v>0</v>
      </c>
      <c r="H145" s="14">
        <f>data!AJ67</f>
        <v>0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1352</v>
      </c>
      <c r="D146" s="14">
        <f>data!AF68</f>
        <v>0</v>
      </c>
      <c r="E146" s="14">
        <f>data!AG68</f>
        <v>13518</v>
      </c>
      <c r="F146" s="14">
        <f>data!AH68</f>
        <v>0</v>
      </c>
      <c r="G146" s="14">
        <f>data!AI68</f>
        <v>0</v>
      </c>
      <c r="H146" s="14">
        <f>data!AJ68</f>
        <v>0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8012</v>
      </c>
      <c r="D147" s="14">
        <f>data!AF69</f>
        <v>0</v>
      </c>
      <c r="E147" s="14">
        <f>data!AG69</f>
        <v>5607</v>
      </c>
      <c r="F147" s="14">
        <f>data!AH69</f>
        <v>0</v>
      </c>
      <c r="G147" s="14">
        <f>data!AI69</f>
        <v>0</v>
      </c>
      <c r="H147" s="14">
        <f>data!AJ69</f>
        <v>0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-9667.9500000000007</v>
      </c>
      <c r="D148" s="14">
        <f>-data!AF70</f>
        <v>0</v>
      </c>
      <c r="E148" s="14">
        <f>-data!AG70</f>
        <v>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610603.05000000005</v>
      </c>
      <c r="D149" s="14">
        <f>data!AF71</f>
        <v>0</v>
      </c>
      <c r="E149" s="14">
        <f>data!AG71</f>
        <v>3926256</v>
      </c>
      <c r="F149" s="14">
        <f>data!AH71</f>
        <v>0</v>
      </c>
      <c r="G149" s="14">
        <f>data!AI71</f>
        <v>0</v>
      </c>
      <c r="H149" s="14">
        <f>data!AJ71</f>
        <v>0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186921</v>
      </c>
      <c r="D151" s="48">
        <f>+data!M697</f>
        <v>0</v>
      </c>
      <c r="E151" s="48">
        <f>+data!M698</f>
        <v>842519</v>
      </c>
      <c r="F151" s="48">
        <f>+data!M699</f>
        <v>0</v>
      </c>
      <c r="G151" s="48">
        <f>+data!M700</f>
        <v>0</v>
      </c>
      <c r="H151" s="48">
        <f>+data!M701</f>
        <v>0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67705</v>
      </c>
      <c r="D152" s="14">
        <f>data!AF73</f>
        <v>0</v>
      </c>
      <c r="E152" s="14">
        <f>data!AG73</f>
        <v>266775</v>
      </c>
      <c r="F152" s="14">
        <f>data!AH73</f>
        <v>0</v>
      </c>
      <c r="G152" s="14">
        <f>data!AI73</f>
        <v>0</v>
      </c>
      <c r="H152" s="14">
        <f>data!AJ73</f>
        <v>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1627826</v>
      </c>
      <c r="D153" s="14">
        <f>data!AF74</f>
        <v>0</v>
      </c>
      <c r="E153" s="14">
        <f>data!AG74</f>
        <v>6570869</v>
      </c>
      <c r="F153" s="14">
        <f>data!AH74</f>
        <v>0</v>
      </c>
      <c r="G153" s="14">
        <f>data!AI74</f>
        <v>0</v>
      </c>
      <c r="H153" s="14">
        <f>data!AJ74</f>
        <v>0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1695531</v>
      </c>
      <c r="D154" s="14">
        <f>data!AF75</f>
        <v>0</v>
      </c>
      <c r="E154" s="14">
        <f>data!AG75</f>
        <v>6837644</v>
      </c>
      <c r="F154" s="14">
        <f>data!AH75</f>
        <v>0</v>
      </c>
      <c r="G154" s="14">
        <f>data!AI75</f>
        <v>0</v>
      </c>
      <c r="H154" s="14">
        <f>data!AJ75</f>
        <v>0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2332</v>
      </c>
      <c r="D156" s="14">
        <f>data!AF76</f>
        <v>0</v>
      </c>
      <c r="E156" s="14">
        <f>data!AG76</f>
        <v>3601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323.22000000000003</v>
      </c>
      <c r="D158" s="14">
        <f>data!AF78</f>
        <v>0</v>
      </c>
      <c r="E158" s="14">
        <f>data!AG78</f>
        <v>3879.84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0</v>
      </c>
      <c r="D159" s="14">
        <f>data!AF79</f>
        <v>0</v>
      </c>
      <c r="E159" s="14">
        <f>data!AG79</f>
        <v>14134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7.98</v>
      </c>
      <c r="F160" s="26">
        <f>data!AH80</f>
        <v>0</v>
      </c>
      <c r="G160" s="26">
        <f>data!AI80</f>
        <v>0</v>
      </c>
      <c r="H160" s="26">
        <f>data!AJ80</f>
        <v>0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Mid Valley Hospital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0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19884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37.380000000000003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0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3962398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774073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17124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0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174861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43685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0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176083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99144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13326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54719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-39053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0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5276360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1268725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0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1204063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0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6835495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0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8039558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15629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0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1679.5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11.58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Mid Valley Hospital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8233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0</v>
      </c>
      <c r="H202" s="26">
        <f>data!AX60</f>
        <v>0</v>
      </c>
      <c r="I202" s="26">
        <f>data!AY60</f>
        <v>5.84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0</v>
      </c>
      <c r="H203" s="14">
        <f>data!AX61</f>
        <v>0</v>
      </c>
      <c r="I203" s="14">
        <f>data!AY61</f>
        <v>221406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0</v>
      </c>
      <c r="H204" s="14">
        <f>data!AX62</f>
        <v>0</v>
      </c>
      <c r="I204" s="14">
        <f>data!AY62</f>
        <v>91602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0</v>
      </c>
      <c r="H206" s="14">
        <f>data!AX64</f>
        <v>0</v>
      </c>
      <c r="I206" s="14">
        <f>data!AY64</f>
        <v>153494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0</v>
      </c>
      <c r="H208" s="14">
        <f>data!AX66</f>
        <v>0</v>
      </c>
      <c r="I208" s="14">
        <f>data!AY66</f>
        <v>6123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0</v>
      </c>
      <c r="H209" s="14">
        <f>data!AX67</f>
        <v>0</v>
      </c>
      <c r="I209" s="14">
        <f>data!AY67</f>
        <v>12997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0</v>
      </c>
      <c r="H211" s="14">
        <f>data!AX69</f>
        <v>0</v>
      </c>
      <c r="I211" s="14">
        <f>data!AY69</f>
        <v>1177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0</v>
      </c>
      <c r="H212" s="14">
        <f>-data!AX70</f>
        <v>0</v>
      </c>
      <c r="I212" s="14">
        <f>-data!AY70</f>
        <v>-108712.83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0</v>
      </c>
      <c r="H213" s="14">
        <f>data!AX71</f>
        <v>0</v>
      </c>
      <c r="I213" s="14">
        <f>data!AY71</f>
        <v>378086.17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0</v>
      </c>
      <c r="H220" s="14">
        <f>data!AX76</f>
        <v>0</v>
      </c>
      <c r="I220" s="85">
        <f>data!AY76</f>
        <v>2154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Mid Valley Hospital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82579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1.81</v>
      </c>
      <c r="H234" s="26">
        <f>data!BE60</f>
        <v>3.12</v>
      </c>
      <c r="I234" s="26">
        <f>data!BF60</f>
        <v>9.16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88410</v>
      </c>
      <c r="H235" s="14">
        <f>data!BE61</f>
        <v>192005</v>
      </c>
      <c r="I235" s="14">
        <f>data!BF61</f>
        <v>308281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30423</v>
      </c>
      <c r="H236" s="14">
        <f>data!BE62</f>
        <v>54313</v>
      </c>
      <c r="I236" s="14">
        <f>data!BF62</f>
        <v>130148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738</v>
      </c>
      <c r="H238" s="14">
        <f>data!BE64</f>
        <v>38706</v>
      </c>
      <c r="I238" s="14">
        <f>data!BF64</f>
        <v>31440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328289</v>
      </c>
      <c r="I239" s="14">
        <f>data!BF65</f>
        <v>0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132438</v>
      </c>
      <c r="E240" s="14">
        <f>data!BB66</f>
        <v>0</v>
      </c>
      <c r="F240" s="14">
        <f>data!BC66</f>
        <v>0</v>
      </c>
      <c r="G240" s="14">
        <f>data!BD66</f>
        <v>5136</v>
      </c>
      <c r="H240" s="14">
        <f>data!BE66</f>
        <v>81944</v>
      </c>
      <c r="I240" s="14">
        <f>data!BF66</f>
        <v>3003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1414</v>
      </c>
      <c r="E241" s="14">
        <f>data!BB67</f>
        <v>0</v>
      </c>
      <c r="F241" s="14">
        <f>data!BC67</f>
        <v>0</v>
      </c>
      <c r="G241" s="14">
        <f>data!BD67</f>
        <v>959</v>
      </c>
      <c r="H241" s="14">
        <f>data!BE67</f>
        <v>97024</v>
      </c>
      <c r="I241" s="14">
        <f>data!BF67</f>
        <v>1360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714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2427</v>
      </c>
      <c r="H243" s="14">
        <f>data!BE69</f>
        <v>2399</v>
      </c>
      <c r="I243" s="14">
        <f>data!BF69</f>
        <v>2742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133852</v>
      </c>
      <c r="E245" s="14">
        <f>data!BB71</f>
        <v>0</v>
      </c>
      <c r="F245" s="14">
        <f>data!BC71</f>
        <v>0</v>
      </c>
      <c r="G245" s="14">
        <f>data!BD71</f>
        <v>128093</v>
      </c>
      <c r="H245" s="14">
        <f>data!BE71</f>
        <v>795394</v>
      </c>
      <c r="I245" s="14">
        <f>data!BF71</f>
        <v>476974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506</v>
      </c>
      <c r="E252" s="85">
        <f>data!BB76</f>
        <v>0</v>
      </c>
      <c r="F252" s="85">
        <f>data!BC76</f>
        <v>0</v>
      </c>
      <c r="G252" s="85">
        <f>data!BD76</f>
        <v>343</v>
      </c>
      <c r="H252" s="85">
        <f>data!BE76</f>
        <v>26400</v>
      </c>
      <c r="I252" s="85">
        <f>data!BF76</f>
        <v>350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323.22000000000003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Mid Valley Hospital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0.39</v>
      </c>
      <c r="D266" s="26">
        <f>data!BH60</f>
        <v>2.85</v>
      </c>
      <c r="E266" s="26">
        <f>data!BI60</f>
        <v>0</v>
      </c>
      <c r="F266" s="26">
        <f>data!BJ60</f>
        <v>4.09</v>
      </c>
      <c r="G266" s="26">
        <f>data!BK60</f>
        <v>12.17</v>
      </c>
      <c r="H266" s="26">
        <f>data!BL60</f>
        <v>4.8099999999999996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24181</v>
      </c>
      <c r="D267" s="14">
        <f>data!BH61</f>
        <v>212558</v>
      </c>
      <c r="E267" s="14">
        <f>data!BI61</f>
        <v>0</v>
      </c>
      <c r="F267" s="14">
        <f>data!BJ61</f>
        <v>363086</v>
      </c>
      <c r="G267" s="14">
        <f>data!BK61</f>
        <v>432784</v>
      </c>
      <c r="H267" s="14">
        <f>data!BL61</f>
        <v>166878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14831</v>
      </c>
      <c r="D268" s="14">
        <f>data!BH62</f>
        <v>55193</v>
      </c>
      <c r="E268" s="14">
        <f>data!BI62</f>
        <v>0</v>
      </c>
      <c r="F268" s="14">
        <f>data!BJ62</f>
        <v>83768</v>
      </c>
      <c r="G268" s="14">
        <f>data!BK62</f>
        <v>175919</v>
      </c>
      <c r="H268" s="14">
        <f>data!BL62</f>
        <v>125972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70392</v>
      </c>
      <c r="G269" s="14">
        <f>data!BK63</f>
        <v>29049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17</v>
      </c>
      <c r="D270" s="14">
        <f>data!BH64</f>
        <v>22321</v>
      </c>
      <c r="E270" s="14">
        <f>data!BI64</f>
        <v>0</v>
      </c>
      <c r="F270" s="14">
        <f>data!BJ64</f>
        <v>22123</v>
      </c>
      <c r="G270" s="14">
        <f>data!BK64</f>
        <v>46905</v>
      </c>
      <c r="H270" s="14">
        <f>data!BL64</f>
        <v>5174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79181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13459</v>
      </c>
      <c r="D272" s="14">
        <f>data!BH66</f>
        <v>218004</v>
      </c>
      <c r="E272" s="14">
        <f>data!BI66</f>
        <v>0</v>
      </c>
      <c r="F272" s="14">
        <f>data!BJ66</f>
        <v>28192</v>
      </c>
      <c r="G272" s="14">
        <f>data!BK66</f>
        <v>135030</v>
      </c>
      <c r="H272" s="14">
        <f>data!BL66</f>
        <v>7108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816</v>
      </c>
      <c r="D273" s="14">
        <f>data!BH67</f>
        <v>21172</v>
      </c>
      <c r="E273" s="14">
        <f>data!BI67</f>
        <v>0</v>
      </c>
      <c r="F273" s="14">
        <f>data!BJ67</f>
        <v>20815</v>
      </c>
      <c r="G273" s="14">
        <f>data!BK67</f>
        <v>4899</v>
      </c>
      <c r="H273" s="14">
        <f>data!BL67</f>
        <v>704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2771</v>
      </c>
      <c r="D274" s="14">
        <f>data!BH68</f>
        <v>27000</v>
      </c>
      <c r="E274" s="14">
        <f>data!BI68</f>
        <v>0</v>
      </c>
      <c r="F274" s="14">
        <f>data!BJ68</f>
        <v>8501</v>
      </c>
      <c r="G274" s="14">
        <f>data!BK68</f>
        <v>14992</v>
      </c>
      <c r="H274" s="14">
        <f>data!BL68</f>
        <v>1485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415</v>
      </c>
      <c r="E275" s="14">
        <f>data!BI69</f>
        <v>0</v>
      </c>
      <c r="F275" s="14">
        <f>data!BJ69</f>
        <v>6630</v>
      </c>
      <c r="G275" s="14">
        <f>data!BK69</f>
        <v>5875</v>
      </c>
      <c r="H275" s="14">
        <f>data!BL69</f>
        <v>1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-1177.8</v>
      </c>
      <c r="D276" s="14">
        <f>-data!BH70</f>
        <v>0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134078.20000000001</v>
      </c>
      <c r="D277" s="14">
        <f>data!BH71</f>
        <v>556663</v>
      </c>
      <c r="E277" s="14">
        <f>data!BI71</f>
        <v>0</v>
      </c>
      <c r="F277" s="14">
        <f>data!BJ71</f>
        <v>603507</v>
      </c>
      <c r="G277" s="14">
        <f>data!BK71</f>
        <v>845453</v>
      </c>
      <c r="H277" s="14">
        <f>data!BL71</f>
        <v>307322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292</v>
      </c>
      <c r="D284" s="85">
        <f>data!BH76</f>
        <v>652</v>
      </c>
      <c r="E284" s="85">
        <f>data!BI76</f>
        <v>0</v>
      </c>
      <c r="F284" s="85">
        <f>data!BJ76</f>
        <v>615</v>
      </c>
      <c r="G284" s="85">
        <f>data!BK76</f>
        <v>1753</v>
      </c>
      <c r="H284" s="85">
        <f>data!BL76</f>
        <v>252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0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Mid Valley Hospital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3.35</v>
      </c>
      <c r="D298" s="26">
        <f>data!BO60</f>
        <v>0.3</v>
      </c>
      <c r="E298" s="26">
        <f>data!BP60</f>
        <v>0</v>
      </c>
      <c r="F298" s="26">
        <f>data!BQ60</f>
        <v>0</v>
      </c>
      <c r="G298" s="26">
        <f>data!BR60</f>
        <v>2.08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434865</v>
      </c>
      <c r="D299" s="14">
        <f>data!BO61</f>
        <v>40757</v>
      </c>
      <c r="E299" s="14">
        <f>data!BP61</f>
        <v>0</v>
      </c>
      <c r="F299" s="14">
        <f>data!BQ61</f>
        <v>0</v>
      </c>
      <c r="G299" s="14">
        <f>data!BR61</f>
        <v>167341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78990</v>
      </c>
      <c r="D300" s="14">
        <f>data!BO62</f>
        <v>-10</v>
      </c>
      <c r="E300" s="14">
        <f>data!BP62</f>
        <v>0</v>
      </c>
      <c r="F300" s="14">
        <f>data!BQ62</f>
        <v>0</v>
      </c>
      <c r="G300" s="14">
        <f>data!BR62</f>
        <v>39590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87078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8904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3564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454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0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70271</v>
      </c>
      <c r="D304" s="14">
        <f>data!BO66</f>
        <v>0</v>
      </c>
      <c r="E304" s="14">
        <f>data!BP66</f>
        <v>0</v>
      </c>
      <c r="F304" s="14">
        <f>data!BQ66</f>
        <v>0</v>
      </c>
      <c r="G304" s="14">
        <f>data!BR66</f>
        <v>7176</v>
      </c>
      <c r="H304" s="14">
        <f>data!BS66</f>
        <v>0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1959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903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7414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75759</v>
      </c>
      <c r="D307" s="14">
        <f>data!BO69</f>
        <v>1732</v>
      </c>
      <c r="E307" s="14">
        <f>data!BP69</f>
        <v>0</v>
      </c>
      <c r="F307" s="14">
        <f>data!BQ69</f>
        <v>0</v>
      </c>
      <c r="G307" s="14">
        <f>data!BR69</f>
        <v>41892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759900</v>
      </c>
      <c r="D309" s="14">
        <f>data!BO71</f>
        <v>42479</v>
      </c>
      <c r="E309" s="14">
        <f>data!BP71</f>
        <v>0</v>
      </c>
      <c r="F309" s="14">
        <f>data!BQ71</f>
        <v>0</v>
      </c>
      <c r="G309" s="14">
        <f>data!BR71</f>
        <v>266260</v>
      </c>
      <c r="H309" s="14">
        <f>data!BS71</f>
        <v>0</v>
      </c>
      <c r="I309" s="14">
        <f>data!BT71</f>
        <v>0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701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323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Mid Valley Hospital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8.18</v>
      </c>
      <c r="E330" s="26">
        <f>data!BW60</f>
        <v>0</v>
      </c>
      <c r="F330" s="26">
        <f>data!BX60</f>
        <v>1.0900000000000001</v>
      </c>
      <c r="G330" s="26">
        <f>data!BY60</f>
        <v>2</v>
      </c>
      <c r="H330" s="26">
        <f>data!BZ60</f>
        <v>0</v>
      </c>
      <c r="I330" s="26">
        <f>data!CA60</f>
        <v>0.03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373757</v>
      </c>
      <c r="E331" s="86">
        <f>data!BW61</f>
        <v>0</v>
      </c>
      <c r="F331" s="86">
        <f>data!BX61</f>
        <v>74736</v>
      </c>
      <c r="G331" s="86">
        <f>data!BY61</f>
        <v>210367</v>
      </c>
      <c r="H331" s="86">
        <f>data!BZ61</f>
        <v>0</v>
      </c>
      <c r="I331" s="86">
        <f>data!CA61</f>
        <v>2548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118329</v>
      </c>
      <c r="E332" s="86">
        <f>data!BW62</f>
        <v>0</v>
      </c>
      <c r="F332" s="86">
        <f>data!BX62</f>
        <v>19474</v>
      </c>
      <c r="G332" s="86">
        <f>data!BY62</f>
        <v>65036</v>
      </c>
      <c r="H332" s="86">
        <f>data!BZ62</f>
        <v>0</v>
      </c>
      <c r="I332" s="86">
        <f>data!CA62</f>
        <v>10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5500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3316</v>
      </c>
      <c r="E334" s="86">
        <f>data!BW64</f>
        <v>0</v>
      </c>
      <c r="F334" s="86">
        <f>data!BX64</f>
        <v>0</v>
      </c>
      <c r="G334" s="86">
        <f>data!BY64</f>
        <v>61</v>
      </c>
      <c r="H334" s="86">
        <f>data!BZ64</f>
        <v>0</v>
      </c>
      <c r="I334" s="86">
        <f>data!CA64</f>
        <v>19012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0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97454</v>
      </c>
      <c r="E336" s="86">
        <f>data!BW66</f>
        <v>0</v>
      </c>
      <c r="F336" s="86">
        <f>data!BX66</f>
        <v>0</v>
      </c>
      <c r="G336" s="86">
        <f>data!BY66</f>
        <v>0</v>
      </c>
      <c r="H336" s="86">
        <f>data!BZ66</f>
        <v>0</v>
      </c>
      <c r="I336" s="86">
        <f>data!CA66</f>
        <v>35778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4680</v>
      </c>
      <c r="E337" s="86">
        <f>data!BW67</f>
        <v>0</v>
      </c>
      <c r="F337" s="86">
        <f>data!BX67</f>
        <v>0</v>
      </c>
      <c r="G337" s="86">
        <f>data!BY67</f>
        <v>685</v>
      </c>
      <c r="H337" s="86">
        <f>data!BZ67</f>
        <v>0</v>
      </c>
      <c r="I337" s="86">
        <f>data!CA67</f>
        <v>10035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1740</v>
      </c>
      <c r="E338" s="86">
        <f>data!BW68</f>
        <v>0</v>
      </c>
      <c r="F338" s="86">
        <f>data!BX68</f>
        <v>0</v>
      </c>
      <c r="G338" s="86">
        <f>data!BY68</f>
        <v>0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1628</v>
      </c>
      <c r="E339" s="86">
        <f>data!BW69</f>
        <v>0</v>
      </c>
      <c r="F339" s="86">
        <f>data!BX69</f>
        <v>71</v>
      </c>
      <c r="G339" s="86">
        <f>data!BY69</f>
        <v>4137</v>
      </c>
      <c r="H339" s="86">
        <f>data!BZ69</f>
        <v>0</v>
      </c>
      <c r="I339" s="86">
        <f>data!CA69</f>
        <v>802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-16948.599999999999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-2150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583955.4</v>
      </c>
      <c r="E341" s="14">
        <f>data!BW71</f>
        <v>0</v>
      </c>
      <c r="F341" s="14">
        <f>data!BX71</f>
        <v>94281</v>
      </c>
      <c r="G341" s="14">
        <f>data!BY71</f>
        <v>280286</v>
      </c>
      <c r="H341" s="14">
        <f>data!BZ71</f>
        <v>0</v>
      </c>
      <c r="I341" s="14">
        <f>data!CA71</f>
        <v>71535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1508</v>
      </c>
      <c r="E348" s="85">
        <f>data!BW76</f>
        <v>0</v>
      </c>
      <c r="F348" s="85">
        <f>data!BX76</f>
        <v>0</v>
      </c>
      <c r="G348" s="85">
        <f>data!BY76</f>
        <v>245</v>
      </c>
      <c r="H348" s="85">
        <f>data!BZ76</f>
        <v>0</v>
      </c>
      <c r="I348" s="85">
        <f>data!CA76</f>
        <v>2150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0</v>
      </c>
      <c r="E350" s="85">
        <f>data!BW78</f>
        <v>0</v>
      </c>
      <c r="F350" s="85">
        <f>data!BX78</f>
        <v>0</v>
      </c>
      <c r="G350" s="85">
        <f>data!BY78</f>
        <v>0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Mid Valley Hospital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0.1</v>
      </c>
      <c r="E362" s="217"/>
      <c r="F362" s="211"/>
      <c r="G362" s="211"/>
      <c r="H362" s="211"/>
      <c r="I362" s="87">
        <f>data!CE60</f>
        <v>200.9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24406</v>
      </c>
      <c r="E363" s="218"/>
      <c r="F363" s="219"/>
      <c r="G363" s="219"/>
      <c r="H363" s="219"/>
      <c r="I363" s="86">
        <f>data!CE61</f>
        <v>14865004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2022</v>
      </c>
      <c r="E364" s="218"/>
      <c r="F364" s="219"/>
      <c r="G364" s="219"/>
      <c r="H364" s="219"/>
      <c r="I364" s="86">
        <f>data!CE62</f>
        <v>3763692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4704935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0</v>
      </c>
      <c r="E366" s="218"/>
      <c r="F366" s="219"/>
      <c r="G366" s="219"/>
      <c r="H366" s="219"/>
      <c r="I366" s="86">
        <f>data!CE64</f>
        <v>4196125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451155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0</v>
      </c>
      <c r="D368" s="86">
        <f>data!CC66</f>
        <v>0</v>
      </c>
      <c r="E368" s="218"/>
      <c r="F368" s="219"/>
      <c r="G368" s="219"/>
      <c r="H368" s="219"/>
      <c r="I368" s="86">
        <f>data!CE66</f>
        <v>2110169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1301782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384459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4268</v>
      </c>
      <c r="E371" s="86">
        <f>data!CD69</f>
        <v>942103.96999999986</v>
      </c>
      <c r="F371" s="219"/>
      <c r="G371" s="219"/>
      <c r="H371" s="219"/>
      <c r="I371" s="86">
        <f>data!CE69</f>
        <v>1182745.9699999997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8">
        <f>data!CD70</f>
        <v>265543</v>
      </c>
      <c r="F372" s="220"/>
      <c r="G372" s="220"/>
      <c r="H372" s="220"/>
      <c r="I372" s="14">
        <f>-data!CE70</f>
        <v>-462242.12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0</v>
      </c>
      <c r="D373" s="86">
        <f>data!CC71</f>
        <v>30696</v>
      </c>
      <c r="E373" s="86">
        <f>data!CD71</f>
        <v>676560.96999999986</v>
      </c>
      <c r="F373" s="219"/>
      <c r="G373" s="219"/>
      <c r="H373" s="219"/>
      <c r="I373" s="14">
        <f>data!CE71</f>
        <v>32497824.849999998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-1039314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13404850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52221500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65626350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82579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8233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16279.890000000001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116507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45.4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Mid-Valley Hospital Year End Report</dc:title>
  <dc:subject>2018 Mid-Valley Hospital Year End Report</dc:subject>
  <dc:creator>Washington State Dept of Health - HSQA - Community Health Systems</dc:creator>
  <cp:keywords>hospital financial reports</cp:keywords>
  <cp:lastModifiedBy>Huyck, Randall  (DOH)</cp:lastModifiedBy>
  <cp:lastPrinted>2019-06-29T05:27:53Z</cp:lastPrinted>
  <dcterms:created xsi:type="dcterms:W3CDTF">1999-06-02T22:01:56Z</dcterms:created>
  <dcterms:modified xsi:type="dcterms:W3CDTF">2019-07-02T20:50:52Z</dcterms:modified>
</cp:coreProperties>
</file>