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1548" windowWidth="15360" windowHeight="8796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1" r:id="rId10"/>
  </sheets>
  <definedNames>
    <definedName name="_Fill" localSheetId="9" hidden="1">'Prior Year'!$DR$921:$DR$966</definedName>
    <definedName name="_Fill" hidden="1">data!$DR$823:$DR$868</definedName>
    <definedName name="Costcenter" localSheetId="9">'Prior Year'!$A$732:$W$813</definedName>
    <definedName name="Costcenter">data!#REF!</definedName>
    <definedName name="Edit" localSheetId="9">'Prior Year'!$A$411:$E$478</definedName>
    <definedName name="Edit">data!$A$411:$E$478</definedName>
    <definedName name="Funds" localSheetId="9">'Prior Year'!$A$728:$CF$730</definedName>
    <definedName name="Funds">data!#REF!</definedName>
    <definedName name="Hospital" localSheetId="9">'Prior Year'!$A$724:$BR$726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Year'!$A$411:$E$478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Year'!$A$720:$CD$722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D550" i="1"/>
  <c r="B550" i="1"/>
  <c r="B549" i="1"/>
  <c r="B548" i="1"/>
  <c r="B547" i="1"/>
  <c r="D546" i="1"/>
  <c r="B546" i="1"/>
  <c r="F546" i="1" s="1"/>
  <c r="D545" i="1"/>
  <c r="B545" i="1"/>
  <c r="F545" i="1" s="1"/>
  <c r="D544" i="1"/>
  <c r="B544" i="1"/>
  <c r="B543" i="1"/>
  <c r="B542" i="1"/>
  <c r="B541" i="1"/>
  <c r="D540" i="1"/>
  <c r="B540" i="1"/>
  <c r="D539" i="1"/>
  <c r="B539" i="1"/>
  <c r="D538" i="1"/>
  <c r="B538" i="1"/>
  <c r="F538" i="1" s="1"/>
  <c r="D537" i="1"/>
  <c r="B537" i="1"/>
  <c r="D536" i="1"/>
  <c r="B536" i="1"/>
  <c r="H536" i="1" s="1"/>
  <c r="D535" i="1"/>
  <c r="B535" i="1"/>
  <c r="D534" i="1"/>
  <c r="B534" i="1"/>
  <c r="H534" i="1" s="1"/>
  <c r="D533" i="1"/>
  <c r="B533" i="1"/>
  <c r="D532" i="1"/>
  <c r="B532" i="1"/>
  <c r="D531" i="1"/>
  <c r="B531" i="1"/>
  <c r="D530" i="1"/>
  <c r="B530" i="1"/>
  <c r="D529" i="1"/>
  <c r="B529" i="1"/>
  <c r="D528" i="1"/>
  <c r="B528" i="1"/>
  <c r="F528" i="1" s="1"/>
  <c r="D527" i="1"/>
  <c r="B527" i="1"/>
  <c r="D526" i="1"/>
  <c r="B526" i="1"/>
  <c r="D525" i="1"/>
  <c r="B525" i="1"/>
  <c r="D524" i="1"/>
  <c r="B524" i="1"/>
  <c r="D523" i="1"/>
  <c r="B523" i="1"/>
  <c r="D522" i="1"/>
  <c r="B522" i="1"/>
  <c r="F522" i="1" s="1"/>
  <c r="B521" i="1"/>
  <c r="F521" i="1" s="1"/>
  <c r="D520" i="1"/>
  <c r="B520" i="1"/>
  <c r="H520" i="1" s="1"/>
  <c r="D519" i="1"/>
  <c r="B519" i="1"/>
  <c r="F519" i="1" s="1"/>
  <c r="D518" i="1"/>
  <c r="B518" i="1"/>
  <c r="D517" i="1"/>
  <c r="B517" i="1"/>
  <c r="D516" i="1"/>
  <c r="B516" i="1"/>
  <c r="F516" i="1" s="1"/>
  <c r="D515" i="1"/>
  <c r="B515" i="1"/>
  <c r="D514" i="1"/>
  <c r="B514" i="1"/>
  <c r="B513" i="1"/>
  <c r="H513" i="1" s="1"/>
  <c r="B512" i="1"/>
  <c r="D511" i="1"/>
  <c r="B511" i="1"/>
  <c r="F511" i="1" s="1"/>
  <c r="D510" i="1"/>
  <c r="B510" i="1"/>
  <c r="H510" i="1" s="1"/>
  <c r="D509" i="1"/>
  <c r="B509" i="1"/>
  <c r="D508" i="1"/>
  <c r="B508" i="1"/>
  <c r="H508" i="1" s="1"/>
  <c r="D507" i="1"/>
  <c r="B507" i="1"/>
  <c r="H507" i="1" s="1"/>
  <c r="D506" i="1"/>
  <c r="B506" i="1"/>
  <c r="D505" i="1"/>
  <c r="B505" i="1"/>
  <c r="D504" i="1"/>
  <c r="B504" i="1"/>
  <c r="H504" i="1" s="1"/>
  <c r="D503" i="1"/>
  <c r="B503" i="1"/>
  <c r="F503" i="1" s="1"/>
  <c r="D502" i="1"/>
  <c r="B502" i="1"/>
  <c r="F502" i="1" s="1"/>
  <c r="D501" i="1"/>
  <c r="B501" i="1"/>
  <c r="D500" i="1"/>
  <c r="B500" i="1"/>
  <c r="H500" i="1" s="1"/>
  <c r="D499" i="1"/>
  <c r="B499" i="1"/>
  <c r="H499" i="1" s="1"/>
  <c r="D498" i="1"/>
  <c r="B498" i="1"/>
  <c r="D497" i="1"/>
  <c r="B497" i="1"/>
  <c r="D496" i="1"/>
  <c r="F493" i="1"/>
  <c r="D493" i="1"/>
  <c r="B493" i="1"/>
  <c r="B496" i="1"/>
  <c r="E550" i="1"/>
  <c r="E546" i="1"/>
  <c r="E545" i="1"/>
  <c r="H545" i="1"/>
  <c r="F544" i="1"/>
  <c r="E544" i="1"/>
  <c r="E540" i="1"/>
  <c r="E539" i="1"/>
  <c r="E538" i="1"/>
  <c r="H537" i="1"/>
  <c r="E537" i="1"/>
  <c r="F537" i="1"/>
  <c r="F536" i="1"/>
  <c r="E536" i="1"/>
  <c r="H535" i="1"/>
  <c r="F535" i="1"/>
  <c r="E535" i="1"/>
  <c r="E534" i="1"/>
  <c r="F533" i="1"/>
  <c r="E533" i="1"/>
  <c r="H533" i="1"/>
  <c r="E532" i="1"/>
  <c r="E531" i="1"/>
  <c r="F530" i="1"/>
  <c r="E530" i="1"/>
  <c r="H529" i="1"/>
  <c r="E529" i="1"/>
  <c r="F529" i="1"/>
  <c r="E528" i="1"/>
  <c r="H528" i="1"/>
  <c r="E527" i="1"/>
  <c r="E526" i="1"/>
  <c r="H526" i="1"/>
  <c r="F525" i="1"/>
  <c r="E525" i="1"/>
  <c r="H525" i="1"/>
  <c r="E524" i="1"/>
  <c r="E523" i="1"/>
  <c r="E522" i="1"/>
  <c r="E520" i="1"/>
  <c r="E519" i="1"/>
  <c r="E518" i="1"/>
  <c r="E517" i="1"/>
  <c r="E516" i="1"/>
  <c r="E515" i="1"/>
  <c r="F515" i="1"/>
  <c r="F514" i="1"/>
  <c r="F512" i="1"/>
  <c r="H511" i="1"/>
  <c r="E511" i="1"/>
  <c r="F510" i="1"/>
  <c r="E510" i="1"/>
  <c r="H509" i="1"/>
  <c r="F509" i="1"/>
  <c r="E509" i="1"/>
  <c r="E508" i="1"/>
  <c r="F507" i="1"/>
  <c r="E507" i="1"/>
  <c r="E506" i="1"/>
  <c r="E505" i="1"/>
  <c r="E504" i="1"/>
  <c r="E503" i="1"/>
  <c r="E502" i="1"/>
  <c r="H501" i="1"/>
  <c r="F501" i="1"/>
  <c r="E501" i="1"/>
  <c r="E500" i="1"/>
  <c r="F499" i="1"/>
  <c r="E499" i="1"/>
  <c r="E498" i="1"/>
  <c r="E497" i="1"/>
  <c r="F496" i="1"/>
  <c r="E496" i="1"/>
  <c r="G493" i="1"/>
  <c r="E493" i="1"/>
  <c r="C493" i="1"/>
  <c r="A493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C444" i="1"/>
  <c r="B439" i="1"/>
  <c r="B440" i="1" s="1"/>
  <c r="B438" i="1"/>
  <c r="B437" i="1"/>
  <c r="B436" i="1"/>
  <c r="B435" i="1"/>
  <c r="B433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A412" i="1"/>
  <c r="H538" i="1" l="1"/>
  <c r="F527" i="1"/>
  <c r="H502" i="1"/>
  <c r="H519" i="1"/>
  <c r="H503" i="1"/>
  <c r="F504" i="1"/>
  <c r="F513" i="1"/>
  <c r="F524" i="1"/>
  <c r="H498" i="1"/>
  <c r="F498" i="1"/>
  <c r="H532" i="1"/>
  <c r="F532" i="1"/>
  <c r="H505" i="1"/>
  <c r="F505" i="1"/>
  <c r="F523" i="1"/>
  <c r="H539" i="1"/>
  <c r="F539" i="1"/>
  <c r="F518" i="1"/>
  <c r="F497" i="1"/>
  <c r="H506" i="1"/>
  <c r="F506" i="1"/>
  <c r="F531" i="1"/>
  <c r="H540" i="1"/>
  <c r="F540" i="1"/>
  <c r="F517" i="1"/>
  <c r="F550" i="1"/>
  <c r="F500" i="1"/>
  <c r="F508" i="1"/>
  <c r="F520" i="1"/>
  <c r="F526" i="1"/>
  <c r="F534" i="1"/>
  <c r="C214" i="1" l="1"/>
  <c r="C210" i="1"/>
  <c r="B214" i="1"/>
  <c r="U59" i="1" l="1"/>
  <c r="E514" i="1" s="1"/>
  <c r="U66" i="1" l="1"/>
  <c r="AV66" i="1"/>
  <c r="U73" i="1"/>
  <c r="AV73" i="1"/>
  <c r="C228" i="1" l="1"/>
  <c r="CC69" i="1"/>
  <c r="C439" i="1" s="1"/>
  <c r="CD69" i="1"/>
  <c r="C385" i="1"/>
  <c r="B434" i="1" s="1"/>
  <c r="C438" i="1" l="1"/>
  <c r="C615" i="1"/>
  <c r="C383" i="1"/>
  <c r="B432" i="1" s="1"/>
  <c r="C184" i="1"/>
  <c r="C179" i="1"/>
  <c r="C180" i="1"/>
  <c r="C166" i="1"/>
  <c r="AB66" i="1" l="1"/>
  <c r="BX61" i="1"/>
  <c r="BN61" i="1"/>
  <c r="AC61" i="1"/>
  <c r="U61" i="1"/>
  <c r="C61" i="1"/>
  <c r="D61" i="1"/>
  <c r="CC61" i="1"/>
  <c r="CA61" i="1"/>
  <c r="BV61" i="1"/>
  <c r="BL61" i="1"/>
  <c r="BJ61" i="1"/>
  <c r="BI61" i="1"/>
  <c r="BF61" i="1"/>
  <c r="Y61" i="1"/>
  <c r="BD61" i="1"/>
  <c r="AZ61" i="1"/>
  <c r="AY61" i="1"/>
  <c r="AB61" i="1"/>
  <c r="M817" i="11" l="1"/>
  <c r="K817" i="11"/>
  <c r="J817" i="11"/>
  <c r="H817" i="11"/>
  <c r="G817" i="11"/>
  <c r="F817" i="11"/>
  <c r="E817" i="11"/>
  <c r="D817" i="11"/>
  <c r="X813" i="11"/>
  <c r="X815" i="11" s="1"/>
  <c r="W813" i="11"/>
  <c r="W815" i="11" s="1"/>
  <c r="V813" i="11"/>
  <c r="V815" i="11" s="1"/>
  <c r="A813" i="11"/>
  <c r="T812" i="11"/>
  <c r="S812" i="11"/>
  <c r="R812" i="11"/>
  <c r="Q812" i="11"/>
  <c r="P812" i="11"/>
  <c r="M812" i="11"/>
  <c r="K812" i="11"/>
  <c r="G812" i="11"/>
  <c r="C812" i="11"/>
  <c r="A812" i="11"/>
  <c r="T811" i="11"/>
  <c r="S811" i="11"/>
  <c r="R811" i="11"/>
  <c r="Q811" i="11"/>
  <c r="P811" i="11"/>
  <c r="M811" i="11"/>
  <c r="L811" i="11"/>
  <c r="K811" i="11"/>
  <c r="I811" i="11"/>
  <c r="H811" i="11"/>
  <c r="G811" i="11"/>
  <c r="F811" i="11"/>
  <c r="D811" i="11"/>
  <c r="C811" i="11"/>
  <c r="A811" i="11"/>
  <c r="T810" i="11"/>
  <c r="S810" i="11"/>
  <c r="R810" i="11"/>
  <c r="Q810" i="11"/>
  <c r="P810" i="11"/>
  <c r="M810" i="11"/>
  <c r="L810" i="11"/>
  <c r="K810" i="11"/>
  <c r="I810" i="11"/>
  <c r="H810" i="11"/>
  <c r="G810" i="11"/>
  <c r="F810" i="11"/>
  <c r="C810" i="11"/>
  <c r="A810" i="11"/>
  <c r="T809" i="11"/>
  <c r="S809" i="11"/>
  <c r="R809" i="11"/>
  <c r="Q809" i="11"/>
  <c r="P809" i="11"/>
  <c r="M809" i="11"/>
  <c r="L809" i="11"/>
  <c r="K809" i="11"/>
  <c r="I809" i="11"/>
  <c r="H809" i="11"/>
  <c r="G809" i="11"/>
  <c r="F809" i="11"/>
  <c r="D809" i="11"/>
  <c r="C809" i="11"/>
  <c r="A809" i="11"/>
  <c r="T808" i="11"/>
  <c r="S808" i="11"/>
  <c r="R808" i="11"/>
  <c r="Q808" i="11"/>
  <c r="P808" i="11"/>
  <c r="M808" i="11"/>
  <c r="L808" i="11"/>
  <c r="K808" i="11"/>
  <c r="I808" i="11"/>
  <c r="H808" i="11"/>
  <c r="G808" i="11"/>
  <c r="F808" i="11"/>
  <c r="C808" i="11"/>
  <c r="A808" i="11"/>
  <c r="T807" i="11"/>
  <c r="S807" i="11"/>
  <c r="R807" i="11"/>
  <c r="Q807" i="11"/>
  <c r="P807" i="11"/>
  <c r="M807" i="11"/>
  <c r="L807" i="11"/>
  <c r="K807" i="11"/>
  <c r="I807" i="11"/>
  <c r="H807" i="11"/>
  <c r="G807" i="11"/>
  <c r="F807" i="11"/>
  <c r="C807" i="11"/>
  <c r="A807" i="11"/>
  <c r="T806" i="11"/>
  <c r="S806" i="11"/>
  <c r="R806" i="11"/>
  <c r="Q806" i="11"/>
  <c r="P806" i="11"/>
  <c r="M806" i="11"/>
  <c r="L806" i="11"/>
  <c r="K806" i="11"/>
  <c r="I806" i="11"/>
  <c r="H806" i="11"/>
  <c r="G806" i="11"/>
  <c r="F806" i="11"/>
  <c r="D806" i="11"/>
  <c r="C806" i="11"/>
  <c r="A806" i="11"/>
  <c r="T805" i="11"/>
  <c r="S805" i="11"/>
  <c r="R805" i="11"/>
  <c r="Q805" i="11"/>
  <c r="P805" i="11"/>
  <c r="M805" i="11"/>
  <c r="L805" i="11"/>
  <c r="K805" i="11"/>
  <c r="H805" i="11"/>
  <c r="G805" i="11"/>
  <c r="F805" i="11"/>
  <c r="C805" i="11"/>
  <c r="A805" i="11"/>
  <c r="T804" i="11"/>
  <c r="S804" i="11"/>
  <c r="R804" i="11"/>
  <c r="Q804" i="11"/>
  <c r="P804" i="11"/>
  <c r="M804" i="11"/>
  <c r="L804" i="11"/>
  <c r="K804" i="11"/>
  <c r="I804" i="11"/>
  <c r="H804" i="11"/>
  <c r="G804" i="11"/>
  <c r="F804" i="11"/>
  <c r="D804" i="11"/>
  <c r="C804" i="11"/>
  <c r="A804" i="11"/>
  <c r="T803" i="11"/>
  <c r="S803" i="11"/>
  <c r="R803" i="11"/>
  <c r="Q803" i="11"/>
  <c r="P803" i="11"/>
  <c r="M803" i="11"/>
  <c r="L803" i="11"/>
  <c r="K803" i="11"/>
  <c r="I803" i="11"/>
  <c r="H803" i="11"/>
  <c r="G803" i="11"/>
  <c r="F803" i="11"/>
  <c r="D803" i="11"/>
  <c r="C803" i="11"/>
  <c r="A803" i="11"/>
  <c r="T802" i="11"/>
  <c r="S802" i="11"/>
  <c r="R802" i="11"/>
  <c r="Q802" i="11"/>
  <c r="P802" i="11"/>
  <c r="M802" i="11"/>
  <c r="L802" i="11"/>
  <c r="K802" i="11"/>
  <c r="I802" i="11"/>
  <c r="H802" i="11"/>
  <c r="G802" i="11"/>
  <c r="F802" i="11"/>
  <c r="D802" i="11"/>
  <c r="C802" i="11"/>
  <c r="A802" i="11"/>
  <c r="T801" i="11"/>
  <c r="S801" i="11"/>
  <c r="R801" i="11"/>
  <c r="Q801" i="11"/>
  <c r="P801" i="11"/>
  <c r="M801" i="11"/>
  <c r="L801" i="11"/>
  <c r="K801" i="11"/>
  <c r="I801" i="11"/>
  <c r="H801" i="11"/>
  <c r="G801" i="11"/>
  <c r="F801" i="11"/>
  <c r="D801" i="11"/>
  <c r="C801" i="11"/>
  <c r="A801" i="11"/>
  <c r="T800" i="11"/>
  <c r="S800" i="11"/>
  <c r="R800" i="11"/>
  <c r="Q800" i="11"/>
  <c r="P800" i="11"/>
  <c r="M800" i="11"/>
  <c r="L800" i="11"/>
  <c r="K800" i="11"/>
  <c r="I800" i="11"/>
  <c r="H800" i="11"/>
  <c r="G800" i="11"/>
  <c r="F800" i="11"/>
  <c r="D800" i="11"/>
  <c r="C800" i="11"/>
  <c r="A800" i="11"/>
  <c r="T799" i="11"/>
  <c r="S799" i="11"/>
  <c r="R799" i="11"/>
  <c r="Q799" i="11"/>
  <c r="P799" i="11"/>
  <c r="M799" i="11"/>
  <c r="L799" i="11"/>
  <c r="K799" i="11"/>
  <c r="I799" i="11"/>
  <c r="H799" i="11"/>
  <c r="G799" i="11"/>
  <c r="F799" i="11"/>
  <c r="D799" i="11"/>
  <c r="C799" i="11"/>
  <c r="A799" i="11"/>
  <c r="T798" i="11"/>
  <c r="S798" i="11"/>
  <c r="R798" i="11"/>
  <c r="Q798" i="11"/>
  <c r="P798" i="11"/>
  <c r="M798" i="11"/>
  <c r="L798" i="11"/>
  <c r="K798" i="11"/>
  <c r="I798" i="11"/>
  <c r="H798" i="11"/>
  <c r="G798" i="11"/>
  <c r="F798" i="11"/>
  <c r="D798" i="11"/>
  <c r="C798" i="11"/>
  <c r="A798" i="11"/>
  <c r="T797" i="11"/>
  <c r="S797" i="11"/>
  <c r="R797" i="11"/>
  <c r="Q797" i="11"/>
  <c r="P797" i="11"/>
  <c r="M797" i="11"/>
  <c r="K797" i="11"/>
  <c r="I797" i="11"/>
  <c r="H797" i="11"/>
  <c r="G797" i="11"/>
  <c r="F797" i="11"/>
  <c r="C797" i="11"/>
  <c r="A797" i="11"/>
  <c r="T796" i="11"/>
  <c r="S796" i="11"/>
  <c r="R796" i="11"/>
  <c r="Q796" i="11"/>
  <c r="P796" i="11"/>
  <c r="M796" i="11"/>
  <c r="L796" i="11"/>
  <c r="K796" i="11"/>
  <c r="I796" i="11"/>
  <c r="H796" i="11"/>
  <c r="G796" i="11"/>
  <c r="F796" i="11"/>
  <c r="D796" i="11"/>
  <c r="C796" i="11"/>
  <c r="A796" i="11"/>
  <c r="T795" i="11"/>
  <c r="S795" i="11"/>
  <c r="R795" i="11"/>
  <c r="Q795" i="11"/>
  <c r="P795" i="11"/>
  <c r="M795" i="11"/>
  <c r="K795" i="11"/>
  <c r="I795" i="11"/>
  <c r="H795" i="11"/>
  <c r="G795" i="11"/>
  <c r="F795" i="11"/>
  <c r="C795" i="11"/>
  <c r="A795" i="11"/>
  <c r="T794" i="11"/>
  <c r="S794" i="11"/>
  <c r="R794" i="11"/>
  <c r="Q794" i="11"/>
  <c r="P794" i="11"/>
  <c r="M794" i="11"/>
  <c r="L794" i="11"/>
  <c r="K794" i="11"/>
  <c r="I794" i="11"/>
  <c r="H794" i="11"/>
  <c r="G794" i="11"/>
  <c r="F794" i="11"/>
  <c r="D794" i="11"/>
  <c r="C794" i="11"/>
  <c r="A794" i="11"/>
  <c r="T793" i="11"/>
  <c r="S793" i="11"/>
  <c r="R793" i="11"/>
  <c r="Q793" i="11"/>
  <c r="P793" i="11"/>
  <c r="M793" i="11"/>
  <c r="L793" i="11"/>
  <c r="K793" i="11"/>
  <c r="I793" i="11"/>
  <c r="H793" i="11"/>
  <c r="G793" i="11"/>
  <c r="F793" i="11"/>
  <c r="C793" i="11"/>
  <c r="A793" i="11"/>
  <c r="T792" i="11"/>
  <c r="S792" i="11"/>
  <c r="R792" i="11"/>
  <c r="Q792" i="11"/>
  <c r="P792" i="11"/>
  <c r="M792" i="11"/>
  <c r="L792" i="11"/>
  <c r="K792" i="11"/>
  <c r="I792" i="11"/>
  <c r="H792" i="11"/>
  <c r="F792" i="11"/>
  <c r="C792" i="11"/>
  <c r="A792" i="11"/>
  <c r="T791" i="11"/>
  <c r="S791" i="11"/>
  <c r="R791" i="11"/>
  <c r="Q791" i="11"/>
  <c r="P791" i="11"/>
  <c r="M791" i="11"/>
  <c r="L791" i="11"/>
  <c r="K791" i="11"/>
  <c r="I791" i="11"/>
  <c r="H791" i="11"/>
  <c r="G791" i="11"/>
  <c r="F791" i="11"/>
  <c r="D791" i="11"/>
  <c r="C791" i="11"/>
  <c r="A791" i="11"/>
  <c r="T790" i="11"/>
  <c r="S790" i="11"/>
  <c r="R790" i="11"/>
  <c r="Q790" i="11"/>
  <c r="P790" i="11"/>
  <c r="M790" i="11"/>
  <c r="L790" i="11"/>
  <c r="K790" i="11"/>
  <c r="I790" i="11"/>
  <c r="H790" i="11"/>
  <c r="G790" i="11"/>
  <c r="F790" i="11"/>
  <c r="D790" i="11"/>
  <c r="C790" i="11"/>
  <c r="A790" i="11"/>
  <c r="T789" i="11"/>
  <c r="S789" i="11"/>
  <c r="R789" i="11"/>
  <c r="Q789" i="11"/>
  <c r="P789" i="11"/>
  <c r="M789" i="11"/>
  <c r="K789" i="11"/>
  <c r="I789" i="11"/>
  <c r="H789" i="11"/>
  <c r="F789" i="11"/>
  <c r="C789" i="11"/>
  <c r="A789" i="11"/>
  <c r="T788" i="11"/>
  <c r="S788" i="11"/>
  <c r="R788" i="11"/>
  <c r="Q788" i="11"/>
  <c r="P788" i="11"/>
  <c r="M788" i="11"/>
  <c r="K788" i="11"/>
  <c r="H788" i="11"/>
  <c r="F788" i="11"/>
  <c r="D788" i="11"/>
  <c r="C788" i="11"/>
  <c r="B788" i="11"/>
  <c r="A788" i="11"/>
  <c r="T787" i="11"/>
  <c r="S787" i="11"/>
  <c r="R787" i="11"/>
  <c r="Q787" i="11"/>
  <c r="P787" i="11"/>
  <c r="M787" i="11"/>
  <c r="L787" i="11"/>
  <c r="I787" i="11"/>
  <c r="H787" i="11"/>
  <c r="F787" i="11"/>
  <c r="C787" i="11"/>
  <c r="A787" i="11"/>
  <c r="T786" i="11"/>
  <c r="S786" i="11"/>
  <c r="R786" i="11"/>
  <c r="Q786" i="11"/>
  <c r="P786" i="11"/>
  <c r="M786" i="11"/>
  <c r="L786" i="11"/>
  <c r="K786" i="11"/>
  <c r="I786" i="11"/>
  <c r="H786" i="11"/>
  <c r="G786" i="11"/>
  <c r="F786" i="11"/>
  <c r="D786" i="11"/>
  <c r="C786" i="11"/>
  <c r="A786" i="11"/>
  <c r="T785" i="11"/>
  <c r="S785" i="11"/>
  <c r="R785" i="11"/>
  <c r="Q785" i="11"/>
  <c r="P785" i="11"/>
  <c r="M785" i="11"/>
  <c r="L785" i="11"/>
  <c r="K785" i="11"/>
  <c r="I785" i="11"/>
  <c r="H785" i="11"/>
  <c r="G785" i="11"/>
  <c r="F785" i="11"/>
  <c r="D785" i="11"/>
  <c r="C785" i="11"/>
  <c r="A785" i="11"/>
  <c r="T784" i="11"/>
  <c r="S784" i="11"/>
  <c r="R784" i="11"/>
  <c r="Q784" i="11"/>
  <c r="P784" i="11"/>
  <c r="M784" i="11"/>
  <c r="L784" i="11"/>
  <c r="K784" i="11"/>
  <c r="I784" i="11"/>
  <c r="H784" i="11"/>
  <c r="G784" i="11"/>
  <c r="F784" i="11"/>
  <c r="D784" i="11"/>
  <c r="C784" i="11"/>
  <c r="B784" i="11"/>
  <c r="A784" i="11"/>
  <c r="T783" i="11"/>
  <c r="S783" i="11"/>
  <c r="R783" i="11"/>
  <c r="Q783" i="11"/>
  <c r="P783" i="11"/>
  <c r="M783" i="11"/>
  <c r="L783" i="11"/>
  <c r="K783" i="11"/>
  <c r="I783" i="11"/>
  <c r="H783" i="11"/>
  <c r="G783" i="11"/>
  <c r="F783" i="11"/>
  <c r="D783" i="11"/>
  <c r="C783" i="11"/>
  <c r="B783" i="11"/>
  <c r="A783" i="11"/>
  <c r="T782" i="11"/>
  <c r="S782" i="11"/>
  <c r="R782" i="11"/>
  <c r="Q782" i="11"/>
  <c r="P782" i="11"/>
  <c r="M782" i="11"/>
  <c r="K782" i="11"/>
  <c r="I782" i="11"/>
  <c r="H782" i="11"/>
  <c r="F782" i="11"/>
  <c r="D782" i="11"/>
  <c r="C782" i="11"/>
  <c r="B782" i="11"/>
  <c r="A782" i="11"/>
  <c r="T781" i="11"/>
  <c r="S781" i="11"/>
  <c r="R781" i="11"/>
  <c r="Q781" i="11"/>
  <c r="P781" i="11"/>
  <c r="M781" i="11"/>
  <c r="L781" i="11"/>
  <c r="K781" i="11"/>
  <c r="I781" i="11"/>
  <c r="H781" i="11"/>
  <c r="G781" i="11"/>
  <c r="F781" i="11"/>
  <c r="D781" i="11"/>
  <c r="C781" i="11"/>
  <c r="A781" i="11"/>
  <c r="T780" i="11"/>
  <c r="S780" i="11"/>
  <c r="R780" i="11"/>
  <c r="Q780" i="11"/>
  <c r="P780" i="11"/>
  <c r="M780" i="11"/>
  <c r="L780" i="11"/>
  <c r="K780" i="11"/>
  <c r="I780" i="11"/>
  <c r="H780" i="11"/>
  <c r="G780" i="11"/>
  <c r="F780" i="11"/>
  <c r="D780" i="11"/>
  <c r="C780" i="11"/>
  <c r="A780" i="11"/>
  <c r="T779" i="11"/>
  <c r="S779" i="11"/>
  <c r="R779" i="11"/>
  <c r="Q779" i="11"/>
  <c r="P779" i="11"/>
  <c r="O779" i="11"/>
  <c r="M779" i="11"/>
  <c r="L779" i="11"/>
  <c r="K779" i="11"/>
  <c r="I779" i="11"/>
  <c r="H779" i="11"/>
  <c r="G779" i="11"/>
  <c r="F779" i="11"/>
  <c r="D779" i="11"/>
  <c r="C779" i="11"/>
  <c r="A779" i="11"/>
  <c r="T778" i="11"/>
  <c r="S778" i="11"/>
  <c r="R778" i="11"/>
  <c r="Q778" i="11"/>
  <c r="P778" i="11"/>
  <c r="O778" i="11"/>
  <c r="M778" i="11"/>
  <c r="L778" i="11"/>
  <c r="K778" i="11"/>
  <c r="I778" i="11"/>
  <c r="H778" i="11"/>
  <c r="G778" i="11"/>
  <c r="F778" i="11"/>
  <c r="D778" i="11"/>
  <c r="C778" i="11"/>
  <c r="B778" i="11"/>
  <c r="A778" i="11"/>
  <c r="T777" i="11"/>
  <c r="S777" i="11"/>
  <c r="R777" i="11"/>
  <c r="Q777" i="11"/>
  <c r="P777" i="11"/>
  <c r="O777" i="11"/>
  <c r="M777" i="11"/>
  <c r="L777" i="11"/>
  <c r="K777" i="11"/>
  <c r="I777" i="11"/>
  <c r="H777" i="11"/>
  <c r="G777" i="11"/>
  <c r="F777" i="11"/>
  <c r="D777" i="11"/>
  <c r="C777" i="11"/>
  <c r="B777" i="11"/>
  <c r="A777" i="11"/>
  <c r="T776" i="11"/>
  <c r="S776" i="11"/>
  <c r="R776" i="11"/>
  <c r="Q776" i="11"/>
  <c r="P776" i="11"/>
  <c r="O776" i="11"/>
  <c r="M776" i="11"/>
  <c r="L776" i="11"/>
  <c r="K776" i="11"/>
  <c r="I776" i="11"/>
  <c r="H776" i="11"/>
  <c r="G776" i="11"/>
  <c r="F776" i="11"/>
  <c r="D776" i="11"/>
  <c r="C776" i="11"/>
  <c r="B776" i="11"/>
  <c r="A776" i="11"/>
  <c r="T775" i="11"/>
  <c r="S775" i="11"/>
  <c r="R775" i="11"/>
  <c r="Q775" i="11"/>
  <c r="P775" i="11"/>
  <c r="O775" i="11"/>
  <c r="M775" i="11"/>
  <c r="L775" i="11"/>
  <c r="K775" i="11"/>
  <c r="I775" i="11"/>
  <c r="H775" i="11"/>
  <c r="G775" i="11"/>
  <c r="F775" i="11"/>
  <c r="D775" i="11"/>
  <c r="C775" i="11"/>
  <c r="B775" i="11"/>
  <c r="A775" i="11"/>
  <c r="T774" i="11"/>
  <c r="S774" i="11"/>
  <c r="R774" i="11"/>
  <c r="Q774" i="11"/>
  <c r="P774" i="11"/>
  <c r="O774" i="11"/>
  <c r="M774" i="11"/>
  <c r="L774" i="11"/>
  <c r="K774" i="11"/>
  <c r="I774" i="11"/>
  <c r="H774" i="11"/>
  <c r="G774" i="11"/>
  <c r="F774" i="11"/>
  <c r="D774" i="11"/>
  <c r="C774" i="11"/>
  <c r="B774" i="11"/>
  <c r="A774" i="11"/>
  <c r="T773" i="11"/>
  <c r="S773" i="11"/>
  <c r="R773" i="11"/>
  <c r="Q773" i="11"/>
  <c r="P773" i="11"/>
  <c r="O773" i="11"/>
  <c r="M773" i="11"/>
  <c r="L773" i="11"/>
  <c r="K773" i="11"/>
  <c r="I773" i="11"/>
  <c r="H773" i="11"/>
  <c r="G773" i="11"/>
  <c r="F773" i="11"/>
  <c r="D773" i="11"/>
  <c r="C773" i="11"/>
  <c r="B773" i="11"/>
  <c r="A773" i="11"/>
  <c r="T772" i="11"/>
  <c r="S772" i="11"/>
  <c r="R772" i="11"/>
  <c r="Q772" i="11"/>
  <c r="P772" i="11"/>
  <c r="O772" i="11"/>
  <c r="M772" i="11"/>
  <c r="L772" i="11"/>
  <c r="K772" i="11"/>
  <c r="I772" i="11"/>
  <c r="H772" i="11"/>
  <c r="G772" i="11"/>
  <c r="F772" i="11"/>
  <c r="D772" i="11"/>
  <c r="C772" i="11"/>
  <c r="B772" i="11"/>
  <c r="A772" i="11"/>
  <c r="T771" i="11"/>
  <c r="S771" i="11"/>
  <c r="R771" i="11"/>
  <c r="Q771" i="11"/>
  <c r="P771" i="11"/>
  <c r="O771" i="11"/>
  <c r="M771" i="11"/>
  <c r="L771" i="11"/>
  <c r="K771" i="11"/>
  <c r="I771" i="11"/>
  <c r="H771" i="11"/>
  <c r="G771" i="11"/>
  <c r="F771" i="11"/>
  <c r="D771" i="11"/>
  <c r="C771" i="11"/>
  <c r="B771" i="11"/>
  <c r="A771" i="11"/>
  <c r="T770" i="11"/>
  <c r="S770" i="11"/>
  <c r="R770" i="11"/>
  <c r="Q770" i="11"/>
  <c r="P770" i="11"/>
  <c r="O770" i="11"/>
  <c r="M770" i="11"/>
  <c r="L770" i="11"/>
  <c r="K770" i="11"/>
  <c r="I770" i="11"/>
  <c r="H770" i="11"/>
  <c r="G770" i="11"/>
  <c r="F770" i="11"/>
  <c r="D770" i="11"/>
  <c r="C770" i="11"/>
  <c r="B770" i="11"/>
  <c r="A770" i="11"/>
  <c r="T769" i="11"/>
  <c r="S769" i="11"/>
  <c r="R769" i="11"/>
  <c r="Q769" i="11"/>
  <c r="P769" i="11"/>
  <c r="O769" i="11"/>
  <c r="M769" i="11"/>
  <c r="L769" i="11"/>
  <c r="K769" i="11"/>
  <c r="I769" i="11"/>
  <c r="H769" i="11"/>
  <c r="G769" i="11"/>
  <c r="F769" i="11"/>
  <c r="D769" i="11"/>
  <c r="C769" i="11"/>
  <c r="B769" i="11"/>
  <c r="A769" i="11"/>
  <c r="T768" i="11"/>
  <c r="S768" i="11"/>
  <c r="R768" i="11"/>
  <c r="Q768" i="11"/>
  <c r="P768" i="11"/>
  <c r="O768" i="11"/>
  <c r="M768" i="11"/>
  <c r="L768" i="11"/>
  <c r="K768" i="11"/>
  <c r="I768" i="11"/>
  <c r="H768" i="11"/>
  <c r="G768" i="11"/>
  <c r="F768" i="11"/>
  <c r="D768" i="11"/>
  <c r="C768" i="11"/>
  <c r="B768" i="11"/>
  <c r="A768" i="11"/>
  <c r="T767" i="11"/>
  <c r="S767" i="11"/>
  <c r="R767" i="11"/>
  <c r="Q767" i="11"/>
  <c r="P767" i="11"/>
  <c r="O767" i="11"/>
  <c r="M767" i="11"/>
  <c r="L767" i="11"/>
  <c r="K767" i="11"/>
  <c r="I767" i="11"/>
  <c r="H767" i="11"/>
  <c r="G767" i="11"/>
  <c r="F767" i="11"/>
  <c r="D767" i="11"/>
  <c r="C767" i="11"/>
  <c r="B767" i="11"/>
  <c r="A767" i="11"/>
  <c r="T766" i="11"/>
  <c r="S766" i="11"/>
  <c r="R766" i="11"/>
  <c r="Q766" i="11"/>
  <c r="P766" i="11"/>
  <c r="O766" i="11"/>
  <c r="M766" i="11"/>
  <c r="L766" i="11"/>
  <c r="K766" i="11"/>
  <c r="I766" i="11"/>
  <c r="H766" i="11"/>
  <c r="G766" i="11"/>
  <c r="F766" i="11"/>
  <c r="D766" i="11"/>
  <c r="C766" i="11"/>
  <c r="B766" i="11"/>
  <c r="A766" i="11"/>
  <c r="T765" i="11"/>
  <c r="S765" i="11"/>
  <c r="R765" i="11"/>
  <c r="Q765" i="11"/>
  <c r="P765" i="11"/>
  <c r="O765" i="11"/>
  <c r="M765" i="11"/>
  <c r="L765" i="11"/>
  <c r="K765" i="11"/>
  <c r="I765" i="11"/>
  <c r="H765" i="11"/>
  <c r="G765" i="11"/>
  <c r="F765" i="11"/>
  <c r="D765" i="11"/>
  <c r="C765" i="11"/>
  <c r="B765" i="11"/>
  <c r="A765" i="11"/>
  <c r="T764" i="11"/>
  <c r="S764" i="11"/>
  <c r="R764" i="11"/>
  <c r="Q764" i="11"/>
  <c r="P764" i="11"/>
  <c r="O764" i="11"/>
  <c r="M764" i="11"/>
  <c r="L764" i="11"/>
  <c r="K764" i="11"/>
  <c r="I764" i="11"/>
  <c r="H764" i="11"/>
  <c r="G764" i="11"/>
  <c r="F764" i="11"/>
  <c r="D764" i="11"/>
  <c r="C764" i="11"/>
  <c r="B764" i="11"/>
  <c r="A764" i="11"/>
  <c r="T763" i="11"/>
  <c r="S763" i="11"/>
  <c r="R763" i="11"/>
  <c r="Q763" i="11"/>
  <c r="P763" i="11"/>
  <c r="O763" i="11"/>
  <c r="M763" i="11"/>
  <c r="L763" i="11"/>
  <c r="K763" i="11"/>
  <c r="I763" i="11"/>
  <c r="H763" i="11"/>
  <c r="G763" i="11"/>
  <c r="F763" i="11"/>
  <c r="D763" i="11"/>
  <c r="C763" i="11"/>
  <c r="B763" i="11"/>
  <c r="A763" i="11"/>
  <c r="T762" i="11"/>
  <c r="S762" i="11"/>
  <c r="R762" i="11"/>
  <c r="Q762" i="11"/>
  <c r="P762" i="11"/>
  <c r="O762" i="11"/>
  <c r="M762" i="11"/>
  <c r="L762" i="11"/>
  <c r="K762" i="11"/>
  <c r="I762" i="11"/>
  <c r="H762" i="11"/>
  <c r="G762" i="11"/>
  <c r="F762" i="11"/>
  <c r="D762" i="11"/>
  <c r="C762" i="11"/>
  <c r="B762" i="11"/>
  <c r="A762" i="11"/>
  <c r="T761" i="11"/>
  <c r="S761" i="11"/>
  <c r="R761" i="11"/>
  <c r="Q761" i="11"/>
  <c r="P761" i="11"/>
  <c r="O761" i="11"/>
  <c r="M761" i="11"/>
  <c r="L761" i="11"/>
  <c r="K761" i="11"/>
  <c r="I761" i="11"/>
  <c r="H761" i="11"/>
  <c r="G761" i="11"/>
  <c r="F761" i="11"/>
  <c r="D761" i="11"/>
  <c r="C761" i="11"/>
  <c r="B761" i="11"/>
  <c r="A761" i="11"/>
  <c r="T760" i="11"/>
  <c r="S760" i="11"/>
  <c r="R760" i="11"/>
  <c r="Q760" i="11"/>
  <c r="P760" i="11"/>
  <c r="M760" i="11"/>
  <c r="L760" i="11"/>
  <c r="K760" i="11"/>
  <c r="H760" i="11"/>
  <c r="G760" i="11"/>
  <c r="F760" i="11"/>
  <c r="C760" i="11"/>
  <c r="B760" i="11"/>
  <c r="A760" i="11"/>
  <c r="T759" i="11"/>
  <c r="S759" i="11"/>
  <c r="R759" i="11"/>
  <c r="Q759" i="11"/>
  <c r="P759" i="11"/>
  <c r="O759" i="11"/>
  <c r="M759" i="11"/>
  <c r="L759" i="11"/>
  <c r="K759" i="11"/>
  <c r="H759" i="11"/>
  <c r="G759" i="11"/>
  <c r="F759" i="11"/>
  <c r="C759" i="11"/>
  <c r="A759" i="11"/>
  <c r="T758" i="11"/>
  <c r="S758" i="11"/>
  <c r="R758" i="11"/>
  <c r="Q758" i="11"/>
  <c r="P758" i="11"/>
  <c r="O758" i="11"/>
  <c r="M758" i="11"/>
  <c r="L758" i="11"/>
  <c r="K758" i="11"/>
  <c r="I758" i="11"/>
  <c r="H758" i="11"/>
  <c r="G758" i="11"/>
  <c r="F758" i="11"/>
  <c r="D758" i="11"/>
  <c r="C758" i="11"/>
  <c r="B758" i="11"/>
  <c r="A758" i="11"/>
  <c r="T757" i="11"/>
  <c r="S757" i="11"/>
  <c r="R757" i="11"/>
  <c r="Q757" i="11"/>
  <c r="P757" i="11"/>
  <c r="O757" i="11"/>
  <c r="M757" i="11"/>
  <c r="L757" i="11"/>
  <c r="K757" i="11"/>
  <c r="I757" i="11"/>
  <c r="H757" i="11"/>
  <c r="G757" i="11"/>
  <c r="F757" i="11"/>
  <c r="D757" i="11"/>
  <c r="C757" i="11"/>
  <c r="B757" i="11"/>
  <c r="A757" i="11"/>
  <c r="T756" i="11"/>
  <c r="S756" i="11"/>
  <c r="R756" i="11"/>
  <c r="Q756" i="11"/>
  <c r="P756" i="11"/>
  <c r="O756" i="11"/>
  <c r="M756" i="11"/>
  <c r="L756" i="11"/>
  <c r="K756" i="11"/>
  <c r="H756" i="11"/>
  <c r="G756" i="11"/>
  <c r="F756" i="11"/>
  <c r="C756" i="11"/>
  <c r="B756" i="11"/>
  <c r="A756" i="11"/>
  <c r="T755" i="11"/>
  <c r="S755" i="11"/>
  <c r="R755" i="11"/>
  <c r="Q755" i="11"/>
  <c r="P755" i="11"/>
  <c r="M755" i="11"/>
  <c r="L755" i="11"/>
  <c r="K755" i="11"/>
  <c r="H755" i="11"/>
  <c r="G755" i="11"/>
  <c r="F755" i="11"/>
  <c r="D755" i="11"/>
  <c r="C755" i="11"/>
  <c r="B755" i="11"/>
  <c r="A755" i="11"/>
  <c r="T754" i="11"/>
  <c r="S754" i="11"/>
  <c r="R754" i="11"/>
  <c r="Q754" i="11"/>
  <c r="P754" i="11"/>
  <c r="O754" i="11"/>
  <c r="M754" i="11"/>
  <c r="L754" i="11"/>
  <c r="K754" i="11"/>
  <c r="I754" i="11"/>
  <c r="H754" i="11"/>
  <c r="G754" i="11"/>
  <c r="F754" i="11"/>
  <c r="D754" i="11"/>
  <c r="C754" i="11"/>
  <c r="B754" i="11"/>
  <c r="A754" i="11"/>
  <c r="T753" i="11"/>
  <c r="S753" i="11"/>
  <c r="R753" i="11"/>
  <c r="Q753" i="11"/>
  <c r="P753" i="11"/>
  <c r="M753" i="11"/>
  <c r="L753" i="11"/>
  <c r="K753" i="11"/>
  <c r="H753" i="11"/>
  <c r="G753" i="11"/>
  <c r="F753" i="11"/>
  <c r="D753" i="11"/>
  <c r="C753" i="11"/>
  <c r="B753" i="11"/>
  <c r="A753" i="11"/>
  <c r="T752" i="11"/>
  <c r="S752" i="11"/>
  <c r="R752" i="11"/>
  <c r="Q752" i="11"/>
  <c r="P752" i="11"/>
  <c r="M752" i="11"/>
  <c r="L752" i="11"/>
  <c r="K752" i="11"/>
  <c r="H752" i="11"/>
  <c r="G752" i="11"/>
  <c r="F752" i="11"/>
  <c r="C752" i="11"/>
  <c r="B752" i="11"/>
  <c r="A752" i="11"/>
  <c r="T751" i="11"/>
  <c r="S751" i="11"/>
  <c r="R751" i="11"/>
  <c r="Q751" i="11"/>
  <c r="P751" i="11"/>
  <c r="O751" i="11"/>
  <c r="M751" i="11"/>
  <c r="L751" i="11"/>
  <c r="K751" i="11"/>
  <c r="I751" i="11"/>
  <c r="H751" i="11"/>
  <c r="G751" i="11"/>
  <c r="F751" i="11"/>
  <c r="D751" i="11"/>
  <c r="C751" i="11"/>
  <c r="A751" i="11"/>
  <c r="T750" i="11"/>
  <c r="S750" i="11"/>
  <c r="R750" i="11"/>
  <c r="Q750" i="11"/>
  <c r="P750" i="11"/>
  <c r="O750" i="11"/>
  <c r="M750" i="11"/>
  <c r="L750" i="11"/>
  <c r="K750" i="11"/>
  <c r="I750" i="11"/>
  <c r="H750" i="11"/>
  <c r="G750" i="11"/>
  <c r="F750" i="11"/>
  <c r="D750" i="11"/>
  <c r="C750" i="11"/>
  <c r="A750" i="11"/>
  <c r="T749" i="11"/>
  <c r="S749" i="11"/>
  <c r="R749" i="11"/>
  <c r="Q749" i="11"/>
  <c r="P749" i="11"/>
  <c r="O749" i="11"/>
  <c r="M749" i="11"/>
  <c r="L749" i="11"/>
  <c r="K749" i="11"/>
  <c r="I749" i="11"/>
  <c r="H749" i="11"/>
  <c r="G749" i="11"/>
  <c r="F749" i="11"/>
  <c r="D749" i="11"/>
  <c r="C749" i="11"/>
  <c r="B749" i="11"/>
  <c r="A749" i="11"/>
  <c r="T748" i="11"/>
  <c r="S748" i="11"/>
  <c r="R748" i="11"/>
  <c r="Q748" i="11"/>
  <c r="P748" i="11"/>
  <c r="O748" i="11"/>
  <c r="M748" i="11"/>
  <c r="L748" i="11"/>
  <c r="K748" i="11"/>
  <c r="I748" i="11"/>
  <c r="H748" i="11"/>
  <c r="G748" i="11"/>
  <c r="F748" i="11"/>
  <c r="D748" i="11"/>
  <c r="C748" i="11"/>
  <c r="B748" i="11"/>
  <c r="A748" i="11"/>
  <c r="T747" i="11"/>
  <c r="S747" i="11"/>
  <c r="R747" i="11"/>
  <c r="Q747" i="11"/>
  <c r="P747" i="11"/>
  <c r="O747" i="11"/>
  <c r="M747" i="11"/>
  <c r="L747" i="11"/>
  <c r="K747" i="11"/>
  <c r="I747" i="11"/>
  <c r="H747" i="11"/>
  <c r="G747" i="11"/>
  <c r="F747" i="11"/>
  <c r="D747" i="11"/>
  <c r="C747" i="11"/>
  <c r="B747" i="11"/>
  <c r="A747" i="11"/>
  <c r="T746" i="11"/>
  <c r="S746" i="11"/>
  <c r="R746" i="11"/>
  <c r="Q746" i="11"/>
  <c r="P746" i="11"/>
  <c r="O746" i="11"/>
  <c r="M746" i="11"/>
  <c r="L746" i="11"/>
  <c r="K746" i="11"/>
  <c r="I746" i="11"/>
  <c r="H746" i="11"/>
  <c r="G746" i="11"/>
  <c r="F746" i="11"/>
  <c r="D746" i="11"/>
  <c r="C746" i="11"/>
  <c r="B746" i="11"/>
  <c r="A746" i="11"/>
  <c r="T745" i="11"/>
  <c r="S745" i="11"/>
  <c r="R745" i="11"/>
  <c r="Q745" i="11"/>
  <c r="P745" i="11"/>
  <c r="O745" i="11"/>
  <c r="M745" i="11"/>
  <c r="L745" i="11"/>
  <c r="K745" i="11"/>
  <c r="I745" i="11"/>
  <c r="H745" i="11"/>
  <c r="G745" i="11"/>
  <c r="F745" i="11"/>
  <c r="D745" i="11"/>
  <c r="C745" i="11"/>
  <c r="B745" i="11"/>
  <c r="A745" i="11"/>
  <c r="T744" i="11"/>
  <c r="S744" i="11"/>
  <c r="R744" i="11"/>
  <c r="Q744" i="11"/>
  <c r="P744" i="11"/>
  <c r="O744" i="11"/>
  <c r="M744" i="11"/>
  <c r="L744" i="11"/>
  <c r="K744" i="11"/>
  <c r="I744" i="11"/>
  <c r="H744" i="11"/>
  <c r="G744" i="11"/>
  <c r="F744" i="11"/>
  <c r="D744" i="11"/>
  <c r="C744" i="11"/>
  <c r="B744" i="11"/>
  <c r="A744" i="11"/>
  <c r="T743" i="11"/>
  <c r="S743" i="11"/>
  <c r="R743" i="11"/>
  <c r="Q743" i="11"/>
  <c r="P743" i="11"/>
  <c r="O743" i="11"/>
  <c r="M743" i="11"/>
  <c r="L743" i="11"/>
  <c r="K743" i="11"/>
  <c r="I743" i="11"/>
  <c r="H743" i="11"/>
  <c r="G743" i="11"/>
  <c r="F743" i="11"/>
  <c r="D743" i="11"/>
  <c r="C743" i="11"/>
  <c r="B743" i="11"/>
  <c r="A743" i="11"/>
  <c r="T742" i="11"/>
  <c r="S742" i="11"/>
  <c r="R742" i="11"/>
  <c r="Q742" i="11"/>
  <c r="P742" i="11"/>
  <c r="O742" i="11"/>
  <c r="M742" i="11"/>
  <c r="L742" i="11"/>
  <c r="K742" i="11"/>
  <c r="I742" i="11"/>
  <c r="H742" i="11"/>
  <c r="G742" i="11"/>
  <c r="F742" i="11"/>
  <c r="D742" i="11"/>
  <c r="C742" i="11"/>
  <c r="B742" i="11"/>
  <c r="A742" i="11"/>
  <c r="T741" i="11"/>
  <c r="S741" i="11"/>
  <c r="R741" i="11"/>
  <c r="Q741" i="11"/>
  <c r="P741" i="11"/>
  <c r="O741" i="11"/>
  <c r="M741" i="11"/>
  <c r="L741" i="11"/>
  <c r="K741" i="11"/>
  <c r="I741" i="11"/>
  <c r="H741" i="11"/>
  <c r="G741" i="11"/>
  <c r="F741" i="11"/>
  <c r="D741" i="11"/>
  <c r="C741" i="11"/>
  <c r="B741" i="11"/>
  <c r="A741" i="11"/>
  <c r="T740" i="11"/>
  <c r="S740" i="11"/>
  <c r="R740" i="11"/>
  <c r="Q740" i="11"/>
  <c r="P740" i="11"/>
  <c r="O740" i="11"/>
  <c r="M740" i="11"/>
  <c r="L740" i="11"/>
  <c r="K740" i="11"/>
  <c r="I740" i="11"/>
  <c r="H740" i="11"/>
  <c r="G740" i="11"/>
  <c r="F740" i="11"/>
  <c r="D740" i="11"/>
  <c r="C740" i="11"/>
  <c r="B740" i="11"/>
  <c r="A740" i="11"/>
  <c r="T739" i="11"/>
  <c r="S739" i="11"/>
  <c r="R739" i="11"/>
  <c r="Q739" i="11"/>
  <c r="P739" i="11"/>
  <c r="O739" i="11"/>
  <c r="M739" i="11"/>
  <c r="L739" i="11"/>
  <c r="K739" i="11"/>
  <c r="I739" i="11"/>
  <c r="H739" i="11"/>
  <c r="G739" i="11"/>
  <c r="F739" i="11"/>
  <c r="D739" i="11"/>
  <c r="C739" i="11"/>
  <c r="B739" i="11"/>
  <c r="A739" i="11"/>
  <c r="T738" i="11"/>
  <c r="S738" i="11"/>
  <c r="R738" i="11"/>
  <c r="Q738" i="11"/>
  <c r="P738" i="11"/>
  <c r="O738" i="11"/>
  <c r="M738" i="11"/>
  <c r="L738" i="11"/>
  <c r="K738" i="11"/>
  <c r="I738" i="11"/>
  <c r="H738" i="11"/>
  <c r="G738" i="11"/>
  <c r="F738" i="11"/>
  <c r="D738" i="11"/>
  <c r="C738" i="11"/>
  <c r="B738" i="11"/>
  <c r="A738" i="11"/>
  <c r="T737" i="11"/>
  <c r="S737" i="11"/>
  <c r="R737" i="11"/>
  <c r="Q737" i="11"/>
  <c r="P737" i="11"/>
  <c r="O737" i="11"/>
  <c r="M737" i="11"/>
  <c r="L737" i="11"/>
  <c r="K737" i="11"/>
  <c r="I737" i="11"/>
  <c r="H737" i="11"/>
  <c r="G737" i="11"/>
  <c r="F737" i="11"/>
  <c r="D737" i="11"/>
  <c r="C737" i="11"/>
  <c r="B737" i="11"/>
  <c r="A737" i="11"/>
  <c r="T736" i="11"/>
  <c r="S736" i="11"/>
  <c r="R736" i="11"/>
  <c r="Q736" i="11"/>
  <c r="P736" i="11"/>
  <c r="O736" i="11"/>
  <c r="M736" i="11"/>
  <c r="L736" i="11"/>
  <c r="K736" i="11"/>
  <c r="I736" i="11"/>
  <c r="H736" i="11"/>
  <c r="G736" i="11"/>
  <c r="F736" i="11"/>
  <c r="D736" i="11"/>
  <c r="C736" i="11"/>
  <c r="B736" i="11"/>
  <c r="A736" i="11"/>
  <c r="T735" i="11"/>
  <c r="S735" i="11"/>
  <c r="R735" i="11"/>
  <c r="Q735" i="11"/>
  <c r="P735" i="11"/>
  <c r="M735" i="11"/>
  <c r="K735" i="11"/>
  <c r="H735" i="11"/>
  <c r="C735" i="11"/>
  <c r="B735" i="11"/>
  <c r="A735" i="11"/>
  <c r="T734" i="11"/>
  <c r="S734" i="11"/>
  <c r="S815" i="11" s="1"/>
  <c r="R734" i="11"/>
  <c r="Q734" i="11"/>
  <c r="P734" i="11"/>
  <c r="O734" i="11"/>
  <c r="M734" i="11"/>
  <c r="L734" i="11"/>
  <c r="K734" i="11"/>
  <c r="I734" i="11"/>
  <c r="H734" i="11"/>
  <c r="G734" i="11"/>
  <c r="F734" i="11"/>
  <c r="C734" i="11"/>
  <c r="B734" i="11"/>
  <c r="A734" i="11"/>
  <c r="CF730" i="11"/>
  <c r="CE730" i="11"/>
  <c r="CD730" i="11"/>
  <c r="CB730" i="11"/>
  <c r="CA730" i="11"/>
  <c r="BZ730" i="11"/>
  <c r="BY730" i="11"/>
  <c r="BX730" i="11"/>
  <c r="BW730" i="11"/>
  <c r="BU730" i="11"/>
  <c r="BT730" i="11"/>
  <c r="BS730" i="11"/>
  <c r="BR730" i="11"/>
  <c r="BQ730" i="11"/>
  <c r="BP730" i="11"/>
  <c r="BO730" i="11"/>
  <c r="BN730" i="11"/>
  <c r="BM730" i="11"/>
  <c r="BL730" i="11"/>
  <c r="BK730" i="11"/>
  <c r="BF730" i="11"/>
  <c r="BE730" i="11"/>
  <c r="BB730" i="11"/>
  <c r="BA730" i="11"/>
  <c r="AZ730" i="11"/>
  <c r="AY730" i="11"/>
  <c r="AX730" i="11"/>
  <c r="AW730" i="11"/>
  <c r="AV730" i="11"/>
  <c r="AU730" i="11"/>
  <c r="AT730" i="11"/>
  <c r="AS730" i="11"/>
  <c r="AR730" i="11"/>
  <c r="AQ730" i="11"/>
  <c r="AP730" i="11"/>
  <c r="AO730" i="11"/>
  <c r="AN730" i="11"/>
  <c r="AM730" i="11"/>
  <c r="AL730" i="11"/>
  <c r="AK730" i="11"/>
  <c r="AJ730" i="11"/>
  <c r="AI730" i="11"/>
  <c r="AH730" i="11"/>
  <c r="AG730" i="11"/>
  <c r="AF730" i="11"/>
  <c r="AE730" i="11"/>
  <c r="AD730" i="11"/>
  <c r="AC730" i="11"/>
  <c r="AB730" i="11"/>
  <c r="AA730" i="11"/>
  <c r="Z730" i="11"/>
  <c r="Y730" i="11"/>
  <c r="X730" i="11"/>
  <c r="W730" i="11"/>
  <c r="V730" i="11"/>
  <c r="U730" i="11"/>
  <c r="T730" i="11"/>
  <c r="S730" i="11"/>
  <c r="R730" i="11"/>
  <c r="Q730" i="11"/>
  <c r="P730" i="11"/>
  <c r="O730" i="11"/>
  <c r="N730" i="11"/>
  <c r="M730" i="11"/>
  <c r="L730" i="11"/>
  <c r="K730" i="11"/>
  <c r="J730" i="11"/>
  <c r="I730" i="11"/>
  <c r="H730" i="11"/>
  <c r="G730" i="11"/>
  <c r="F730" i="11"/>
  <c r="E730" i="11"/>
  <c r="D730" i="11"/>
  <c r="C730" i="11"/>
  <c r="B730" i="11"/>
  <c r="A730" i="11"/>
  <c r="BR726" i="11"/>
  <c r="BQ726" i="11"/>
  <c r="BP726" i="11"/>
  <c r="BO726" i="11"/>
  <c r="BN726" i="11"/>
  <c r="BM726" i="11"/>
  <c r="BL726" i="11"/>
  <c r="BK726" i="11"/>
  <c r="BJ726" i="11"/>
  <c r="BI726" i="11"/>
  <c r="BH726" i="11"/>
  <c r="BG726" i="11"/>
  <c r="BF726" i="11"/>
  <c r="BE726" i="11"/>
  <c r="BD726" i="11"/>
  <c r="BC726" i="11"/>
  <c r="BB726" i="11"/>
  <c r="BA726" i="11"/>
  <c r="AZ726" i="11"/>
  <c r="AY726" i="11"/>
  <c r="AX726" i="11"/>
  <c r="AW726" i="11"/>
  <c r="AV726" i="11"/>
  <c r="AU726" i="11"/>
  <c r="AT726" i="11"/>
  <c r="AS726" i="11"/>
  <c r="AR726" i="11"/>
  <c r="AQ726" i="11"/>
  <c r="AP726" i="11"/>
  <c r="AO726" i="11"/>
  <c r="AN726" i="11"/>
  <c r="AM726" i="11"/>
  <c r="AL726" i="11"/>
  <c r="AK726" i="11"/>
  <c r="AJ726" i="11"/>
  <c r="AI726" i="11"/>
  <c r="AH726" i="11"/>
  <c r="AG726" i="11"/>
  <c r="AF726" i="11"/>
  <c r="AE726" i="11"/>
  <c r="AD726" i="11"/>
  <c r="AC726" i="11"/>
  <c r="AB726" i="11"/>
  <c r="AA726" i="11"/>
  <c r="Z726" i="11"/>
  <c r="Y726" i="11"/>
  <c r="X726" i="11"/>
  <c r="W726" i="11"/>
  <c r="V726" i="11"/>
  <c r="U726" i="11"/>
  <c r="S726" i="11"/>
  <c r="R726" i="11"/>
  <c r="Q726" i="11"/>
  <c r="P726" i="11"/>
  <c r="O726" i="11"/>
  <c r="N726" i="11"/>
  <c r="M726" i="11"/>
  <c r="L726" i="11"/>
  <c r="K726" i="11"/>
  <c r="J726" i="11"/>
  <c r="I726" i="11"/>
  <c r="H726" i="11"/>
  <c r="G726" i="11"/>
  <c r="F726" i="11"/>
  <c r="E726" i="11"/>
  <c r="D726" i="11"/>
  <c r="C726" i="11"/>
  <c r="B726" i="11"/>
  <c r="A726" i="11"/>
  <c r="CC722" i="11"/>
  <c r="CB722" i="11"/>
  <c r="CA722" i="11"/>
  <c r="BZ722" i="11"/>
  <c r="BY722" i="11"/>
  <c r="BX722" i="11"/>
  <c r="BW722" i="11"/>
  <c r="BV722" i="11"/>
  <c r="BU722" i="11"/>
  <c r="BT722" i="11"/>
  <c r="BS722" i="11"/>
  <c r="BR722" i="11"/>
  <c r="BQ722" i="11"/>
  <c r="BO722" i="11"/>
  <c r="BL722" i="11"/>
  <c r="BI722" i="11"/>
  <c r="BG722" i="11"/>
  <c r="BF722" i="11"/>
  <c r="BE722" i="11"/>
  <c r="BD722" i="11"/>
  <c r="BC722" i="11"/>
  <c r="BB722" i="11"/>
  <c r="AZ722" i="11"/>
  <c r="AW722" i="11"/>
  <c r="AR722" i="11"/>
  <c r="AQ722" i="11"/>
  <c r="AP722" i="11"/>
  <c r="AO722" i="11"/>
  <c r="AN722" i="11"/>
  <c r="AM722" i="11"/>
  <c r="AK722" i="11"/>
  <c r="AH722" i="11"/>
  <c r="AF722" i="11"/>
  <c r="AE722" i="11"/>
  <c r="AD722" i="11"/>
  <c r="AC722" i="11"/>
  <c r="AB722" i="11"/>
  <c r="AA722" i="11"/>
  <c r="Z722" i="11"/>
  <c r="Y722" i="11"/>
  <c r="X722" i="11"/>
  <c r="W722" i="11"/>
  <c r="V722" i="11"/>
  <c r="U722" i="11"/>
  <c r="T722" i="11"/>
  <c r="S722" i="11"/>
  <c r="R722" i="11"/>
  <c r="Q722" i="11"/>
  <c r="P722" i="11"/>
  <c r="O722" i="11"/>
  <c r="N722" i="11"/>
  <c r="M722" i="11"/>
  <c r="L722" i="11"/>
  <c r="K722" i="11"/>
  <c r="J722" i="11"/>
  <c r="I722" i="11"/>
  <c r="H722" i="11"/>
  <c r="F722" i="11"/>
  <c r="E722" i="11"/>
  <c r="D722" i="11"/>
  <c r="B722" i="11"/>
  <c r="A722" i="11"/>
  <c r="F550" i="11"/>
  <c r="E550" i="11"/>
  <c r="E546" i="11"/>
  <c r="E545" i="11"/>
  <c r="H545" i="11"/>
  <c r="E544" i="11"/>
  <c r="F540" i="11"/>
  <c r="E540" i="11"/>
  <c r="H540" i="11"/>
  <c r="E539" i="11"/>
  <c r="H539" i="11"/>
  <c r="E538" i="11"/>
  <c r="F538" i="11"/>
  <c r="E537" i="11"/>
  <c r="F537" i="11"/>
  <c r="E536" i="11"/>
  <c r="H536" i="11"/>
  <c r="E535" i="11"/>
  <c r="H535" i="11"/>
  <c r="E534" i="11"/>
  <c r="F534" i="11"/>
  <c r="E533" i="11"/>
  <c r="F533" i="11"/>
  <c r="E532" i="11"/>
  <c r="H532" i="11"/>
  <c r="E531" i="11"/>
  <c r="H531" i="11"/>
  <c r="H530" i="11"/>
  <c r="E530" i="11"/>
  <c r="F530" i="11"/>
  <c r="H529" i="11"/>
  <c r="E529" i="11"/>
  <c r="F529" i="11"/>
  <c r="F528" i="11"/>
  <c r="E528" i="11"/>
  <c r="H528" i="11"/>
  <c r="E527" i="11"/>
  <c r="H527" i="11"/>
  <c r="H526" i="11"/>
  <c r="E526" i="11"/>
  <c r="F526" i="11"/>
  <c r="E525" i="11"/>
  <c r="F525" i="11"/>
  <c r="F524" i="11"/>
  <c r="E524" i="11"/>
  <c r="E523" i="11"/>
  <c r="E522" i="11"/>
  <c r="F522" i="11"/>
  <c r="F521" i="11"/>
  <c r="E520" i="11"/>
  <c r="F520" i="11"/>
  <c r="H519" i="11"/>
  <c r="E519" i="11"/>
  <c r="F519" i="11"/>
  <c r="E518" i="11"/>
  <c r="F518" i="11"/>
  <c r="E517" i="11"/>
  <c r="H516" i="11"/>
  <c r="E516" i="11"/>
  <c r="F516" i="11"/>
  <c r="H515" i="11"/>
  <c r="E515" i="11"/>
  <c r="F515" i="11"/>
  <c r="F514" i="11"/>
  <c r="E514" i="11"/>
  <c r="H513" i="11"/>
  <c r="F512" i="11"/>
  <c r="H511" i="11"/>
  <c r="E511" i="11"/>
  <c r="F511" i="11"/>
  <c r="E510" i="11"/>
  <c r="H510" i="11"/>
  <c r="E509" i="11"/>
  <c r="E508" i="11"/>
  <c r="F508" i="11"/>
  <c r="H507" i="11"/>
  <c r="E507" i="11"/>
  <c r="F507" i="11"/>
  <c r="E506" i="11"/>
  <c r="H506" i="11"/>
  <c r="E505" i="11"/>
  <c r="H505" i="11"/>
  <c r="E504" i="11"/>
  <c r="F504" i="11"/>
  <c r="E503" i="11"/>
  <c r="F503" i="11"/>
  <c r="E502" i="11"/>
  <c r="H502" i="11"/>
  <c r="E501" i="11"/>
  <c r="H501" i="11"/>
  <c r="H500" i="11"/>
  <c r="E500" i="11"/>
  <c r="F500" i="11"/>
  <c r="E499" i="11"/>
  <c r="F499" i="11"/>
  <c r="E498" i="11"/>
  <c r="F498" i="11"/>
  <c r="E497" i="11"/>
  <c r="H497" i="11"/>
  <c r="E496" i="11"/>
  <c r="F496" i="11"/>
  <c r="G493" i="11"/>
  <c r="E493" i="11"/>
  <c r="C493" i="11"/>
  <c r="A493" i="11"/>
  <c r="B478" i="11"/>
  <c r="B475" i="11"/>
  <c r="B474" i="11"/>
  <c r="B473" i="11"/>
  <c r="B472" i="11"/>
  <c r="B471" i="11"/>
  <c r="B470" i="11"/>
  <c r="B469" i="11"/>
  <c r="B468" i="11"/>
  <c r="C464" i="11"/>
  <c r="B464" i="11"/>
  <c r="C459" i="11"/>
  <c r="B459" i="11"/>
  <c r="B458" i="11"/>
  <c r="B455" i="11"/>
  <c r="B454" i="11"/>
  <c r="B453" i="11"/>
  <c r="C447" i="11"/>
  <c r="C446" i="11"/>
  <c r="C445" i="11"/>
  <c r="C444" i="11"/>
  <c r="B438" i="11"/>
  <c r="D437" i="11"/>
  <c r="B437" i="11"/>
  <c r="B436" i="11"/>
  <c r="B435" i="11"/>
  <c r="B434" i="11"/>
  <c r="B433" i="11"/>
  <c r="B431" i="11"/>
  <c r="B430" i="11"/>
  <c r="B429" i="11"/>
  <c r="B428" i="11"/>
  <c r="B427" i="11"/>
  <c r="D424" i="11"/>
  <c r="B424" i="11"/>
  <c r="B423" i="11"/>
  <c r="D421" i="11"/>
  <c r="B421" i="11"/>
  <c r="B420" i="11"/>
  <c r="D418" i="11"/>
  <c r="B418" i="11"/>
  <c r="B417" i="11"/>
  <c r="D415" i="11"/>
  <c r="B415" i="11"/>
  <c r="B414" i="11"/>
  <c r="A412" i="11"/>
  <c r="C389" i="11"/>
  <c r="C383" i="11"/>
  <c r="D372" i="11"/>
  <c r="D367" i="11"/>
  <c r="C448" i="11" s="1"/>
  <c r="C359" i="11"/>
  <c r="B463" i="11" s="1"/>
  <c r="D329" i="11"/>
  <c r="D328" i="11"/>
  <c r="D319" i="11"/>
  <c r="D314" i="11"/>
  <c r="D290" i="11"/>
  <c r="D283" i="11"/>
  <c r="D275" i="11"/>
  <c r="D277" i="11" s="1"/>
  <c r="D265" i="11"/>
  <c r="D260" i="11"/>
  <c r="D240" i="11"/>
  <c r="B447" i="11" s="1"/>
  <c r="D236" i="11"/>
  <c r="B446" i="11" s="1"/>
  <c r="D229" i="11"/>
  <c r="B445" i="11" s="1"/>
  <c r="D221" i="11"/>
  <c r="B444" i="11" s="1"/>
  <c r="C217" i="11"/>
  <c r="D433" i="11" s="1"/>
  <c r="E216" i="11"/>
  <c r="D215" i="11"/>
  <c r="B215" i="11"/>
  <c r="BN722" i="11" s="1"/>
  <c r="D214" i="11"/>
  <c r="BM722" i="11" s="1"/>
  <c r="B214" i="11"/>
  <c r="BK722" i="11" s="1"/>
  <c r="D213" i="11"/>
  <c r="BJ722" i="11" s="1"/>
  <c r="B213" i="11"/>
  <c r="BH722" i="11" s="1"/>
  <c r="E212" i="11"/>
  <c r="E211" i="11"/>
  <c r="D210" i="11"/>
  <c r="BA722" i="11" s="1"/>
  <c r="B210" i="11"/>
  <c r="AY722" i="11" s="1"/>
  <c r="D209" i="11"/>
  <c r="AX722" i="11" s="1"/>
  <c r="B209" i="11"/>
  <c r="AV722" i="11" s="1"/>
  <c r="C204" i="11"/>
  <c r="E203" i="11"/>
  <c r="C475" i="11" s="1"/>
  <c r="E202" i="11"/>
  <c r="C474" i="11" s="1"/>
  <c r="D201" i="11"/>
  <c r="B201" i="11"/>
  <c r="AJ722" i="11" s="1"/>
  <c r="D200" i="11"/>
  <c r="AI722" i="11" s="1"/>
  <c r="B200" i="11"/>
  <c r="AG722" i="11" s="1"/>
  <c r="E199" i="11"/>
  <c r="C472" i="11" s="1"/>
  <c r="E198" i="11"/>
  <c r="C471" i="11" s="1"/>
  <c r="E197" i="11"/>
  <c r="C470" i="11" s="1"/>
  <c r="E196" i="11"/>
  <c r="C469" i="11" s="1"/>
  <c r="E195" i="11"/>
  <c r="C468" i="11" s="1"/>
  <c r="D190" i="11"/>
  <c r="D186" i="11"/>
  <c r="D436" i="11" s="1"/>
  <c r="D181" i="11"/>
  <c r="D435" i="11" s="1"/>
  <c r="D177" i="11"/>
  <c r="D434" i="11" s="1"/>
  <c r="C170" i="11"/>
  <c r="G722" i="11" s="1"/>
  <c r="C166" i="11"/>
  <c r="E154" i="11"/>
  <c r="E153" i="11"/>
  <c r="E152" i="11"/>
  <c r="E151" i="11"/>
  <c r="C421" i="11" s="1"/>
  <c r="E150" i="11"/>
  <c r="C420" i="11" s="1"/>
  <c r="E148" i="11"/>
  <c r="E147" i="11"/>
  <c r="E146" i="11"/>
  <c r="E145" i="11"/>
  <c r="C418" i="11" s="1"/>
  <c r="E144" i="11"/>
  <c r="C417" i="11" s="1"/>
  <c r="E142" i="11"/>
  <c r="D464" i="11" s="1"/>
  <c r="E141" i="11"/>
  <c r="E140" i="11"/>
  <c r="E139" i="11"/>
  <c r="C415" i="11" s="1"/>
  <c r="E138" i="11"/>
  <c r="C414" i="11" s="1"/>
  <c r="E127" i="11"/>
  <c r="CE80" i="11"/>
  <c r="CF79" i="11"/>
  <c r="CE79" i="11"/>
  <c r="S816" i="11" s="1"/>
  <c r="CE78" i="11"/>
  <c r="CE77" i="11"/>
  <c r="Q816" i="11" s="1"/>
  <c r="CE76" i="11"/>
  <c r="AV75" i="11"/>
  <c r="N779" i="11" s="1"/>
  <c r="AU75" i="11"/>
  <c r="N778" i="11" s="1"/>
  <c r="AT75" i="11"/>
  <c r="N777" i="11" s="1"/>
  <c r="AS75" i="11"/>
  <c r="N776" i="11" s="1"/>
  <c r="AR75" i="11"/>
  <c r="N775" i="11" s="1"/>
  <c r="AQ75" i="11"/>
  <c r="N774" i="11" s="1"/>
  <c r="AP75" i="11"/>
  <c r="N773" i="11" s="1"/>
  <c r="AO75" i="11"/>
  <c r="N772" i="11" s="1"/>
  <c r="AN75" i="11"/>
  <c r="N771" i="11" s="1"/>
  <c r="AM75" i="11"/>
  <c r="N770" i="11" s="1"/>
  <c r="AL75" i="11"/>
  <c r="N769" i="11" s="1"/>
  <c r="AK75" i="11"/>
  <c r="N768" i="11" s="1"/>
  <c r="AJ75" i="11"/>
  <c r="N767" i="11" s="1"/>
  <c r="AI75" i="11"/>
  <c r="N766" i="11" s="1"/>
  <c r="AH75" i="11"/>
  <c r="N765" i="11" s="1"/>
  <c r="AG75" i="11"/>
  <c r="N764" i="11" s="1"/>
  <c r="AF75" i="11"/>
  <c r="N763" i="11" s="1"/>
  <c r="AE75" i="11"/>
  <c r="N762" i="11" s="1"/>
  <c r="AD75" i="11"/>
  <c r="N761" i="11" s="1"/>
  <c r="AB75" i="11"/>
  <c r="N759" i="11" s="1"/>
  <c r="AA75" i="11"/>
  <c r="N758" i="11" s="1"/>
  <c r="Z75" i="11"/>
  <c r="N757" i="11" s="1"/>
  <c r="Y75" i="11"/>
  <c r="N756" i="11" s="1"/>
  <c r="W75" i="11"/>
  <c r="N754" i="11" s="1"/>
  <c r="T75" i="11"/>
  <c r="N751" i="11" s="1"/>
  <c r="S75" i="11"/>
  <c r="N750" i="11" s="1"/>
  <c r="R75" i="11"/>
  <c r="N749" i="11" s="1"/>
  <c r="Q75" i="11"/>
  <c r="N748" i="11" s="1"/>
  <c r="P75" i="11"/>
  <c r="N747" i="11" s="1"/>
  <c r="O75" i="11"/>
  <c r="N746" i="11" s="1"/>
  <c r="N75" i="11"/>
  <c r="N745" i="11" s="1"/>
  <c r="M75" i="11"/>
  <c r="N744" i="11" s="1"/>
  <c r="L75" i="11"/>
  <c r="N743" i="11" s="1"/>
  <c r="K75" i="11"/>
  <c r="N742" i="11" s="1"/>
  <c r="J75" i="11"/>
  <c r="N741" i="11" s="1"/>
  <c r="I75" i="11"/>
  <c r="N740" i="11" s="1"/>
  <c r="H75" i="11"/>
  <c r="N739" i="11" s="1"/>
  <c r="G75" i="11"/>
  <c r="N738" i="11" s="1"/>
  <c r="F75" i="11"/>
  <c r="N737" i="11" s="1"/>
  <c r="E75" i="11"/>
  <c r="N736" i="11" s="1"/>
  <c r="C75" i="11"/>
  <c r="N734" i="11" s="1"/>
  <c r="CE74" i="11"/>
  <c r="AC73" i="11"/>
  <c r="O760" i="11" s="1"/>
  <c r="X73" i="11"/>
  <c r="V73" i="11"/>
  <c r="O753" i="11" s="1"/>
  <c r="U73" i="11"/>
  <c r="O752" i="11" s="1"/>
  <c r="D73" i="11"/>
  <c r="O735" i="11" s="1"/>
  <c r="CE70" i="11"/>
  <c r="CD69" i="11"/>
  <c r="CD71" i="11" s="1"/>
  <c r="C575" i="11" s="1"/>
  <c r="CC69" i="11"/>
  <c r="L812" i="11" s="1"/>
  <c r="BN69" i="11"/>
  <c r="L797" i="11" s="1"/>
  <c r="BL69" i="11"/>
  <c r="L795" i="11" s="1"/>
  <c r="BF69" i="11"/>
  <c r="L789" i="11" s="1"/>
  <c r="BE69" i="11"/>
  <c r="L788" i="11" s="1"/>
  <c r="AY69" i="11"/>
  <c r="L782" i="11" s="1"/>
  <c r="D69" i="11"/>
  <c r="BD68" i="11"/>
  <c r="K787" i="11" s="1"/>
  <c r="CC66" i="11"/>
  <c r="I812" i="11" s="1"/>
  <c r="BV66" i="11"/>
  <c r="I805" i="11" s="1"/>
  <c r="BE66" i="11"/>
  <c r="I788" i="11" s="1"/>
  <c r="AC66" i="11"/>
  <c r="I760" i="11" s="1"/>
  <c r="AB66" i="11"/>
  <c r="I759" i="11" s="1"/>
  <c r="Y66" i="11"/>
  <c r="I756" i="11" s="1"/>
  <c r="X66" i="11"/>
  <c r="I755" i="11" s="1"/>
  <c r="V66" i="11"/>
  <c r="I753" i="11" s="1"/>
  <c r="U66" i="11"/>
  <c r="I752" i="11" s="1"/>
  <c r="D66" i="11"/>
  <c r="I735" i="11" s="1"/>
  <c r="CC65" i="11"/>
  <c r="H812" i="11" s="1"/>
  <c r="BI64" i="11"/>
  <c r="G792" i="11" s="1"/>
  <c r="BF64" i="11"/>
  <c r="G789" i="11" s="1"/>
  <c r="BE64" i="11"/>
  <c r="G788" i="11" s="1"/>
  <c r="BD64" i="11"/>
  <c r="G787" i="11" s="1"/>
  <c r="AY64" i="11"/>
  <c r="G782" i="11" s="1"/>
  <c r="D64" i="11"/>
  <c r="G735" i="11" s="1"/>
  <c r="CC63" i="11"/>
  <c r="F812" i="11" s="1"/>
  <c r="D63" i="11"/>
  <c r="F735" i="11" s="1"/>
  <c r="CC61" i="11"/>
  <c r="D812" i="11" s="1"/>
  <c r="CA61" i="11"/>
  <c r="D810" i="11" s="1"/>
  <c r="BY61" i="11"/>
  <c r="D808" i="11" s="1"/>
  <c r="BX61" i="11"/>
  <c r="BV61" i="11"/>
  <c r="D805" i="11" s="1"/>
  <c r="BN61" i="11"/>
  <c r="D797" i="11" s="1"/>
  <c r="BL61" i="11"/>
  <c r="BJ61" i="11"/>
  <c r="BI61" i="11"/>
  <c r="D792" i="11" s="1"/>
  <c r="BF61" i="11"/>
  <c r="D789" i="11" s="1"/>
  <c r="BD61" i="11"/>
  <c r="AC61" i="11"/>
  <c r="AB61" i="11"/>
  <c r="Y61" i="11"/>
  <c r="D756" i="11" s="1"/>
  <c r="U61" i="11"/>
  <c r="D752" i="11" s="1"/>
  <c r="D61" i="11"/>
  <c r="C61" i="11"/>
  <c r="D734" i="11" s="1"/>
  <c r="CE60" i="11"/>
  <c r="B53" i="11"/>
  <c r="CE51" i="11"/>
  <c r="B49" i="11"/>
  <c r="CC47" i="11"/>
  <c r="CA47" i="11"/>
  <c r="BY47" i="11"/>
  <c r="BX47" i="11"/>
  <c r="BV47" i="11"/>
  <c r="BR47" i="11"/>
  <c r="BN47" i="11"/>
  <c r="BL47" i="11"/>
  <c r="BJ47" i="11"/>
  <c r="BI47" i="11"/>
  <c r="BF47" i="11"/>
  <c r="BD47" i="11"/>
  <c r="AY47" i="11"/>
  <c r="AC47" i="11"/>
  <c r="AB47" i="11"/>
  <c r="Y47" i="11"/>
  <c r="U47" i="11"/>
  <c r="D47" i="11"/>
  <c r="C47" i="11"/>
  <c r="CF77" i="11" l="1"/>
  <c r="D330" i="11"/>
  <c r="D339" i="11" s="1"/>
  <c r="C482" i="11" s="1"/>
  <c r="G612" i="11"/>
  <c r="Q815" i="11"/>
  <c r="C815" i="11"/>
  <c r="H533" i="11"/>
  <c r="AC75" i="11"/>
  <c r="N760" i="11" s="1"/>
  <c r="D438" i="11"/>
  <c r="H499" i="11"/>
  <c r="H525" i="11"/>
  <c r="H538" i="11"/>
  <c r="D463" i="11"/>
  <c r="D465" i="11" s="1"/>
  <c r="H503" i="11"/>
  <c r="U75" i="11"/>
  <c r="N752" i="11" s="1"/>
  <c r="F506" i="11"/>
  <c r="H508" i="11"/>
  <c r="H520" i="11"/>
  <c r="F545" i="11"/>
  <c r="F513" i="11"/>
  <c r="B476" i="11"/>
  <c r="H504" i="11"/>
  <c r="F532" i="11"/>
  <c r="H534" i="11"/>
  <c r="F546" i="11"/>
  <c r="CE65" i="11"/>
  <c r="H537" i="11"/>
  <c r="D735" i="11"/>
  <c r="CE61" i="11"/>
  <c r="D760" i="11"/>
  <c r="D793" i="11"/>
  <c r="CE47" i="11"/>
  <c r="D787" i="11"/>
  <c r="D795" i="11"/>
  <c r="CE68" i="11"/>
  <c r="U813" i="11"/>
  <c r="U815" i="11" s="1"/>
  <c r="C615" i="11"/>
  <c r="C438" i="11"/>
  <c r="CE73" i="11"/>
  <c r="V75" i="11"/>
  <c r="N753" i="11" s="1"/>
  <c r="AL722" i="11"/>
  <c r="E201" i="11"/>
  <c r="D292" i="11"/>
  <c r="D341" i="11" s="1"/>
  <c r="C481" i="11" s="1"/>
  <c r="F510" i="11"/>
  <c r="D807" i="11"/>
  <c r="H816" i="11"/>
  <c r="C431" i="11"/>
  <c r="P52" i="11"/>
  <c r="P67" i="11" s="1"/>
  <c r="J747" i="11" s="1"/>
  <c r="AB52" i="11"/>
  <c r="AB67" i="11" s="1"/>
  <c r="J759" i="11" s="1"/>
  <c r="AF52" i="11"/>
  <c r="AF67" i="11" s="1"/>
  <c r="J763" i="11" s="1"/>
  <c r="C816" i="11"/>
  <c r="BI730" i="11"/>
  <c r="H612" i="11"/>
  <c r="CE64" i="11"/>
  <c r="L735" i="11"/>
  <c r="C439" i="11"/>
  <c r="CE69" i="11"/>
  <c r="T816" i="11"/>
  <c r="L612" i="11"/>
  <c r="BP722" i="11"/>
  <c r="E215" i="11"/>
  <c r="I817" i="11"/>
  <c r="BV730" i="11"/>
  <c r="D390" i="11"/>
  <c r="B441" i="11" s="1"/>
  <c r="P816" i="11"/>
  <c r="CF76" i="11"/>
  <c r="CB52" i="11" s="1"/>
  <c r="CB67" i="11" s="1"/>
  <c r="J811" i="11" s="1"/>
  <c r="D612" i="11"/>
  <c r="B204" i="11"/>
  <c r="E52" i="11"/>
  <c r="E67" i="11" s="1"/>
  <c r="J736" i="11" s="1"/>
  <c r="I52" i="11"/>
  <c r="I67" i="11" s="1"/>
  <c r="J740" i="11" s="1"/>
  <c r="Y52" i="11"/>
  <c r="Y67" i="11" s="1"/>
  <c r="J756" i="11" s="1"/>
  <c r="AC52" i="11"/>
  <c r="AC67" i="11" s="1"/>
  <c r="J760" i="11" s="1"/>
  <c r="AG52" i="11"/>
  <c r="AG67" i="11" s="1"/>
  <c r="J764" i="11" s="1"/>
  <c r="AK52" i="11"/>
  <c r="AK67" i="11" s="1"/>
  <c r="J768" i="11" s="1"/>
  <c r="AO52" i="11"/>
  <c r="AO67" i="11" s="1"/>
  <c r="J772" i="11" s="1"/>
  <c r="BE52" i="11"/>
  <c r="BE67" i="11" s="1"/>
  <c r="J788" i="11" s="1"/>
  <c r="BI52" i="11"/>
  <c r="BI67" i="11" s="1"/>
  <c r="J792" i="11" s="1"/>
  <c r="BM52" i="11"/>
  <c r="BM67" i="11" s="1"/>
  <c r="J796" i="11" s="1"/>
  <c r="BQ52" i="11"/>
  <c r="BQ67" i="11" s="1"/>
  <c r="J800" i="11" s="1"/>
  <c r="BU52" i="11"/>
  <c r="BU67" i="11" s="1"/>
  <c r="J804" i="11" s="1"/>
  <c r="D759" i="11"/>
  <c r="D815" i="11" s="1"/>
  <c r="CE63" i="11"/>
  <c r="CE66" i="11"/>
  <c r="M816" i="11"/>
  <c r="C458" i="11"/>
  <c r="O755" i="11"/>
  <c r="X75" i="11"/>
  <c r="N755" i="11" s="1"/>
  <c r="R816" i="11"/>
  <c r="I612" i="11"/>
  <c r="C722" i="11"/>
  <c r="D173" i="11"/>
  <c r="D428" i="11" s="1"/>
  <c r="B432" i="11"/>
  <c r="F502" i="11"/>
  <c r="F536" i="11"/>
  <c r="D217" i="11"/>
  <c r="L817" i="11"/>
  <c r="CC730" i="11"/>
  <c r="B439" i="11"/>
  <c r="B440" i="11" s="1"/>
  <c r="F497" i="11"/>
  <c r="F501" i="11"/>
  <c r="F505" i="11"/>
  <c r="F509" i="11"/>
  <c r="F517" i="11"/>
  <c r="F523" i="11"/>
  <c r="F527" i="11"/>
  <c r="F531" i="11"/>
  <c r="F535" i="11"/>
  <c r="F539" i="11"/>
  <c r="F544" i="11"/>
  <c r="CD722" i="11"/>
  <c r="I815" i="11"/>
  <c r="O815" i="11"/>
  <c r="E210" i="11"/>
  <c r="E214" i="11"/>
  <c r="O817" i="11"/>
  <c r="BJ730" i="11"/>
  <c r="D75" i="11"/>
  <c r="N735" i="11" s="1"/>
  <c r="E200" i="11"/>
  <c r="D204" i="11"/>
  <c r="E209" i="11"/>
  <c r="E213" i="11"/>
  <c r="B217" i="11"/>
  <c r="D242" i="11"/>
  <c r="B448" i="11" s="1"/>
  <c r="D361" i="11"/>
  <c r="J612" i="11"/>
  <c r="K815" i="11"/>
  <c r="G815" i="11"/>
  <c r="M815" i="11"/>
  <c r="H815" i="11"/>
  <c r="L815" i="11"/>
  <c r="P815" i="11"/>
  <c r="T815" i="11"/>
  <c r="F815" i="11"/>
  <c r="R815" i="11"/>
  <c r="AR52" i="11" l="1"/>
  <c r="AR67" i="11" s="1"/>
  <c r="J775" i="11" s="1"/>
  <c r="K52" i="11"/>
  <c r="K67" i="11" s="1"/>
  <c r="J742" i="11" s="1"/>
  <c r="BX52" i="11"/>
  <c r="BX67" i="11" s="1"/>
  <c r="J807" i="11" s="1"/>
  <c r="L52" i="11"/>
  <c r="L67" i="11" s="1"/>
  <c r="J743" i="11" s="1"/>
  <c r="BW52" i="11"/>
  <c r="BW67" i="11" s="1"/>
  <c r="J806" i="11" s="1"/>
  <c r="CE75" i="11"/>
  <c r="BA52" i="11"/>
  <c r="BA67" i="11" s="1"/>
  <c r="J784" i="11" s="1"/>
  <c r="U52" i="11"/>
  <c r="U67" i="11" s="1"/>
  <c r="J752" i="11" s="1"/>
  <c r="BL52" i="11"/>
  <c r="BL67" i="11" s="1"/>
  <c r="J795" i="11" s="1"/>
  <c r="BG52" i="11"/>
  <c r="BG67" i="11" s="1"/>
  <c r="J790" i="11" s="1"/>
  <c r="C473" i="11"/>
  <c r="CC52" i="11"/>
  <c r="CC67" i="11" s="1"/>
  <c r="J812" i="11" s="1"/>
  <c r="AW52" i="11"/>
  <c r="AW67" i="11" s="1"/>
  <c r="J780" i="11" s="1"/>
  <c r="Q52" i="11"/>
  <c r="Q67" i="11" s="1"/>
  <c r="J748" i="11" s="1"/>
  <c r="BH52" i="11"/>
  <c r="BH67" i="11" s="1"/>
  <c r="J791" i="11" s="1"/>
  <c r="AQ52" i="11"/>
  <c r="AQ67" i="11" s="1"/>
  <c r="J774" i="11" s="1"/>
  <c r="N815" i="11"/>
  <c r="BY52" i="11"/>
  <c r="BY67" i="11" s="1"/>
  <c r="J808" i="11" s="1"/>
  <c r="AS52" i="11"/>
  <c r="AS67" i="11" s="1"/>
  <c r="J776" i="11" s="1"/>
  <c r="M52" i="11"/>
  <c r="M67" i="11" s="1"/>
  <c r="J744" i="11" s="1"/>
  <c r="AV52" i="11"/>
  <c r="AV67" i="11" s="1"/>
  <c r="J779" i="11" s="1"/>
  <c r="AA52" i="11"/>
  <c r="AA67" i="11" s="1"/>
  <c r="J758" i="11" s="1"/>
  <c r="N816" i="11"/>
  <c r="C465" i="11"/>
  <c r="K612" i="11"/>
  <c r="D816" i="11"/>
  <c r="C427" i="11"/>
  <c r="CA48" i="11"/>
  <c r="CA62" i="11" s="1"/>
  <c r="BW48" i="11"/>
  <c r="BW62" i="11" s="1"/>
  <c r="BS48" i="11"/>
  <c r="BS62" i="11" s="1"/>
  <c r="BO48" i="11"/>
  <c r="BO62" i="11" s="1"/>
  <c r="BK48" i="11"/>
  <c r="BK62" i="11" s="1"/>
  <c r="BG48" i="11"/>
  <c r="BG62" i="11" s="1"/>
  <c r="BC48" i="11"/>
  <c r="BC62" i="11" s="1"/>
  <c r="AY48" i="11"/>
  <c r="AY62" i="11" s="1"/>
  <c r="AU48" i="11"/>
  <c r="AU62" i="11" s="1"/>
  <c r="AQ48" i="11"/>
  <c r="AQ62" i="11" s="1"/>
  <c r="AM48" i="11"/>
  <c r="AM62" i="11" s="1"/>
  <c r="AI48" i="11"/>
  <c r="AI62" i="11" s="1"/>
  <c r="AE48" i="11"/>
  <c r="AE62" i="11" s="1"/>
  <c r="AA48" i="11"/>
  <c r="AA62" i="11" s="1"/>
  <c r="W48" i="11"/>
  <c r="W62" i="11" s="1"/>
  <c r="S48" i="11"/>
  <c r="S62" i="11" s="1"/>
  <c r="O48" i="11"/>
  <c r="O62" i="11" s="1"/>
  <c r="K48" i="11"/>
  <c r="K62" i="11" s="1"/>
  <c r="G48" i="11"/>
  <c r="G62" i="11" s="1"/>
  <c r="C48" i="11"/>
  <c r="BZ48" i="11"/>
  <c r="BZ62" i="11" s="1"/>
  <c r="BV48" i="11"/>
  <c r="BV62" i="11" s="1"/>
  <c r="BR48" i="11"/>
  <c r="BR62" i="11" s="1"/>
  <c r="BN48" i="11"/>
  <c r="BN62" i="11" s="1"/>
  <c r="BJ48" i="11"/>
  <c r="BJ62" i="11" s="1"/>
  <c r="BF48" i="11"/>
  <c r="BF62" i="11" s="1"/>
  <c r="BB48" i="11"/>
  <c r="BB62" i="11" s="1"/>
  <c r="AX48" i="11"/>
  <c r="AX62" i="11" s="1"/>
  <c r="AT48" i="11"/>
  <c r="AT62" i="11" s="1"/>
  <c r="AP48" i="11"/>
  <c r="AP62" i="11" s="1"/>
  <c r="AL48" i="11"/>
  <c r="AL62" i="11" s="1"/>
  <c r="AH48" i="11"/>
  <c r="AH62" i="11" s="1"/>
  <c r="AD48" i="11"/>
  <c r="AD62" i="11" s="1"/>
  <c r="Z48" i="11"/>
  <c r="Z62" i="11" s="1"/>
  <c r="V48" i="11"/>
  <c r="V62" i="11" s="1"/>
  <c r="R48" i="11"/>
  <c r="R62" i="11" s="1"/>
  <c r="N48" i="11"/>
  <c r="N62" i="11" s="1"/>
  <c r="J48" i="11"/>
  <c r="J62" i="11" s="1"/>
  <c r="F48" i="11"/>
  <c r="F62" i="11" s="1"/>
  <c r="CC48" i="11"/>
  <c r="CC62" i="11" s="1"/>
  <c r="BY48" i="11"/>
  <c r="BY62" i="11" s="1"/>
  <c r="BU48" i="11"/>
  <c r="BU62" i="11" s="1"/>
  <c r="BQ48" i="11"/>
  <c r="BQ62" i="11" s="1"/>
  <c r="BM48" i="11"/>
  <c r="BM62" i="11" s="1"/>
  <c r="BI48" i="11"/>
  <c r="BI62" i="11" s="1"/>
  <c r="BE48" i="11"/>
  <c r="BE62" i="11" s="1"/>
  <c r="BA48" i="11"/>
  <c r="BA62" i="11" s="1"/>
  <c r="AW48" i="11"/>
  <c r="AW62" i="11" s="1"/>
  <c r="AS48" i="11"/>
  <c r="AS62" i="11" s="1"/>
  <c r="AO48" i="11"/>
  <c r="AO62" i="11" s="1"/>
  <c r="AK48" i="11"/>
  <c r="AK62" i="11" s="1"/>
  <c r="AG48" i="11"/>
  <c r="AG62" i="11" s="1"/>
  <c r="AC48" i="11"/>
  <c r="AC62" i="11" s="1"/>
  <c r="Y48" i="11"/>
  <c r="Y62" i="11" s="1"/>
  <c r="U48" i="11"/>
  <c r="U62" i="11" s="1"/>
  <c r="Q48" i="11"/>
  <c r="Q62" i="11" s="1"/>
  <c r="M48" i="11"/>
  <c r="M62" i="11" s="1"/>
  <c r="I48" i="11"/>
  <c r="I62" i="11" s="1"/>
  <c r="E48" i="11"/>
  <c r="E62" i="11" s="1"/>
  <c r="BX48" i="11"/>
  <c r="BX62" i="11" s="1"/>
  <c r="BH48" i="11"/>
  <c r="BH62" i="11" s="1"/>
  <c r="AR48" i="11"/>
  <c r="AR62" i="11" s="1"/>
  <c r="AB48" i="11"/>
  <c r="AB62" i="11" s="1"/>
  <c r="L48" i="11"/>
  <c r="L62" i="11" s="1"/>
  <c r="CB48" i="11"/>
  <c r="CB62" i="11" s="1"/>
  <c r="AF48" i="11"/>
  <c r="AF62" i="11" s="1"/>
  <c r="BT48" i="11"/>
  <c r="BT62" i="11" s="1"/>
  <c r="BD48" i="11"/>
  <c r="BD62" i="11" s="1"/>
  <c r="AN48" i="11"/>
  <c r="AN62" i="11" s="1"/>
  <c r="X48" i="11"/>
  <c r="X62" i="11" s="1"/>
  <c r="H48" i="11"/>
  <c r="H62" i="11" s="1"/>
  <c r="BL48" i="11"/>
  <c r="BL62" i="11" s="1"/>
  <c r="BP48" i="11"/>
  <c r="BP62" i="11" s="1"/>
  <c r="AZ48" i="11"/>
  <c r="AZ62" i="11" s="1"/>
  <c r="AJ48" i="11"/>
  <c r="AJ62" i="11" s="1"/>
  <c r="T48" i="11"/>
  <c r="T62" i="11" s="1"/>
  <c r="D48" i="11"/>
  <c r="D62" i="11" s="1"/>
  <c r="AV48" i="11"/>
  <c r="AV62" i="11" s="1"/>
  <c r="P48" i="11"/>
  <c r="P62" i="11" s="1"/>
  <c r="F816" i="11"/>
  <c r="C429" i="11"/>
  <c r="G816" i="11"/>
  <c r="F612" i="11"/>
  <c r="C430" i="11"/>
  <c r="O816" i="11"/>
  <c r="C463" i="11"/>
  <c r="BS52" i="11"/>
  <c r="BS67" i="11" s="1"/>
  <c r="J802" i="11" s="1"/>
  <c r="BC52" i="11"/>
  <c r="BC67" i="11" s="1"/>
  <c r="J786" i="11" s="1"/>
  <c r="AM52" i="11"/>
  <c r="AM67" i="11" s="1"/>
  <c r="J770" i="11" s="1"/>
  <c r="W52" i="11"/>
  <c r="W67" i="11" s="1"/>
  <c r="J754" i="11" s="1"/>
  <c r="G52" i="11"/>
  <c r="G67" i="11" s="1"/>
  <c r="J738" i="11" s="1"/>
  <c r="I816" i="11"/>
  <c r="C432" i="11"/>
  <c r="N817" i="11"/>
  <c r="B465" i="11"/>
  <c r="D368" i="11"/>
  <c r="D373" i="11" s="1"/>
  <c r="D391" i="11" s="1"/>
  <c r="D393" i="11" s="1"/>
  <c r="D396" i="11" s="1"/>
  <c r="E217" i="11"/>
  <c r="C478" i="11" s="1"/>
  <c r="L816" i="11"/>
  <c r="C440" i="11"/>
  <c r="BT52" i="11"/>
  <c r="BT67" i="11" s="1"/>
  <c r="J803" i="11" s="1"/>
  <c r="BD52" i="11"/>
  <c r="BD67" i="11" s="1"/>
  <c r="J787" i="11" s="1"/>
  <c r="AN52" i="11"/>
  <c r="AN67" i="11" s="1"/>
  <c r="J771" i="11" s="1"/>
  <c r="X52" i="11"/>
  <c r="X67" i="11" s="1"/>
  <c r="J755" i="11" s="1"/>
  <c r="H52" i="11"/>
  <c r="H67" i="11" s="1"/>
  <c r="J739" i="11" s="1"/>
  <c r="K816" i="11"/>
  <c r="C434" i="11"/>
  <c r="BO52" i="11"/>
  <c r="BO67" i="11" s="1"/>
  <c r="J798" i="11" s="1"/>
  <c r="AY52" i="11"/>
  <c r="AY67" i="11" s="1"/>
  <c r="J782" i="11" s="1"/>
  <c r="AI52" i="11"/>
  <c r="AI67" i="11" s="1"/>
  <c r="J766" i="11" s="1"/>
  <c r="S52" i="11"/>
  <c r="S67" i="11" s="1"/>
  <c r="J750" i="11" s="1"/>
  <c r="C52" i="11"/>
  <c r="E204" i="11"/>
  <c r="C476" i="11" s="1"/>
  <c r="BR52" i="11"/>
  <c r="BR67" i="11" s="1"/>
  <c r="J801" i="11" s="1"/>
  <c r="BB52" i="11"/>
  <c r="BB67" i="11" s="1"/>
  <c r="J785" i="11" s="1"/>
  <c r="AL52" i="11"/>
  <c r="AL67" i="11" s="1"/>
  <c r="J769" i="11" s="1"/>
  <c r="V52" i="11"/>
  <c r="V67" i="11" s="1"/>
  <c r="J753" i="11" s="1"/>
  <c r="F52" i="11"/>
  <c r="F67" i="11" s="1"/>
  <c r="J737" i="11" s="1"/>
  <c r="BV52" i="11"/>
  <c r="BV67" i="11" s="1"/>
  <c r="J805" i="11" s="1"/>
  <c r="Z52" i="11"/>
  <c r="Z67" i="11" s="1"/>
  <c r="J757" i="11" s="1"/>
  <c r="BN52" i="11"/>
  <c r="BN67" i="11" s="1"/>
  <c r="J797" i="11" s="1"/>
  <c r="AX52" i="11"/>
  <c r="AX67" i="11" s="1"/>
  <c r="J781" i="11" s="1"/>
  <c r="AH52" i="11"/>
  <c r="AH67" i="11" s="1"/>
  <c r="J765" i="11" s="1"/>
  <c r="R52" i="11"/>
  <c r="R67" i="11" s="1"/>
  <c r="J749" i="11" s="1"/>
  <c r="BF52" i="11"/>
  <c r="BF67" i="11" s="1"/>
  <c r="J789" i="11" s="1"/>
  <c r="BZ52" i="11"/>
  <c r="BZ67" i="11" s="1"/>
  <c r="J809" i="11" s="1"/>
  <c r="BJ52" i="11"/>
  <c r="BJ67" i="11" s="1"/>
  <c r="J793" i="11" s="1"/>
  <c r="AT52" i="11"/>
  <c r="AT67" i="11" s="1"/>
  <c r="J777" i="11" s="1"/>
  <c r="AD52" i="11"/>
  <c r="AD67" i="11" s="1"/>
  <c r="J761" i="11" s="1"/>
  <c r="N52" i="11"/>
  <c r="N67" i="11" s="1"/>
  <c r="J745" i="11" s="1"/>
  <c r="AP52" i="11"/>
  <c r="AP67" i="11" s="1"/>
  <c r="J773" i="11" s="1"/>
  <c r="J52" i="11"/>
  <c r="J67" i="11" s="1"/>
  <c r="J741" i="11" s="1"/>
  <c r="BP52" i="11"/>
  <c r="BP67" i="11" s="1"/>
  <c r="J799" i="11" s="1"/>
  <c r="AZ52" i="11"/>
  <c r="AZ67" i="11" s="1"/>
  <c r="J783" i="11" s="1"/>
  <c r="AJ52" i="11"/>
  <c r="AJ67" i="11" s="1"/>
  <c r="J767" i="11" s="1"/>
  <c r="T52" i="11"/>
  <c r="T67" i="11" s="1"/>
  <c r="J751" i="11" s="1"/>
  <c r="D52" i="11"/>
  <c r="D67" i="11" s="1"/>
  <c r="J735" i="11" s="1"/>
  <c r="CA52" i="11"/>
  <c r="CA67" i="11" s="1"/>
  <c r="J810" i="11" s="1"/>
  <c r="BK52" i="11"/>
  <c r="BK67" i="11" s="1"/>
  <c r="J794" i="11" s="1"/>
  <c r="AU52" i="11"/>
  <c r="AU67" i="11" s="1"/>
  <c r="J778" i="11" s="1"/>
  <c r="AE52" i="11"/>
  <c r="AE67" i="11" s="1"/>
  <c r="J762" i="11" s="1"/>
  <c r="O52" i="11"/>
  <c r="O67" i="11" s="1"/>
  <c r="J746" i="11" s="1"/>
  <c r="C115" i="8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CE65" i="1"/>
  <c r="C431" i="1" s="1"/>
  <c r="CE63" i="1"/>
  <c r="CE66" i="1"/>
  <c r="CE68" i="1"/>
  <c r="D75" i="1"/>
  <c r="AR75" i="1"/>
  <c r="I186" i="9"/>
  <c r="AS75" i="1"/>
  <c r="AT75" i="1"/>
  <c r="D218" i="9" s="1"/>
  <c r="AU75" i="1"/>
  <c r="E218" i="9"/>
  <c r="AQ75" i="1"/>
  <c r="H186" i="9" s="1"/>
  <c r="AO75" i="1"/>
  <c r="AN75" i="1"/>
  <c r="E186" i="9" s="1"/>
  <c r="AM75" i="1"/>
  <c r="D186" i="9" s="1"/>
  <c r="AI75" i="1"/>
  <c r="G154" i="9" s="1"/>
  <c r="AH75" i="1"/>
  <c r="F154" i="9"/>
  <c r="AF75" i="1"/>
  <c r="D154" i="9" s="1"/>
  <c r="AD75" i="1"/>
  <c r="I122" i="9"/>
  <c r="AA75" i="1"/>
  <c r="F122" i="9" s="1"/>
  <c r="Z75" i="1"/>
  <c r="E122" i="9" s="1"/>
  <c r="X75" i="1"/>
  <c r="C122" i="9" s="1"/>
  <c r="W75" i="1"/>
  <c r="I90" i="9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/>
  <c r="I75" i="1"/>
  <c r="H75" i="1"/>
  <c r="H26" i="9" s="1"/>
  <c r="G75" i="1"/>
  <c r="F75" i="1"/>
  <c r="F26" i="9" s="1"/>
  <c r="AV75" i="1"/>
  <c r="AP75" i="1"/>
  <c r="G186" i="9"/>
  <c r="AJ75" i="1"/>
  <c r="AL75" i="1"/>
  <c r="C186" i="9" s="1"/>
  <c r="AK75" i="1"/>
  <c r="I154" i="9" s="1"/>
  <c r="AG75" i="1"/>
  <c r="E154" i="9" s="1"/>
  <c r="AE75" i="1"/>
  <c r="C154" i="9" s="1"/>
  <c r="AC75" i="1"/>
  <c r="H122" i="9"/>
  <c r="AB75" i="1"/>
  <c r="Y75" i="1"/>
  <c r="D122" i="9" s="1"/>
  <c r="U75" i="1"/>
  <c r="S75" i="1"/>
  <c r="E90" i="9" s="1"/>
  <c r="K75" i="1"/>
  <c r="J75" i="1"/>
  <c r="E75" i="1"/>
  <c r="E26" i="9"/>
  <c r="CE73" i="1"/>
  <c r="C463" i="1" s="1"/>
  <c r="CE74" i="1"/>
  <c r="C464" i="1" s="1"/>
  <c r="C75" i="1"/>
  <c r="C26" i="9" s="1"/>
  <c r="CE80" i="1"/>
  <c r="L612" i="1" s="1"/>
  <c r="CE78" i="1"/>
  <c r="CE69" i="1"/>
  <c r="D361" i="1"/>
  <c r="B465" i="1" s="1"/>
  <c r="D372" i="1"/>
  <c r="C125" i="8" s="1"/>
  <c r="D260" i="1"/>
  <c r="C16" i="8" s="1"/>
  <c r="D265" i="1"/>
  <c r="D275" i="1"/>
  <c r="B476" i="1" s="1"/>
  <c r="D290" i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B446" i="1" s="1"/>
  <c r="D240" i="1"/>
  <c r="B447" i="1" s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D433" i="1" s="1"/>
  <c r="E196" i="1"/>
  <c r="C469" i="1" s="1"/>
  <c r="E197" i="1"/>
  <c r="C470" i="1" s="1"/>
  <c r="E198" i="1"/>
  <c r="C471" i="1" s="1"/>
  <c r="E199" i="1"/>
  <c r="C472" i="1" s="1"/>
  <c r="E200" i="1"/>
  <c r="C473" i="1" s="1"/>
  <c r="E201" i="1"/>
  <c r="E202" i="1"/>
  <c r="C474" i="1" s="1"/>
  <c r="E203" i="1"/>
  <c r="C475" i="1" s="1"/>
  <c r="D204" i="1"/>
  <c r="B204" i="1"/>
  <c r="C16" i="6" s="1"/>
  <c r="D190" i="1"/>
  <c r="D437" i="1" s="1"/>
  <c r="D186" i="1"/>
  <c r="D436" i="1" s="1"/>
  <c r="D181" i="1"/>
  <c r="D177" i="1"/>
  <c r="E154" i="1"/>
  <c r="E153" i="1"/>
  <c r="E152" i="1"/>
  <c r="E151" i="1"/>
  <c r="E150" i="1"/>
  <c r="C420" i="1" s="1"/>
  <c r="E148" i="1"/>
  <c r="E147" i="1"/>
  <c r="E146" i="1"/>
  <c r="D19" i="4" s="1"/>
  <c r="E145" i="1"/>
  <c r="E144" i="1"/>
  <c r="C417" i="1" s="1"/>
  <c r="E141" i="1"/>
  <c r="E140" i="1"/>
  <c r="D10" i="4"/>
  <c r="E139" i="1"/>
  <c r="C415" i="1" s="1"/>
  <c r="E127" i="1"/>
  <c r="CF79" i="1"/>
  <c r="B53" i="1"/>
  <c r="CE51" i="1"/>
  <c r="B49" i="1"/>
  <c r="AS48" i="1"/>
  <c r="AS62" i="1" s="1"/>
  <c r="C204" i="9" s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F15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330" i="1"/>
  <c r="C86" i="8" s="1"/>
  <c r="C34" i="5"/>
  <c r="F12" i="6"/>
  <c r="F8" i="6"/>
  <c r="I377" i="9"/>
  <c r="G122" i="9"/>
  <c r="I26" i="9"/>
  <c r="H58" i="9"/>
  <c r="F90" i="9"/>
  <c r="C218" i="9"/>
  <c r="D366" i="9"/>
  <c r="CE64" i="1"/>
  <c r="D368" i="9"/>
  <c r="C276" i="9"/>
  <c r="CE70" i="1"/>
  <c r="CE76" i="1"/>
  <c r="D612" i="1" s="1"/>
  <c r="CE77" i="1"/>
  <c r="G612" i="1" s="1"/>
  <c r="I29" i="9"/>
  <c r="C95" i="9"/>
  <c r="CE79" i="1"/>
  <c r="J612" i="1" s="1"/>
  <c r="E142" i="1"/>
  <c r="D464" i="1" s="1"/>
  <c r="G9" i="4"/>
  <c r="F9" i="4"/>
  <c r="E138" i="1"/>
  <c r="C414" i="1" s="1"/>
  <c r="C204" i="1"/>
  <c r="D16" i="6" s="1"/>
  <c r="E195" i="1"/>
  <c r="C468" i="1" s="1"/>
  <c r="C28" i="6"/>
  <c r="B217" i="1"/>
  <c r="C32" i="6" s="1"/>
  <c r="C140" i="8"/>
  <c r="D390" i="1"/>
  <c r="B441" i="1" s="1"/>
  <c r="D283" i="1"/>
  <c r="C42" i="8" s="1"/>
  <c r="C40" i="8"/>
  <c r="H73" i="9"/>
  <c r="E105" i="9"/>
  <c r="G137" i="9"/>
  <c r="C9" i="5"/>
  <c r="D173" i="1"/>
  <c r="F28" i="4"/>
  <c r="F24" i="6"/>
  <c r="CD71" i="1"/>
  <c r="BM48" i="1"/>
  <c r="BM62" i="1" s="1"/>
  <c r="E372" i="9"/>
  <c r="BD48" i="1"/>
  <c r="BD62" i="1" s="1"/>
  <c r="F10" i="4"/>
  <c r="I372" i="9"/>
  <c r="CF77" i="1"/>
  <c r="C27" i="5" l="1"/>
  <c r="D435" i="1"/>
  <c r="D438" i="1"/>
  <c r="BK48" i="1"/>
  <c r="BK62" i="1" s="1"/>
  <c r="C427" i="1"/>
  <c r="C14" i="5"/>
  <c r="D428" i="1"/>
  <c r="C28" i="4"/>
  <c r="C421" i="1"/>
  <c r="C430" i="1"/>
  <c r="F612" i="1"/>
  <c r="D463" i="1"/>
  <c r="D465" i="1" s="1"/>
  <c r="I370" i="9"/>
  <c r="C434" i="1"/>
  <c r="I371" i="9"/>
  <c r="C440" i="1"/>
  <c r="I368" i="9"/>
  <c r="C432" i="1"/>
  <c r="C19" i="4"/>
  <c r="C418" i="1"/>
  <c r="I382" i="9"/>
  <c r="I612" i="1"/>
  <c r="I365" i="9"/>
  <c r="C429" i="1"/>
  <c r="C20" i="5"/>
  <c r="D434" i="1"/>
  <c r="C458" i="1"/>
  <c r="E373" i="9"/>
  <c r="C575" i="1"/>
  <c r="G10" i="4"/>
  <c r="G28" i="4"/>
  <c r="G90" i="9"/>
  <c r="D368" i="1"/>
  <c r="C120" i="8" s="1"/>
  <c r="C119" i="8"/>
  <c r="I380" i="9"/>
  <c r="CF76" i="1"/>
  <c r="BC52" i="1" s="1"/>
  <c r="BC67" i="1" s="1"/>
  <c r="F241" i="9" s="1"/>
  <c r="C141" i="8"/>
  <c r="D277" i="1"/>
  <c r="C35" i="8" s="1"/>
  <c r="C33" i="8"/>
  <c r="D5" i="7"/>
  <c r="D32" i="6"/>
  <c r="E10" i="4"/>
  <c r="C10" i="4"/>
  <c r="B10" i="4"/>
  <c r="I381" i="9"/>
  <c r="BU52" i="1"/>
  <c r="BU67" i="1" s="1"/>
  <c r="CA48" i="1"/>
  <c r="CA62" i="1" s="1"/>
  <c r="S48" i="1"/>
  <c r="S62" i="1" s="1"/>
  <c r="F48" i="1"/>
  <c r="F62" i="1" s="1"/>
  <c r="F12" i="9" s="1"/>
  <c r="O48" i="1"/>
  <c r="O62" i="1" s="1"/>
  <c r="AH48" i="1"/>
  <c r="AH62" i="1" s="1"/>
  <c r="F140" i="9" s="1"/>
  <c r="AY48" i="1"/>
  <c r="AY62" i="1" s="1"/>
  <c r="M48" i="1"/>
  <c r="M62" i="1" s="1"/>
  <c r="AV48" i="1"/>
  <c r="AV62" i="1" s="1"/>
  <c r="I48" i="1"/>
  <c r="I62" i="1" s="1"/>
  <c r="I12" i="9" s="1"/>
  <c r="R48" i="1"/>
  <c r="R62" i="1" s="1"/>
  <c r="BL48" i="1"/>
  <c r="BL62" i="1" s="1"/>
  <c r="BE48" i="1"/>
  <c r="BE62" i="1" s="1"/>
  <c r="H236" i="9" s="1"/>
  <c r="BS48" i="1"/>
  <c r="BS62" i="1" s="1"/>
  <c r="T48" i="1"/>
  <c r="T62" i="1" s="1"/>
  <c r="AN48" i="1"/>
  <c r="AN62" i="1" s="1"/>
  <c r="E172" i="9" s="1"/>
  <c r="BR48" i="1"/>
  <c r="BR62" i="1" s="1"/>
  <c r="C48" i="1"/>
  <c r="C62" i="1" s="1"/>
  <c r="C12" i="9" s="1"/>
  <c r="CC48" i="1"/>
  <c r="CC62" i="1" s="1"/>
  <c r="U48" i="1"/>
  <c r="U62" i="1" s="1"/>
  <c r="X48" i="1"/>
  <c r="X62" i="1" s="1"/>
  <c r="AF48" i="1"/>
  <c r="AF62" i="1" s="1"/>
  <c r="BB48" i="1"/>
  <c r="BB62" i="1" s="1"/>
  <c r="BT48" i="1"/>
  <c r="BT62" i="1" s="1"/>
  <c r="CB48" i="1"/>
  <c r="CB62" i="1" s="1"/>
  <c r="C364" i="9" s="1"/>
  <c r="AA48" i="1"/>
  <c r="AA62" i="1" s="1"/>
  <c r="F108" i="9" s="1"/>
  <c r="AG48" i="1"/>
  <c r="AG62" i="1" s="1"/>
  <c r="AC48" i="1"/>
  <c r="AC62" i="1" s="1"/>
  <c r="H108" i="9" s="1"/>
  <c r="H48" i="1"/>
  <c r="H62" i="1" s="1"/>
  <c r="H12" i="9" s="1"/>
  <c r="I366" i="9"/>
  <c r="V48" i="1"/>
  <c r="V62" i="1" s="1"/>
  <c r="AP48" i="1"/>
  <c r="AP62" i="1" s="1"/>
  <c r="BJ48" i="1"/>
  <c r="BJ62" i="1" s="1"/>
  <c r="BY48" i="1"/>
  <c r="BY62" i="1" s="1"/>
  <c r="BG48" i="1"/>
  <c r="BG62" i="1" s="1"/>
  <c r="C268" i="9" s="1"/>
  <c r="AO48" i="1"/>
  <c r="AO62" i="1" s="1"/>
  <c r="AK48" i="1"/>
  <c r="AK62" i="1" s="1"/>
  <c r="BC48" i="1"/>
  <c r="BC62" i="1" s="1"/>
  <c r="F236" i="9" s="1"/>
  <c r="G48" i="1"/>
  <c r="G62" i="1" s="1"/>
  <c r="G12" i="9" s="1"/>
  <c r="D48" i="1"/>
  <c r="D62" i="1" s="1"/>
  <c r="I363" i="9"/>
  <c r="J48" i="1"/>
  <c r="J62" i="1" s="1"/>
  <c r="Z48" i="1"/>
  <c r="Z62" i="1" s="1"/>
  <c r="AJ48" i="1"/>
  <c r="AJ62" i="1" s="1"/>
  <c r="AR48" i="1"/>
  <c r="AR62" i="1" s="1"/>
  <c r="I172" i="9" s="1"/>
  <c r="AX48" i="1"/>
  <c r="AX62" i="1" s="1"/>
  <c r="BF48" i="1"/>
  <c r="BF62" i="1" s="1"/>
  <c r="BN48" i="1"/>
  <c r="BN62" i="1" s="1"/>
  <c r="BV48" i="1"/>
  <c r="BV62" i="1" s="1"/>
  <c r="D332" i="9" s="1"/>
  <c r="AI48" i="1"/>
  <c r="AI62" i="1" s="1"/>
  <c r="BO48" i="1"/>
  <c r="BO62" i="1" s="1"/>
  <c r="D300" i="9" s="1"/>
  <c r="Q48" i="1"/>
  <c r="Q62" i="1" s="1"/>
  <c r="AW48" i="1"/>
  <c r="AW62" i="1" s="1"/>
  <c r="BU48" i="1"/>
  <c r="BU62" i="1" s="1"/>
  <c r="C332" i="9" s="1"/>
  <c r="BA48" i="1"/>
  <c r="BA62" i="1" s="1"/>
  <c r="D236" i="9" s="1"/>
  <c r="BI48" i="1"/>
  <c r="BI62" i="1" s="1"/>
  <c r="L48" i="1"/>
  <c r="L62" i="1" s="1"/>
  <c r="E44" i="9" s="1"/>
  <c r="N48" i="1"/>
  <c r="N62" i="1" s="1"/>
  <c r="G44" i="9" s="1"/>
  <c r="AD48" i="1"/>
  <c r="AD62" i="1" s="1"/>
  <c r="AL48" i="1"/>
  <c r="AL62" i="1" s="1"/>
  <c r="AT48" i="1"/>
  <c r="AT62" i="1" s="1"/>
  <c r="D204" i="9" s="1"/>
  <c r="AZ48" i="1"/>
  <c r="AZ62" i="1" s="1"/>
  <c r="BH48" i="1"/>
  <c r="BH62" i="1" s="1"/>
  <c r="BP48" i="1"/>
  <c r="BP62" i="1" s="1"/>
  <c r="E300" i="9" s="1"/>
  <c r="BX48" i="1"/>
  <c r="BX62" i="1" s="1"/>
  <c r="F332" i="9" s="1"/>
  <c r="K48" i="1"/>
  <c r="K62" i="1" s="1"/>
  <c r="D44" i="9" s="1"/>
  <c r="AQ48" i="1"/>
  <c r="AQ62" i="1" s="1"/>
  <c r="BW48" i="1"/>
  <c r="BW62" i="1" s="1"/>
  <c r="Y48" i="1"/>
  <c r="Y62" i="1" s="1"/>
  <c r="E48" i="1"/>
  <c r="E62" i="1" s="1"/>
  <c r="E12" i="9" s="1"/>
  <c r="BQ48" i="1"/>
  <c r="BQ62" i="1" s="1"/>
  <c r="F300" i="9" s="1"/>
  <c r="AM48" i="1"/>
  <c r="AM62" i="1" s="1"/>
  <c r="D172" i="9" s="1"/>
  <c r="AE48" i="1"/>
  <c r="AE62" i="1" s="1"/>
  <c r="AU48" i="1"/>
  <c r="AU62" i="1" s="1"/>
  <c r="BZ48" i="1"/>
  <c r="BZ62" i="1" s="1"/>
  <c r="H332" i="9" s="1"/>
  <c r="P48" i="1"/>
  <c r="P62" i="1" s="1"/>
  <c r="AB48" i="1"/>
  <c r="AB62" i="1" s="1"/>
  <c r="G108" i="9" s="1"/>
  <c r="W48" i="1"/>
  <c r="W62" i="1" s="1"/>
  <c r="G236" i="9"/>
  <c r="I362" i="9"/>
  <c r="AF52" i="1"/>
  <c r="AF67" i="1" s="1"/>
  <c r="D145" i="9" s="1"/>
  <c r="AQ52" i="1"/>
  <c r="AQ67" i="1" s="1"/>
  <c r="C52" i="1"/>
  <c r="C67" i="1" s="1"/>
  <c r="Z52" i="1"/>
  <c r="Z67" i="1" s="1"/>
  <c r="AN52" i="1"/>
  <c r="AN67" i="1" s="1"/>
  <c r="J52" i="1"/>
  <c r="J67" i="1" s="1"/>
  <c r="U52" i="1"/>
  <c r="U67" i="1" s="1"/>
  <c r="BH52" i="1"/>
  <c r="BH67" i="1" s="1"/>
  <c r="AC52" i="1"/>
  <c r="AC67" i="1" s="1"/>
  <c r="Y52" i="1"/>
  <c r="Y67" i="1" s="1"/>
  <c r="AZ52" i="1"/>
  <c r="AZ67" i="1" s="1"/>
  <c r="N52" i="1"/>
  <c r="N67" i="1" s="1"/>
  <c r="AO52" i="1"/>
  <c r="AO67" i="1" s="1"/>
  <c r="F177" i="9" s="1"/>
  <c r="AP52" i="1"/>
  <c r="AP67" i="1" s="1"/>
  <c r="BZ52" i="1"/>
  <c r="BZ67" i="1" s="1"/>
  <c r="H337" i="9" s="1"/>
  <c r="AJ52" i="1"/>
  <c r="AJ67" i="1" s="1"/>
  <c r="E52" i="1"/>
  <c r="E67" i="1" s="1"/>
  <c r="AG52" i="1"/>
  <c r="AG67" i="1" s="1"/>
  <c r="E145" i="9" s="1"/>
  <c r="BX52" i="1"/>
  <c r="BX67" i="1" s="1"/>
  <c r="AI52" i="1"/>
  <c r="AI67" i="1" s="1"/>
  <c r="AT52" i="1"/>
  <c r="AT67" i="1" s="1"/>
  <c r="D209" i="9" s="1"/>
  <c r="AV52" i="1"/>
  <c r="AV67" i="1" s="1"/>
  <c r="F209" i="9" s="1"/>
  <c r="I268" i="9"/>
  <c r="I332" i="9"/>
  <c r="G268" i="9"/>
  <c r="E767" i="11"/>
  <c r="AJ71" i="11"/>
  <c r="E739" i="11"/>
  <c r="H71" i="11"/>
  <c r="E752" i="11"/>
  <c r="U71" i="11"/>
  <c r="E784" i="11"/>
  <c r="BA71" i="11"/>
  <c r="E753" i="11"/>
  <c r="V71" i="11"/>
  <c r="E779" i="11"/>
  <c r="AV71" i="11"/>
  <c r="E783" i="11"/>
  <c r="AZ71" i="11"/>
  <c r="E755" i="11"/>
  <c r="X71" i="11"/>
  <c r="E763" i="11"/>
  <c r="AF71" i="11"/>
  <c r="E775" i="11"/>
  <c r="AR71" i="11"/>
  <c r="E740" i="11"/>
  <c r="I71" i="11"/>
  <c r="E756" i="11"/>
  <c r="Y71" i="11"/>
  <c r="E772" i="11"/>
  <c r="AO71" i="11"/>
  <c r="E788" i="11"/>
  <c r="BE71" i="11"/>
  <c r="E804" i="11"/>
  <c r="BU71" i="11"/>
  <c r="E741" i="11"/>
  <c r="J71" i="11"/>
  <c r="E757" i="11"/>
  <c r="Z71" i="11"/>
  <c r="E773" i="11"/>
  <c r="AP71" i="11"/>
  <c r="E789" i="11"/>
  <c r="BF71" i="11"/>
  <c r="E805" i="11"/>
  <c r="BV71" i="11"/>
  <c r="E742" i="11"/>
  <c r="K71" i="11"/>
  <c r="E758" i="11"/>
  <c r="AA71" i="11"/>
  <c r="E774" i="11"/>
  <c r="AQ71" i="11"/>
  <c r="E790" i="11"/>
  <c r="BG71" i="11"/>
  <c r="E806" i="11"/>
  <c r="BW71" i="11"/>
  <c r="E747" i="11"/>
  <c r="P71" i="11"/>
  <c r="E759" i="11"/>
  <c r="AB71" i="11"/>
  <c r="E768" i="11"/>
  <c r="AK71" i="11"/>
  <c r="E737" i="11"/>
  <c r="F71" i="11"/>
  <c r="E785" i="11"/>
  <c r="BB71" i="11"/>
  <c r="E738" i="11"/>
  <c r="G71" i="11"/>
  <c r="E770" i="11"/>
  <c r="AM71" i="11"/>
  <c r="E786" i="11"/>
  <c r="BC71" i="11"/>
  <c r="E735" i="11"/>
  <c r="D71" i="11"/>
  <c r="E799" i="11"/>
  <c r="BP71" i="11"/>
  <c r="E771" i="11"/>
  <c r="AN71" i="11"/>
  <c r="E811" i="11"/>
  <c r="CB71" i="11"/>
  <c r="E791" i="11"/>
  <c r="BH71" i="11"/>
  <c r="E744" i="11"/>
  <c r="M71" i="11"/>
  <c r="E760" i="11"/>
  <c r="AC71" i="11"/>
  <c r="E776" i="11"/>
  <c r="AS71" i="11"/>
  <c r="E792" i="11"/>
  <c r="BI71" i="11"/>
  <c r="E808" i="11"/>
  <c r="BY71" i="11"/>
  <c r="E745" i="11"/>
  <c r="N71" i="11"/>
  <c r="E761" i="11"/>
  <c r="AD71" i="11"/>
  <c r="E777" i="11"/>
  <c r="AT71" i="11"/>
  <c r="E793" i="11"/>
  <c r="BJ71" i="11"/>
  <c r="E809" i="11"/>
  <c r="BZ71" i="11"/>
  <c r="E746" i="11"/>
  <c r="O71" i="11"/>
  <c r="E762" i="11"/>
  <c r="AE71" i="11"/>
  <c r="E778" i="11"/>
  <c r="AU71" i="11"/>
  <c r="E794" i="11"/>
  <c r="BK71" i="11"/>
  <c r="E810" i="11"/>
  <c r="CA71" i="11"/>
  <c r="C67" i="11"/>
  <c r="CE52" i="11"/>
  <c r="E803" i="11"/>
  <c r="BT71" i="11"/>
  <c r="E736" i="11"/>
  <c r="E71" i="11"/>
  <c r="E800" i="11"/>
  <c r="BQ71" i="11"/>
  <c r="E769" i="11"/>
  <c r="AL71" i="11"/>
  <c r="E801" i="11"/>
  <c r="BR71" i="11"/>
  <c r="E754" i="11"/>
  <c r="W71" i="11"/>
  <c r="E802" i="11"/>
  <c r="BS71" i="11"/>
  <c r="E751" i="11"/>
  <c r="T71" i="11"/>
  <c r="E795" i="11"/>
  <c r="BL71" i="11"/>
  <c r="E787" i="11"/>
  <c r="BD71" i="11"/>
  <c r="E743" i="11"/>
  <c r="L71" i="11"/>
  <c r="E807" i="11"/>
  <c r="BX71" i="11"/>
  <c r="E748" i="11"/>
  <c r="Q71" i="11"/>
  <c r="E764" i="11"/>
  <c r="AG71" i="11"/>
  <c r="E780" i="11"/>
  <c r="AW71" i="11"/>
  <c r="E796" i="11"/>
  <c r="BM71" i="11"/>
  <c r="E812" i="11"/>
  <c r="CC71" i="11"/>
  <c r="E749" i="11"/>
  <c r="R71" i="11"/>
  <c r="E765" i="11"/>
  <c r="AH71" i="11"/>
  <c r="E781" i="11"/>
  <c r="AX71" i="11"/>
  <c r="E797" i="11"/>
  <c r="BN71" i="11"/>
  <c r="CE48" i="11"/>
  <c r="C62" i="11"/>
  <c r="E750" i="11"/>
  <c r="S71" i="11"/>
  <c r="E766" i="11"/>
  <c r="AI71" i="11"/>
  <c r="E782" i="11"/>
  <c r="AY71" i="11"/>
  <c r="E798" i="11"/>
  <c r="BO71" i="11"/>
  <c r="D242" i="1"/>
  <c r="B448" i="1" s="1"/>
  <c r="F14" i="6"/>
  <c r="F10" i="6"/>
  <c r="D339" i="1"/>
  <c r="C482" i="1" s="1"/>
  <c r="D26" i="9"/>
  <c r="CE75" i="1"/>
  <c r="F7" i="6"/>
  <c r="E204" i="1"/>
  <c r="C476" i="1" s="1"/>
  <c r="I383" i="9"/>
  <c r="D22" i="7"/>
  <c r="C40" i="5"/>
  <c r="B28" i="4"/>
  <c r="F186" i="9"/>
  <c r="BD52" i="1"/>
  <c r="BD67" i="1" s="1"/>
  <c r="BD71" i="1" s="1"/>
  <c r="BQ52" i="1"/>
  <c r="BQ67" i="1" s="1"/>
  <c r="F52" i="1"/>
  <c r="F67" i="1" s="1"/>
  <c r="F71" i="1" s="1"/>
  <c r="BM52" i="1"/>
  <c r="BM67" i="1" s="1"/>
  <c r="BM71" i="1" s="1"/>
  <c r="CB52" i="1"/>
  <c r="CB67" i="1" s="1"/>
  <c r="BN52" i="1"/>
  <c r="BN67" i="1" s="1"/>
  <c r="M52" i="1"/>
  <c r="M67" i="1" s="1"/>
  <c r="D52" i="1"/>
  <c r="D67" i="1" s="1"/>
  <c r="AA52" i="1"/>
  <c r="AA67" i="1" s="1"/>
  <c r="G52" i="1"/>
  <c r="G67" i="1" s="1"/>
  <c r="BR52" i="1"/>
  <c r="BR67" i="1" s="1"/>
  <c r="I376" i="9"/>
  <c r="D58" i="9"/>
  <c r="G26" i="9"/>
  <c r="E217" i="1"/>
  <c r="C478" i="1" s="1"/>
  <c r="I384" i="9"/>
  <c r="F218" i="9"/>
  <c r="D90" i="9"/>
  <c r="H154" i="9"/>
  <c r="I367" i="9"/>
  <c r="D373" i="1"/>
  <c r="D292" i="1"/>
  <c r="C58" i="9"/>
  <c r="C638" i="1" l="1"/>
  <c r="C558" i="1"/>
  <c r="F21" i="9"/>
  <c r="C671" i="1"/>
  <c r="C499" i="1"/>
  <c r="G499" i="1" s="1"/>
  <c r="C549" i="1"/>
  <c r="C624" i="1"/>
  <c r="K612" i="1"/>
  <c r="C465" i="1"/>
  <c r="F337" i="9"/>
  <c r="D273" i="9"/>
  <c r="H52" i="1"/>
  <c r="H67" i="1" s="1"/>
  <c r="H71" i="1" s="1"/>
  <c r="AE52" i="1"/>
  <c r="AE67" i="1" s="1"/>
  <c r="C145" i="9" s="1"/>
  <c r="BP52" i="1"/>
  <c r="BP67" i="1" s="1"/>
  <c r="W52" i="1"/>
  <c r="W67" i="1" s="1"/>
  <c r="W71" i="1" s="1"/>
  <c r="P52" i="1"/>
  <c r="P67" i="1" s="1"/>
  <c r="I49" i="9" s="1"/>
  <c r="AX52" i="1"/>
  <c r="AX67" i="1" s="1"/>
  <c r="BV52" i="1"/>
  <c r="BV67" i="1" s="1"/>
  <c r="T52" i="1"/>
  <c r="T67" i="1" s="1"/>
  <c r="F81" i="9" s="1"/>
  <c r="AY52" i="1"/>
  <c r="AY67" i="1" s="1"/>
  <c r="I209" i="9" s="1"/>
  <c r="BF52" i="1"/>
  <c r="BF67" i="1" s="1"/>
  <c r="BF71" i="1" s="1"/>
  <c r="C337" i="9"/>
  <c r="H177" i="9"/>
  <c r="AB52" i="1"/>
  <c r="AB67" i="1" s="1"/>
  <c r="AU52" i="1"/>
  <c r="AU67" i="1" s="1"/>
  <c r="E209" i="9" s="1"/>
  <c r="I52" i="1"/>
  <c r="I67" i="1" s="1"/>
  <c r="BG52" i="1"/>
  <c r="BG67" i="1" s="1"/>
  <c r="BL52" i="1"/>
  <c r="BL67" i="1" s="1"/>
  <c r="CA52" i="1"/>
  <c r="CA67" i="1" s="1"/>
  <c r="I337" i="9" s="1"/>
  <c r="BI52" i="1"/>
  <c r="BI67" i="1" s="1"/>
  <c r="AS52" i="1"/>
  <c r="AS67" i="1" s="1"/>
  <c r="AS71" i="1" s="1"/>
  <c r="S52" i="1"/>
  <c r="S67" i="1" s="1"/>
  <c r="AL52" i="1"/>
  <c r="AL67" i="1" s="1"/>
  <c r="AL71" i="1" s="1"/>
  <c r="BO52" i="1"/>
  <c r="BO67" i="1" s="1"/>
  <c r="D305" i="9" s="1"/>
  <c r="BS52" i="1"/>
  <c r="BS67" i="1" s="1"/>
  <c r="BB52" i="1"/>
  <c r="BB67" i="1" s="1"/>
  <c r="E241" i="9" s="1"/>
  <c r="AR52" i="1"/>
  <c r="AR67" i="1" s="1"/>
  <c r="AR71" i="1" s="1"/>
  <c r="AZ71" i="1"/>
  <c r="Q52" i="1"/>
  <c r="Q67" i="1" s="1"/>
  <c r="V52" i="1"/>
  <c r="V67" i="1" s="1"/>
  <c r="V71" i="1" s="1"/>
  <c r="AG71" i="1"/>
  <c r="BE52" i="1"/>
  <c r="BE67" i="1" s="1"/>
  <c r="H241" i="9" s="1"/>
  <c r="AK52" i="1"/>
  <c r="AK67" i="1" s="1"/>
  <c r="I145" i="9" s="1"/>
  <c r="AW52" i="1"/>
  <c r="AW67" i="1" s="1"/>
  <c r="G209" i="9" s="1"/>
  <c r="BY52" i="1"/>
  <c r="BY67" i="1" s="1"/>
  <c r="BY71" i="1" s="1"/>
  <c r="AM52" i="1"/>
  <c r="AM67" i="1" s="1"/>
  <c r="AM71" i="1" s="1"/>
  <c r="E17" i="9"/>
  <c r="E305" i="9"/>
  <c r="K52" i="1"/>
  <c r="K67" i="1" s="1"/>
  <c r="CC52" i="1"/>
  <c r="CC67" i="1" s="1"/>
  <c r="L52" i="1"/>
  <c r="L67" i="1" s="1"/>
  <c r="BW52" i="1"/>
  <c r="BW67" i="1" s="1"/>
  <c r="O52" i="1"/>
  <c r="O67" i="1" s="1"/>
  <c r="O71" i="1" s="1"/>
  <c r="X52" i="1"/>
  <c r="X67" i="1" s="1"/>
  <c r="C113" i="9" s="1"/>
  <c r="AD52" i="1"/>
  <c r="AD67" i="1" s="1"/>
  <c r="AD71" i="1" s="1"/>
  <c r="BT52" i="1"/>
  <c r="BT67" i="1" s="1"/>
  <c r="BJ52" i="1"/>
  <c r="BJ67" i="1" s="1"/>
  <c r="BJ71" i="1" s="1"/>
  <c r="BA52" i="1"/>
  <c r="BA67" i="1" s="1"/>
  <c r="BA71" i="1" s="1"/>
  <c r="R52" i="1"/>
  <c r="R67" i="1" s="1"/>
  <c r="R71" i="1" s="1"/>
  <c r="AH52" i="1"/>
  <c r="AH67" i="1" s="1"/>
  <c r="BK52" i="1"/>
  <c r="BK67" i="1" s="1"/>
  <c r="C49" i="9"/>
  <c r="Y71" i="1"/>
  <c r="AF71" i="1"/>
  <c r="AV71" i="1"/>
  <c r="AU71" i="1"/>
  <c r="E177" i="9"/>
  <c r="AJ71" i="1"/>
  <c r="BT71" i="1"/>
  <c r="E76" i="9"/>
  <c r="S71" i="1"/>
  <c r="H44" i="9"/>
  <c r="F44" i="9"/>
  <c r="AH71" i="1"/>
  <c r="AN71" i="1"/>
  <c r="I140" i="9"/>
  <c r="D76" i="9"/>
  <c r="I71" i="1"/>
  <c r="I204" i="9"/>
  <c r="M71" i="1"/>
  <c r="F204" i="9"/>
  <c r="BR71" i="1"/>
  <c r="BE71" i="1"/>
  <c r="H300" i="9"/>
  <c r="G300" i="9"/>
  <c r="U71" i="1"/>
  <c r="C108" i="9"/>
  <c r="D140" i="9"/>
  <c r="H268" i="9"/>
  <c r="G76" i="9"/>
  <c r="E236" i="9"/>
  <c r="F268" i="9"/>
  <c r="F76" i="9"/>
  <c r="I300" i="9"/>
  <c r="D364" i="9"/>
  <c r="E140" i="9"/>
  <c r="AA71" i="1"/>
  <c r="C71" i="1"/>
  <c r="E149" i="9"/>
  <c r="AC71" i="1"/>
  <c r="CB71" i="1"/>
  <c r="H76" i="9"/>
  <c r="F172" i="9"/>
  <c r="G172" i="9"/>
  <c r="D12" i="9"/>
  <c r="AP71" i="1"/>
  <c r="D71" i="1"/>
  <c r="AO71" i="1"/>
  <c r="G71" i="1"/>
  <c r="G332" i="9"/>
  <c r="BC71" i="1"/>
  <c r="AT71" i="1"/>
  <c r="Z71" i="1"/>
  <c r="G140" i="9"/>
  <c r="E108" i="9"/>
  <c r="BO71" i="1"/>
  <c r="I236" i="9"/>
  <c r="BX71" i="1"/>
  <c r="J71" i="1"/>
  <c r="BP71" i="1"/>
  <c r="E204" i="9"/>
  <c r="I76" i="9"/>
  <c r="D108" i="9"/>
  <c r="C140" i="9"/>
  <c r="N71" i="1"/>
  <c r="BN71" i="1"/>
  <c r="G204" i="9"/>
  <c r="CE62" i="1"/>
  <c r="C428" i="1" s="1"/>
  <c r="C300" i="9"/>
  <c r="D268" i="9"/>
  <c r="C236" i="9"/>
  <c r="H140" i="9"/>
  <c r="E268" i="9"/>
  <c r="C76" i="9"/>
  <c r="CE48" i="1"/>
  <c r="E71" i="1"/>
  <c r="C245" i="9"/>
  <c r="H172" i="9"/>
  <c r="BZ71" i="1"/>
  <c r="I108" i="9"/>
  <c r="BQ71" i="1"/>
  <c r="BV71" i="1"/>
  <c r="BI71" i="1"/>
  <c r="C172" i="9"/>
  <c r="BU71" i="1"/>
  <c r="E332" i="9"/>
  <c r="AX71" i="1"/>
  <c r="BH71" i="1"/>
  <c r="H204" i="9"/>
  <c r="AQ71" i="1"/>
  <c r="AI71" i="1"/>
  <c r="C44" i="9"/>
  <c r="I44" i="9"/>
  <c r="G245" i="9"/>
  <c r="C17" i="9"/>
  <c r="E273" i="9"/>
  <c r="E113" i="9"/>
  <c r="E337" i="9"/>
  <c r="H113" i="9"/>
  <c r="G81" i="9"/>
  <c r="G177" i="9"/>
  <c r="G49" i="9"/>
  <c r="G145" i="9"/>
  <c r="H145" i="9"/>
  <c r="C241" i="9"/>
  <c r="I17" i="9"/>
  <c r="D49" i="9"/>
  <c r="D113" i="9"/>
  <c r="I277" i="9"/>
  <c r="D149" i="9"/>
  <c r="C696" i="11"/>
  <c r="C524" i="11"/>
  <c r="C711" i="11"/>
  <c r="C539" i="11"/>
  <c r="G539" i="11" s="1"/>
  <c r="C634" i="11"/>
  <c r="C554" i="11"/>
  <c r="C636" i="11"/>
  <c r="C553" i="11"/>
  <c r="C704" i="11"/>
  <c r="C532" i="11"/>
  <c r="G532" i="11" s="1"/>
  <c r="C547" i="11"/>
  <c r="C632" i="11"/>
  <c r="C681" i="11"/>
  <c r="C509" i="11"/>
  <c r="C642" i="11"/>
  <c r="C567" i="11"/>
  <c r="C675" i="11"/>
  <c r="C503" i="11"/>
  <c r="G503" i="11" s="1"/>
  <c r="C690" i="11"/>
  <c r="C518" i="11"/>
  <c r="C689" i="11"/>
  <c r="C517" i="11"/>
  <c r="C501" i="11"/>
  <c r="G501" i="11" s="1"/>
  <c r="C673" i="11"/>
  <c r="C625" i="11"/>
  <c r="C544" i="11"/>
  <c r="C684" i="11"/>
  <c r="C512" i="11"/>
  <c r="C619" i="11"/>
  <c r="C559" i="11"/>
  <c r="C699" i="11"/>
  <c r="C527" i="11"/>
  <c r="G527" i="11" s="1"/>
  <c r="C574" i="11"/>
  <c r="C620" i="11"/>
  <c r="C631" i="11"/>
  <c r="C542" i="11"/>
  <c r="C682" i="11"/>
  <c r="C510" i="11"/>
  <c r="G510" i="11" s="1"/>
  <c r="C677" i="11"/>
  <c r="C505" i="11"/>
  <c r="G505" i="11" s="1"/>
  <c r="C637" i="11"/>
  <c r="C557" i="11"/>
  <c r="C564" i="11"/>
  <c r="C639" i="11"/>
  <c r="C626" i="11"/>
  <c r="C563" i="11"/>
  <c r="C623" i="11"/>
  <c r="C562" i="11"/>
  <c r="C565" i="11"/>
  <c r="C640" i="11"/>
  <c r="J734" i="11"/>
  <c r="J815" i="11" s="1"/>
  <c r="CE67" i="11"/>
  <c r="C635" i="11"/>
  <c r="C556" i="11"/>
  <c r="C646" i="11"/>
  <c r="C571" i="11"/>
  <c r="C694" i="11"/>
  <c r="C522" i="11"/>
  <c r="C669" i="11"/>
  <c r="C497" i="11"/>
  <c r="G497" i="11" s="1"/>
  <c r="C702" i="11"/>
  <c r="C530" i="11"/>
  <c r="G530" i="11" s="1"/>
  <c r="C552" i="11"/>
  <c r="C618" i="11"/>
  <c r="C692" i="11"/>
  <c r="C520" i="11"/>
  <c r="G520" i="11" s="1"/>
  <c r="C707" i="11"/>
  <c r="C535" i="11"/>
  <c r="G535" i="11" s="1"/>
  <c r="C614" i="11"/>
  <c r="C550" i="11"/>
  <c r="C709" i="11"/>
  <c r="C537" i="11"/>
  <c r="G537" i="11" s="1"/>
  <c r="C630" i="11"/>
  <c r="C546" i="11"/>
  <c r="C647" i="11"/>
  <c r="C572" i="11"/>
  <c r="C712" i="11"/>
  <c r="C540" i="11"/>
  <c r="G540" i="11" s="1"/>
  <c r="C680" i="11"/>
  <c r="C508" i="11"/>
  <c r="G508" i="11" s="1"/>
  <c r="C617" i="11"/>
  <c r="C555" i="11"/>
  <c r="C695" i="11"/>
  <c r="C523" i="11"/>
  <c r="C645" i="11"/>
  <c r="C570" i="11"/>
  <c r="C710" i="11"/>
  <c r="C538" i="11"/>
  <c r="G538" i="11" s="1"/>
  <c r="C678" i="11"/>
  <c r="C506" i="11"/>
  <c r="G506" i="11" s="1"/>
  <c r="C622" i="11"/>
  <c r="C573" i="11"/>
  <c r="C621" i="11"/>
  <c r="C561" i="11"/>
  <c r="C633" i="11"/>
  <c r="C548" i="11"/>
  <c r="C672" i="11"/>
  <c r="C500" i="11"/>
  <c r="G500" i="11" s="1"/>
  <c r="C671" i="11"/>
  <c r="C499" i="11"/>
  <c r="G499" i="11" s="1"/>
  <c r="C693" i="11"/>
  <c r="C521" i="11"/>
  <c r="C568" i="11"/>
  <c r="C643" i="11"/>
  <c r="C536" i="11"/>
  <c r="G536" i="11" s="1"/>
  <c r="C708" i="11"/>
  <c r="C676" i="11"/>
  <c r="C504" i="11"/>
  <c r="G504" i="11" s="1"/>
  <c r="C629" i="11"/>
  <c r="C551" i="11"/>
  <c r="C691" i="11"/>
  <c r="C519" i="11"/>
  <c r="G519" i="11" s="1"/>
  <c r="C566" i="11"/>
  <c r="C641" i="11"/>
  <c r="C706" i="11"/>
  <c r="C534" i="11"/>
  <c r="G534" i="11" s="1"/>
  <c r="C674" i="11"/>
  <c r="C502" i="11"/>
  <c r="G502" i="11" s="1"/>
  <c r="C697" i="11"/>
  <c r="C525" i="11"/>
  <c r="G525" i="11" s="1"/>
  <c r="C628" i="11"/>
  <c r="C545" i="11"/>
  <c r="G545" i="11" s="1"/>
  <c r="C687" i="11"/>
  <c r="C515" i="11"/>
  <c r="G515" i="11" s="1"/>
  <c r="C686" i="11"/>
  <c r="C514" i="11"/>
  <c r="C701" i="11"/>
  <c r="C529" i="11"/>
  <c r="G529" i="11" s="1"/>
  <c r="C679" i="11"/>
  <c r="C507" i="11"/>
  <c r="G507" i="11" s="1"/>
  <c r="C705" i="11"/>
  <c r="C533" i="11"/>
  <c r="G533" i="11" s="1"/>
  <c r="C713" i="11"/>
  <c r="C541" i="11"/>
  <c r="C560" i="11"/>
  <c r="C627" i="11"/>
  <c r="C700" i="11"/>
  <c r="C528" i="11"/>
  <c r="G528" i="11" s="1"/>
  <c r="E734" i="11"/>
  <c r="E815" i="11" s="1"/>
  <c r="C71" i="11"/>
  <c r="CE62" i="11"/>
  <c r="C616" i="11"/>
  <c r="C543" i="11"/>
  <c r="C511" i="11"/>
  <c r="G511" i="11" s="1"/>
  <c r="C683" i="11"/>
  <c r="C558" i="11"/>
  <c r="C638" i="11"/>
  <c r="C526" i="11"/>
  <c r="G526" i="11" s="1"/>
  <c r="C698" i="11"/>
  <c r="C644" i="11"/>
  <c r="C569" i="11"/>
  <c r="C549" i="11"/>
  <c r="C624" i="11"/>
  <c r="C685" i="11"/>
  <c r="C513" i="11"/>
  <c r="G513" i="11" s="1"/>
  <c r="C688" i="11"/>
  <c r="C516" i="11"/>
  <c r="G516" i="11" s="1"/>
  <c r="C703" i="11"/>
  <c r="C531" i="11"/>
  <c r="G531" i="11" s="1"/>
  <c r="C670" i="11"/>
  <c r="C498" i="11"/>
  <c r="G17" i="9"/>
  <c r="I273" i="9"/>
  <c r="D27" i="7"/>
  <c r="D341" i="1"/>
  <c r="C481" i="1" s="1"/>
  <c r="C50" i="8"/>
  <c r="H209" i="9"/>
  <c r="D337" i="9"/>
  <c r="I378" i="9"/>
  <c r="C126" i="8"/>
  <c r="D391" i="1"/>
  <c r="F32" i="6"/>
  <c r="C305" i="9"/>
  <c r="C102" i="8"/>
  <c r="G337" i="9"/>
  <c r="F16" i="6"/>
  <c r="D17" i="9"/>
  <c r="F305" i="9"/>
  <c r="G305" i="9"/>
  <c r="F113" i="9"/>
  <c r="F49" i="9"/>
  <c r="C369" i="9"/>
  <c r="F17" i="9"/>
  <c r="G241" i="9"/>
  <c r="G341" i="9" l="1"/>
  <c r="C645" i="1"/>
  <c r="C570" i="1"/>
  <c r="H181" i="9"/>
  <c r="C536" i="1"/>
  <c r="G536" i="1" s="1"/>
  <c r="C708" i="1"/>
  <c r="C567" i="1"/>
  <c r="C642" i="1"/>
  <c r="C309" i="9"/>
  <c r="C559" i="1"/>
  <c r="C619" i="1"/>
  <c r="C644" i="1"/>
  <c r="C569" i="1"/>
  <c r="E85" i="9"/>
  <c r="C512" i="1"/>
  <c r="C684" i="1"/>
  <c r="C690" i="1"/>
  <c r="C518" i="1"/>
  <c r="C523" i="1"/>
  <c r="C695" i="1"/>
  <c r="C710" i="1"/>
  <c r="C538" i="1"/>
  <c r="G538" i="1" s="1"/>
  <c r="C516" i="1"/>
  <c r="C688" i="1"/>
  <c r="C562" i="1"/>
  <c r="C623" i="1"/>
  <c r="C679" i="1"/>
  <c r="C507" i="1"/>
  <c r="G507" i="1" s="1"/>
  <c r="C672" i="1"/>
  <c r="C500" i="1"/>
  <c r="G500" i="1" s="1"/>
  <c r="C514" i="1"/>
  <c r="C686" i="1"/>
  <c r="I21" i="9"/>
  <c r="C674" i="1"/>
  <c r="C502" i="1"/>
  <c r="G502" i="1" s="1"/>
  <c r="C704" i="1"/>
  <c r="C532" i="1"/>
  <c r="G532" i="1" s="1"/>
  <c r="C628" i="1"/>
  <c r="C545" i="1"/>
  <c r="G545" i="1" s="1"/>
  <c r="D277" i="9"/>
  <c r="C636" i="1"/>
  <c r="C553" i="1"/>
  <c r="C627" i="1"/>
  <c r="C560" i="1"/>
  <c r="F181" i="9"/>
  <c r="C706" i="1"/>
  <c r="C534" i="1"/>
  <c r="G534" i="1" s="1"/>
  <c r="C373" i="9"/>
  <c r="C622" i="1"/>
  <c r="C573" i="1"/>
  <c r="I309" i="9"/>
  <c r="C565" i="1"/>
  <c r="C640" i="1"/>
  <c r="C680" i="1"/>
  <c r="C508" i="1"/>
  <c r="G508" i="1" s="1"/>
  <c r="I181" i="9"/>
  <c r="C537" i="1"/>
  <c r="G537" i="1" s="1"/>
  <c r="C709" i="1"/>
  <c r="C551" i="1"/>
  <c r="C629" i="1"/>
  <c r="C543" i="1"/>
  <c r="C616" i="1"/>
  <c r="C646" i="1"/>
  <c r="C571" i="1"/>
  <c r="C497" i="1"/>
  <c r="C669" i="1"/>
  <c r="C522" i="1"/>
  <c r="C694" i="1"/>
  <c r="C529" i="1"/>
  <c r="G529" i="1" s="1"/>
  <c r="C701" i="1"/>
  <c r="C673" i="1"/>
  <c r="C501" i="1"/>
  <c r="G501" i="1" s="1"/>
  <c r="C535" i="1"/>
  <c r="G535" i="1" s="1"/>
  <c r="C707" i="1"/>
  <c r="C614" i="1"/>
  <c r="C550" i="1"/>
  <c r="C533" i="1"/>
  <c r="G533" i="1" s="1"/>
  <c r="C705" i="1"/>
  <c r="D85" i="9"/>
  <c r="C511" i="1"/>
  <c r="G511" i="1" s="1"/>
  <c r="C683" i="1"/>
  <c r="C566" i="1"/>
  <c r="C641" i="1"/>
  <c r="E117" i="9"/>
  <c r="C519" i="1"/>
  <c r="G519" i="1" s="1"/>
  <c r="C691" i="1"/>
  <c r="C21" i="9"/>
  <c r="C668" i="1"/>
  <c r="C496" i="1"/>
  <c r="G309" i="9"/>
  <c r="C563" i="1"/>
  <c r="C626" i="1"/>
  <c r="F149" i="9"/>
  <c r="C527" i="1"/>
  <c r="C699" i="1"/>
  <c r="C712" i="1"/>
  <c r="C540" i="1"/>
  <c r="G540" i="1" s="1"/>
  <c r="D245" i="9"/>
  <c r="C630" i="1"/>
  <c r="C546" i="1"/>
  <c r="C498" i="1"/>
  <c r="G498" i="1" s="1"/>
  <c r="C670" i="1"/>
  <c r="C621" i="1"/>
  <c r="C561" i="1"/>
  <c r="C539" i="1"/>
  <c r="G539" i="1" s="1"/>
  <c r="C711" i="1"/>
  <c r="C692" i="1"/>
  <c r="C520" i="1"/>
  <c r="G520" i="1" s="1"/>
  <c r="C713" i="1"/>
  <c r="C541" i="1"/>
  <c r="C555" i="1"/>
  <c r="C617" i="1"/>
  <c r="C698" i="1"/>
  <c r="C526" i="1"/>
  <c r="G526" i="1" s="1"/>
  <c r="C703" i="1"/>
  <c r="C531" i="1"/>
  <c r="G149" i="9"/>
  <c r="C528" i="1"/>
  <c r="G528" i="1" s="1"/>
  <c r="C700" i="1"/>
  <c r="C634" i="1"/>
  <c r="C554" i="1"/>
  <c r="C503" i="1"/>
  <c r="G503" i="1" s="1"/>
  <c r="C675" i="1"/>
  <c r="C548" i="1"/>
  <c r="C633" i="1"/>
  <c r="C506" i="1"/>
  <c r="G506" i="1" s="1"/>
  <c r="C678" i="1"/>
  <c r="C697" i="1"/>
  <c r="C525" i="1"/>
  <c r="G525" i="1" s="1"/>
  <c r="C687" i="1"/>
  <c r="C515" i="1"/>
  <c r="AK71" i="1"/>
  <c r="CC71" i="1"/>
  <c r="H273" i="9"/>
  <c r="AY71" i="1"/>
  <c r="F213" i="9"/>
  <c r="C181" i="9"/>
  <c r="H53" i="9"/>
  <c r="I81" i="9"/>
  <c r="AW71" i="1"/>
  <c r="D177" i="9"/>
  <c r="I241" i="9"/>
  <c r="I113" i="9"/>
  <c r="H17" i="9"/>
  <c r="C177" i="9"/>
  <c r="E49" i="9"/>
  <c r="AB71" i="1"/>
  <c r="P71" i="1"/>
  <c r="H149" i="9"/>
  <c r="AE71" i="1"/>
  <c r="X71" i="1"/>
  <c r="G113" i="9"/>
  <c r="CE67" i="1"/>
  <c r="C433" i="1" s="1"/>
  <c r="C441" i="1" s="1"/>
  <c r="D369" i="9"/>
  <c r="L71" i="1"/>
  <c r="E213" i="9"/>
  <c r="BL71" i="1"/>
  <c r="G273" i="9"/>
  <c r="BK71" i="1"/>
  <c r="H49" i="9"/>
  <c r="I117" i="9"/>
  <c r="H305" i="9"/>
  <c r="K71" i="1"/>
  <c r="BG71" i="1"/>
  <c r="BS71" i="1"/>
  <c r="F145" i="9"/>
  <c r="I305" i="9"/>
  <c r="C273" i="9"/>
  <c r="CE52" i="1"/>
  <c r="C213" i="9"/>
  <c r="BW71" i="1"/>
  <c r="T71" i="1"/>
  <c r="D81" i="9"/>
  <c r="I177" i="9"/>
  <c r="CA71" i="1"/>
  <c r="F273" i="9"/>
  <c r="C209" i="9"/>
  <c r="Q71" i="1"/>
  <c r="C81" i="9"/>
  <c r="D241" i="9"/>
  <c r="H81" i="9"/>
  <c r="E81" i="9"/>
  <c r="BB71" i="1"/>
  <c r="E181" i="9"/>
  <c r="D117" i="9"/>
  <c r="F53" i="9"/>
  <c r="H21" i="9"/>
  <c r="H245" i="9"/>
  <c r="G85" i="9"/>
  <c r="F277" i="9"/>
  <c r="F117" i="9"/>
  <c r="H117" i="9"/>
  <c r="G181" i="9"/>
  <c r="D213" i="9"/>
  <c r="D21" i="9"/>
  <c r="G21" i="9"/>
  <c r="H85" i="9"/>
  <c r="F245" i="9"/>
  <c r="D181" i="9"/>
  <c r="I245" i="9"/>
  <c r="F341" i="9"/>
  <c r="I85" i="9"/>
  <c r="H213" i="9"/>
  <c r="D309" i="9"/>
  <c r="C149" i="9"/>
  <c r="C53" i="9"/>
  <c r="E309" i="9"/>
  <c r="G53" i="9"/>
  <c r="F309" i="9"/>
  <c r="E277" i="9"/>
  <c r="D341" i="9"/>
  <c r="I364" i="9"/>
  <c r="H341" i="9"/>
  <c r="E21" i="9"/>
  <c r="C341" i="9"/>
  <c r="C668" i="11"/>
  <c r="C496" i="11"/>
  <c r="G514" i="11"/>
  <c r="H514" i="11" s="1"/>
  <c r="G521" i="11"/>
  <c r="H521" i="11"/>
  <c r="H546" i="11"/>
  <c r="G546" i="11"/>
  <c r="G550" i="11"/>
  <c r="H550" i="11"/>
  <c r="G522" i="11"/>
  <c r="H522" i="11" s="1"/>
  <c r="G544" i="11"/>
  <c r="H544" i="11"/>
  <c r="G517" i="11"/>
  <c r="H517" i="11"/>
  <c r="G509" i="11"/>
  <c r="H509" i="11"/>
  <c r="G524" i="11"/>
  <c r="H524" i="11" s="1"/>
  <c r="G523" i="11"/>
  <c r="H523" i="11"/>
  <c r="J816" i="11"/>
  <c r="C433" i="11"/>
  <c r="G512" i="11"/>
  <c r="H512" i="11"/>
  <c r="G518" i="11"/>
  <c r="H518" i="11" s="1"/>
  <c r="G498" i="11"/>
  <c r="H498" i="11"/>
  <c r="E816" i="11"/>
  <c r="C428" i="11"/>
  <c r="C441" i="11" s="1"/>
  <c r="CE71" i="11"/>
  <c r="C716" i="11" s="1"/>
  <c r="C715" i="11"/>
  <c r="C648" i="11"/>
  <c r="M716" i="11" s="1"/>
  <c r="Y816" i="11" s="1"/>
  <c r="D615" i="11"/>
  <c r="C142" i="8"/>
  <c r="D393" i="1"/>
  <c r="C681" i="1" l="1"/>
  <c r="C509" i="1"/>
  <c r="G509" i="1" s="1"/>
  <c r="C564" i="1"/>
  <c r="C639" i="1"/>
  <c r="H277" i="9"/>
  <c r="C637" i="1"/>
  <c r="C557" i="1"/>
  <c r="D373" i="9"/>
  <c r="C574" i="1"/>
  <c r="C620" i="1"/>
  <c r="C715" i="1" s="1"/>
  <c r="G516" i="1"/>
  <c r="H516" i="1"/>
  <c r="G512" i="1"/>
  <c r="H512" i="1"/>
  <c r="C618" i="1"/>
  <c r="C552" i="1"/>
  <c r="C643" i="1"/>
  <c r="C568" i="1"/>
  <c r="C676" i="1"/>
  <c r="C504" i="1"/>
  <c r="G504" i="1" s="1"/>
  <c r="E53" i="9"/>
  <c r="C677" i="1"/>
  <c r="C505" i="1"/>
  <c r="G505" i="1" s="1"/>
  <c r="C693" i="1"/>
  <c r="C521" i="1"/>
  <c r="H515" i="1"/>
  <c r="G515" i="1"/>
  <c r="D615" i="1"/>
  <c r="G522" i="1"/>
  <c r="H522" i="1"/>
  <c r="C530" i="1"/>
  <c r="C702" i="1"/>
  <c r="C682" i="1"/>
  <c r="C510" i="1"/>
  <c r="G510" i="1" s="1"/>
  <c r="G550" i="1"/>
  <c r="H550" i="1" s="1"/>
  <c r="G496" i="1"/>
  <c r="H496" i="1"/>
  <c r="G497" i="1"/>
  <c r="H497" i="1" s="1"/>
  <c r="G523" i="1"/>
  <c r="H523" i="1"/>
  <c r="G213" i="9"/>
  <c r="C542" i="1"/>
  <c r="C631" i="1"/>
  <c r="H546" i="1"/>
  <c r="G546" i="1"/>
  <c r="G518" i="1"/>
  <c r="H518" i="1" s="1"/>
  <c r="C513" i="1"/>
  <c r="G513" i="1" s="1"/>
  <c r="C685" i="1"/>
  <c r="G531" i="1"/>
  <c r="H531" i="1"/>
  <c r="C547" i="1"/>
  <c r="C632" i="1"/>
  <c r="C572" i="1"/>
  <c r="C647" i="1"/>
  <c r="C635" i="1"/>
  <c r="C556" i="1"/>
  <c r="C117" i="9"/>
  <c r="C689" i="1"/>
  <c r="C517" i="1"/>
  <c r="C544" i="1"/>
  <c r="C625" i="1"/>
  <c r="G514" i="1"/>
  <c r="H514" i="1"/>
  <c r="C277" i="9"/>
  <c r="C696" i="1"/>
  <c r="C524" i="1"/>
  <c r="G527" i="1"/>
  <c r="H527" i="1"/>
  <c r="G117" i="9"/>
  <c r="I53" i="9"/>
  <c r="I149" i="9"/>
  <c r="I213" i="9"/>
  <c r="H309" i="9"/>
  <c r="I369" i="9"/>
  <c r="CE71" i="1"/>
  <c r="C716" i="1" s="1"/>
  <c r="E245" i="9"/>
  <c r="C85" i="9"/>
  <c r="F85" i="9"/>
  <c r="E341" i="9"/>
  <c r="G277" i="9"/>
  <c r="D53" i="9"/>
  <c r="I341" i="9"/>
  <c r="D712" i="11"/>
  <c r="D708" i="11"/>
  <c r="D704" i="11"/>
  <c r="D700" i="11"/>
  <c r="D696" i="11"/>
  <c r="D710" i="11"/>
  <c r="D706" i="11"/>
  <c r="D702" i="11"/>
  <c r="D716" i="11"/>
  <c r="D707" i="11"/>
  <c r="D699" i="11"/>
  <c r="D693" i="11"/>
  <c r="D689" i="11"/>
  <c r="D685" i="11"/>
  <c r="D681" i="11"/>
  <c r="D677" i="11"/>
  <c r="D673" i="11"/>
  <c r="D669" i="11"/>
  <c r="D709" i="11"/>
  <c r="D701" i="11"/>
  <c r="D690" i="11"/>
  <c r="D686" i="11"/>
  <c r="D682" i="11"/>
  <c r="D711" i="11"/>
  <c r="D703" i="11"/>
  <c r="D698" i="11"/>
  <c r="D697" i="11"/>
  <c r="D691" i="11"/>
  <c r="D687" i="11"/>
  <c r="D683" i="11"/>
  <c r="D679" i="11"/>
  <c r="D675" i="11"/>
  <c r="D671" i="11"/>
  <c r="D644" i="11"/>
  <c r="D643" i="11"/>
  <c r="D642" i="11"/>
  <c r="D641" i="11"/>
  <c r="D640" i="11"/>
  <c r="D639" i="11"/>
  <c r="D638" i="11"/>
  <c r="D637" i="11"/>
  <c r="D713" i="11"/>
  <c r="D684" i="11"/>
  <c r="D674" i="11"/>
  <c r="D636" i="11"/>
  <c r="D635" i="11"/>
  <c r="D634" i="11"/>
  <c r="D633" i="11"/>
  <c r="D632" i="11"/>
  <c r="D631" i="11"/>
  <c r="D630" i="11"/>
  <c r="D625" i="11"/>
  <c r="D624" i="11"/>
  <c r="D694" i="11"/>
  <c r="D688" i="11"/>
  <c r="D676" i="11"/>
  <c r="D668" i="11"/>
  <c r="D628" i="11"/>
  <c r="D622" i="11"/>
  <c r="D620" i="11"/>
  <c r="D618" i="11"/>
  <c r="D616" i="11"/>
  <c r="D692" i="11"/>
  <c r="D678" i="11"/>
  <c r="D670" i="11"/>
  <c r="D647" i="11"/>
  <c r="D646" i="11"/>
  <c r="D645" i="11"/>
  <c r="D627" i="11"/>
  <c r="D680" i="11"/>
  <c r="D619" i="11"/>
  <c r="D629" i="11"/>
  <c r="D617" i="11"/>
  <c r="D626" i="11"/>
  <c r="D705" i="11"/>
  <c r="D695" i="11"/>
  <c r="D623" i="11"/>
  <c r="D672" i="11"/>
  <c r="D621" i="11"/>
  <c r="G496" i="11"/>
  <c r="H496" i="11" s="1"/>
  <c r="C146" i="8"/>
  <c r="D396" i="1"/>
  <c r="C151" i="8" s="1"/>
  <c r="C648" i="1" l="1"/>
  <c r="M716" i="1" s="1"/>
  <c r="G544" i="1"/>
  <c r="H544" i="1" s="1"/>
  <c r="G530" i="1"/>
  <c r="H530" i="1" s="1"/>
  <c r="G517" i="1"/>
  <c r="H517" i="1"/>
  <c r="H521" i="1"/>
  <c r="G521" i="1"/>
  <c r="G524" i="1"/>
  <c r="H524" i="1" s="1"/>
  <c r="D675" i="1"/>
  <c r="D706" i="1"/>
  <c r="D687" i="1"/>
  <c r="D670" i="1"/>
  <c r="D685" i="1"/>
  <c r="D683" i="1"/>
  <c r="D681" i="1"/>
  <c r="D678" i="1"/>
  <c r="D708" i="1"/>
  <c r="D618" i="1"/>
  <c r="D637" i="1"/>
  <c r="D642" i="1"/>
  <c r="D643" i="1"/>
  <c r="D623" i="1"/>
  <c r="D693" i="1"/>
  <c r="D621" i="1"/>
  <c r="D629" i="1"/>
  <c r="D690" i="1"/>
  <c r="D671" i="1"/>
  <c r="D638" i="1"/>
  <c r="D669" i="1"/>
  <c r="D619" i="1"/>
  <c r="D640" i="1"/>
  <c r="D626" i="1"/>
  <c r="D682" i="1"/>
  <c r="D634" i="1"/>
  <c r="D635" i="1"/>
  <c r="D677" i="1"/>
  <c r="D633" i="1"/>
  <c r="D672" i="1"/>
  <c r="D697" i="1"/>
  <c r="D709" i="1"/>
  <c r="D698" i="1"/>
  <c r="D679" i="1"/>
  <c r="D684" i="1"/>
  <c r="D644" i="1"/>
  <c r="D639" i="1"/>
  <c r="D692" i="1"/>
  <c r="D673" i="1"/>
  <c r="D705" i="1"/>
  <c r="D704" i="1"/>
  <c r="D668" i="1"/>
  <c r="D712" i="1"/>
  <c r="D636" i="1"/>
  <c r="D617" i="1"/>
  <c r="D674" i="1"/>
  <c r="D702" i="1"/>
  <c r="D630" i="1"/>
  <c r="D647" i="1"/>
  <c r="D631" i="1"/>
  <c r="D710" i="1"/>
  <c r="D632" i="1"/>
  <c r="D676" i="1"/>
  <c r="D689" i="1"/>
  <c r="D624" i="1"/>
  <c r="D627" i="1"/>
  <c r="D696" i="1"/>
  <c r="D645" i="1"/>
  <c r="D707" i="1"/>
  <c r="D691" i="1"/>
  <c r="D703" i="1"/>
  <c r="D701" i="1"/>
  <c r="D713" i="1"/>
  <c r="D716" i="1"/>
  <c r="D695" i="1"/>
  <c r="D700" i="1"/>
  <c r="D680" i="1"/>
  <c r="D641" i="1"/>
  <c r="D646" i="1"/>
  <c r="D711" i="1"/>
  <c r="D688" i="1"/>
  <c r="D620" i="1"/>
  <c r="D625" i="1"/>
  <c r="D686" i="1"/>
  <c r="D616" i="1"/>
  <c r="D694" i="1"/>
  <c r="D628" i="1"/>
  <c r="D699" i="1"/>
  <c r="D622" i="1"/>
  <c r="I373" i="9"/>
  <c r="D715" i="11"/>
  <c r="E623" i="11"/>
  <c r="E612" i="11"/>
  <c r="D715" i="1" l="1"/>
  <c r="E623" i="1"/>
  <c r="E612" i="1"/>
  <c r="E713" i="11"/>
  <c r="E709" i="11"/>
  <c r="E705" i="11"/>
  <c r="E701" i="11"/>
  <c r="E697" i="11"/>
  <c r="E716" i="11"/>
  <c r="E711" i="11"/>
  <c r="E707" i="11"/>
  <c r="E703" i="11"/>
  <c r="E699" i="11"/>
  <c r="E712" i="11"/>
  <c r="E704" i="11"/>
  <c r="E690" i="11"/>
  <c r="E686" i="11"/>
  <c r="E682" i="11"/>
  <c r="E678" i="11"/>
  <c r="E674" i="11"/>
  <c r="E670" i="11"/>
  <c r="E647" i="11"/>
  <c r="E646" i="11"/>
  <c r="E645" i="11"/>
  <c r="E706" i="11"/>
  <c r="E698" i="11"/>
  <c r="E691" i="11"/>
  <c r="E687" i="11"/>
  <c r="E683" i="11"/>
  <c r="E708" i="11"/>
  <c r="E700" i="11"/>
  <c r="E696" i="11"/>
  <c r="E695" i="11"/>
  <c r="E694" i="11"/>
  <c r="E692" i="11"/>
  <c r="E688" i="11"/>
  <c r="E684" i="11"/>
  <c r="E680" i="11"/>
  <c r="E676" i="11"/>
  <c r="E672" i="11"/>
  <c r="E668" i="11"/>
  <c r="E710" i="11"/>
  <c r="E681" i="11"/>
  <c r="E679" i="11"/>
  <c r="E671" i="11"/>
  <c r="E628" i="11"/>
  <c r="E685" i="11"/>
  <c r="E673" i="11"/>
  <c r="E627" i="11"/>
  <c r="E689" i="11"/>
  <c r="E675" i="11"/>
  <c r="E644" i="11"/>
  <c r="E643" i="11"/>
  <c r="E642" i="11"/>
  <c r="E641" i="11"/>
  <c r="E640" i="11"/>
  <c r="E639" i="11"/>
  <c r="E638" i="11"/>
  <c r="E637" i="11"/>
  <c r="E629" i="11"/>
  <c r="E626" i="11"/>
  <c r="E677" i="11"/>
  <c r="E625" i="11"/>
  <c r="E635" i="11"/>
  <c r="E636" i="11"/>
  <c r="E634" i="11"/>
  <c r="E632" i="11"/>
  <c r="E630" i="11"/>
  <c r="E624" i="11"/>
  <c r="E702" i="11"/>
  <c r="E633" i="11"/>
  <c r="E693" i="11"/>
  <c r="E669" i="11"/>
  <c r="E631" i="11"/>
  <c r="E695" i="1" l="1"/>
  <c r="E676" i="1"/>
  <c r="E643" i="1"/>
  <c r="E682" i="1"/>
  <c r="E644" i="1"/>
  <c r="E677" i="1"/>
  <c r="E633" i="1"/>
  <c r="E672" i="1"/>
  <c r="E642" i="1"/>
  <c r="E687" i="1"/>
  <c r="E668" i="1"/>
  <c r="E639" i="1"/>
  <c r="E681" i="1"/>
  <c r="E640" i="1"/>
  <c r="E645" i="1"/>
  <c r="E706" i="1"/>
  <c r="E629" i="1"/>
  <c r="E624" i="1"/>
  <c r="E674" i="1"/>
  <c r="E679" i="1"/>
  <c r="E701" i="1"/>
  <c r="E635" i="1"/>
  <c r="E712" i="1"/>
  <c r="E636" i="1"/>
  <c r="E628" i="1"/>
  <c r="E689" i="1"/>
  <c r="E690" i="1"/>
  <c r="E704" i="1"/>
  <c r="E671" i="1"/>
  <c r="E685" i="1"/>
  <c r="E631" i="1"/>
  <c r="E710" i="1"/>
  <c r="E632" i="1"/>
  <c r="E707" i="1"/>
  <c r="E670" i="1"/>
  <c r="E673" i="1"/>
  <c r="E638" i="1"/>
  <c r="E697" i="1"/>
  <c r="E637" i="1"/>
  <c r="E708" i="1"/>
  <c r="E669" i="1"/>
  <c r="E627" i="1"/>
  <c r="E696" i="1"/>
  <c r="E625" i="1"/>
  <c r="E691" i="1"/>
  <c r="E630" i="1"/>
  <c r="E646" i="1"/>
  <c r="E634" i="1"/>
  <c r="E692" i="1"/>
  <c r="E698" i="1"/>
  <c r="E709" i="1"/>
  <c r="E705" i="1"/>
  <c r="E684" i="1"/>
  <c r="E678" i="1"/>
  <c r="E686" i="1"/>
  <c r="E700" i="1"/>
  <c r="E647" i="1"/>
  <c r="E713" i="1"/>
  <c r="E694" i="1"/>
  <c r="E716" i="1"/>
  <c r="E675" i="1"/>
  <c r="E626" i="1"/>
  <c r="E702" i="1"/>
  <c r="E711" i="1"/>
  <c r="E699" i="1"/>
  <c r="E680" i="1"/>
  <c r="E641" i="1"/>
  <c r="E688" i="1"/>
  <c r="E703" i="1"/>
  <c r="E683" i="1"/>
  <c r="E693" i="1"/>
  <c r="E715" i="11"/>
  <c r="F624" i="11"/>
  <c r="E715" i="1" l="1"/>
  <c r="F624" i="1"/>
  <c r="F710" i="11"/>
  <c r="F706" i="11"/>
  <c r="F702" i="11"/>
  <c r="F698" i="11"/>
  <c r="F694" i="11"/>
  <c r="F712" i="11"/>
  <c r="F708" i="11"/>
  <c r="F704" i="11"/>
  <c r="F700" i="11"/>
  <c r="F709" i="11"/>
  <c r="F701" i="11"/>
  <c r="F691" i="11"/>
  <c r="F687" i="11"/>
  <c r="F683" i="11"/>
  <c r="F679" i="11"/>
  <c r="F675" i="11"/>
  <c r="F671" i="11"/>
  <c r="F644" i="11"/>
  <c r="F643" i="11"/>
  <c r="F642" i="11"/>
  <c r="F641" i="11"/>
  <c r="F640" i="11"/>
  <c r="F639" i="11"/>
  <c r="F638" i="11"/>
  <c r="F637" i="11"/>
  <c r="F711" i="11"/>
  <c r="F703" i="11"/>
  <c r="F697" i="11"/>
  <c r="F696" i="11"/>
  <c r="F695" i="11"/>
  <c r="F692" i="11"/>
  <c r="F688" i="11"/>
  <c r="F684" i="11"/>
  <c r="F680" i="11"/>
  <c r="F713" i="11"/>
  <c r="F705" i="11"/>
  <c r="F693" i="11"/>
  <c r="F689" i="11"/>
  <c r="F685" i="11"/>
  <c r="F681" i="11"/>
  <c r="F677" i="11"/>
  <c r="F673" i="11"/>
  <c r="F669" i="11"/>
  <c r="F707" i="11"/>
  <c r="F676" i="11"/>
  <c r="F668" i="11"/>
  <c r="F627" i="11"/>
  <c r="F716" i="11"/>
  <c r="F682" i="11"/>
  <c r="F678" i="11"/>
  <c r="F670" i="11"/>
  <c r="F647" i="11"/>
  <c r="F646" i="11"/>
  <c r="F645" i="11"/>
  <c r="F629" i="11"/>
  <c r="F626" i="11"/>
  <c r="F686" i="11"/>
  <c r="F672" i="11"/>
  <c r="F636" i="11"/>
  <c r="F635" i="11"/>
  <c r="F634" i="11"/>
  <c r="F633" i="11"/>
  <c r="F632" i="11"/>
  <c r="F631" i="11"/>
  <c r="F630" i="11"/>
  <c r="F625" i="11"/>
  <c r="F699" i="11"/>
  <c r="F674" i="11"/>
  <c r="F628" i="11"/>
  <c r="F690" i="11"/>
  <c r="F692" i="1" l="1"/>
  <c r="F681" i="1"/>
  <c r="F627" i="1"/>
  <c r="F678" i="1"/>
  <c r="F709" i="1"/>
  <c r="F691" i="1"/>
  <c r="F646" i="1"/>
  <c r="F672" i="1"/>
  <c r="F685" i="1"/>
  <c r="F647" i="1"/>
  <c r="F626" i="1"/>
  <c r="F638" i="1"/>
  <c r="F632" i="1"/>
  <c r="F633" i="1"/>
  <c r="F697" i="1"/>
  <c r="F628" i="1"/>
  <c r="F700" i="1"/>
  <c r="F686" i="1"/>
  <c r="F684" i="1"/>
  <c r="F673" i="1"/>
  <c r="F698" i="1"/>
  <c r="F644" i="1"/>
  <c r="F695" i="1"/>
  <c r="F675" i="1"/>
  <c r="F629" i="1"/>
  <c r="F671" i="1"/>
  <c r="F710" i="1"/>
  <c r="F677" i="1"/>
  <c r="F670" i="1"/>
  <c r="F669" i="1"/>
  <c r="F716" i="1"/>
  <c r="F642" i="1"/>
  <c r="F711" i="1"/>
  <c r="F704" i="1"/>
  <c r="F676" i="1"/>
  <c r="F699" i="1"/>
  <c r="F682" i="1"/>
  <c r="F640" i="1"/>
  <c r="F693" i="1"/>
  <c r="F641" i="1"/>
  <c r="F701" i="1"/>
  <c r="F635" i="1"/>
  <c r="F680" i="1"/>
  <c r="F668" i="1"/>
  <c r="F683" i="1"/>
  <c r="F712" i="1"/>
  <c r="F636" i="1"/>
  <c r="F679" i="1"/>
  <c r="F637" i="1"/>
  <c r="F687" i="1"/>
  <c r="F702" i="1"/>
  <c r="F634" i="1"/>
  <c r="F713" i="1"/>
  <c r="F643" i="1"/>
  <c r="F688" i="1"/>
  <c r="F694" i="1"/>
  <c r="F703" i="1"/>
  <c r="F631" i="1"/>
  <c r="F707" i="1"/>
  <c r="F705" i="1"/>
  <c r="F639" i="1"/>
  <c r="F696" i="1"/>
  <c r="F625" i="1"/>
  <c r="F645" i="1"/>
  <c r="F706" i="1"/>
  <c r="F630" i="1"/>
  <c r="F708" i="1"/>
  <c r="F690" i="1"/>
  <c r="F689" i="1"/>
  <c r="F674" i="1"/>
  <c r="F715" i="11"/>
  <c r="G625" i="11"/>
  <c r="F715" i="1" l="1"/>
  <c r="G625" i="1"/>
  <c r="G716" i="11"/>
  <c r="G711" i="11"/>
  <c r="G707" i="11"/>
  <c r="G703" i="11"/>
  <c r="G699" i="11"/>
  <c r="G695" i="11"/>
  <c r="G713" i="11"/>
  <c r="G709" i="11"/>
  <c r="G705" i="11"/>
  <c r="G701" i="11"/>
  <c r="G706" i="11"/>
  <c r="G698" i="11"/>
  <c r="G697" i="11"/>
  <c r="G696" i="11"/>
  <c r="G692" i="11"/>
  <c r="G688" i="11"/>
  <c r="G684" i="11"/>
  <c r="G680" i="11"/>
  <c r="G676" i="11"/>
  <c r="G672" i="11"/>
  <c r="G668" i="11"/>
  <c r="G708" i="11"/>
  <c r="G700" i="11"/>
  <c r="G694" i="11"/>
  <c r="G693" i="11"/>
  <c r="G689" i="11"/>
  <c r="G685" i="11"/>
  <c r="G681" i="11"/>
  <c r="G710" i="11"/>
  <c r="G702" i="11"/>
  <c r="G690" i="11"/>
  <c r="G686" i="11"/>
  <c r="G682" i="11"/>
  <c r="G678" i="11"/>
  <c r="G674" i="11"/>
  <c r="G670" i="11"/>
  <c r="G647" i="11"/>
  <c r="G646" i="11"/>
  <c r="G645" i="11"/>
  <c r="G704" i="11"/>
  <c r="G691" i="11"/>
  <c r="G673" i="11"/>
  <c r="G629" i="11"/>
  <c r="G626" i="11"/>
  <c r="G712" i="11"/>
  <c r="G675" i="11"/>
  <c r="G644" i="11"/>
  <c r="G643" i="11"/>
  <c r="G642" i="11"/>
  <c r="G641" i="11"/>
  <c r="G640" i="11"/>
  <c r="G639" i="11"/>
  <c r="G638" i="11"/>
  <c r="G637" i="11"/>
  <c r="G636" i="11"/>
  <c r="G635" i="11"/>
  <c r="G634" i="11"/>
  <c r="G633" i="11"/>
  <c r="G632" i="11"/>
  <c r="G631" i="11"/>
  <c r="G630" i="11"/>
  <c r="G683" i="11"/>
  <c r="G677" i="11"/>
  <c r="G669" i="11"/>
  <c r="G628" i="11"/>
  <c r="G671" i="11"/>
  <c r="G687" i="11"/>
  <c r="G679" i="11"/>
  <c r="G627" i="11"/>
  <c r="G705" i="1" l="1"/>
  <c r="G708" i="1"/>
  <c r="G697" i="1"/>
  <c r="G678" i="1"/>
  <c r="G682" i="1"/>
  <c r="G632" i="1"/>
  <c r="G628" i="1"/>
  <c r="H628" i="1" s="1"/>
  <c r="G706" i="1"/>
  <c r="G688" i="1"/>
  <c r="G643" i="1"/>
  <c r="G699" i="1"/>
  <c r="G689" i="1"/>
  <c r="G670" i="1"/>
  <c r="G668" i="1"/>
  <c r="G716" i="1"/>
  <c r="G707" i="1"/>
  <c r="G692" i="1"/>
  <c r="G672" i="1"/>
  <c r="G701" i="1"/>
  <c r="G631" i="1"/>
  <c r="G646" i="1"/>
  <c r="G709" i="1"/>
  <c r="G638" i="1"/>
  <c r="G635" i="1"/>
  <c r="G681" i="1"/>
  <c r="G647" i="1"/>
  <c r="G712" i="1"/>
  <c r="G711" i="1"/>
  <c r="G691" i="1"/>
  <c r="G690" i="1"/>
  <c r="G642" i="1"/>
  <c r="G687" i="1"/>
  <c r="G627" i="1"/>
  <c r="G673" i="1"/>
  <c r="G696" i="1"/>
  <c r="G675" i="1"/>
  <c r="G676" i="1"/>
  <c r="G683" i="1"/>
  <c r="G636" i="1"/>
  <c r="G669" i="1"/>
  <c r="G710" i="1"/>
  <c r="G645" i="1"/>
  <c r="G680" i="1"/>
  <c r="G695" i="1"/>
  <c r="G641" i="1"/>
  <c r="G674" i="1"/>
  <c r="G634" i="1"/>
  <c r="G639" i="1"/>
  <c r="G629" i="1"/>
  <c r="G685" i="1"/>
  <c r="G713" i="1"/>
  <c r="G698" i="1"/>
  <c r="G633" i="1"/>
  <c r="G703" i="1"/>
  <c r="G684" i="1"/>
  <c r="G704" i="1"/>
  <c r="G702" i="1"/>
  <c r="G700" i="1"/>
  <c r="G644" i="1"/>
  <c r="G693" i="1"/>
  <c r="G637" i="1"/>
  <c r="G630" i="1"/>
  <c r="G694" i="1"/>
  <c r="G640" i="1"/>
  <c r="G679" i="1"/>
  <c r="G626" i="1"/>
  <c r="G671" i="1"/>
  <c r="G686" i="1"/>
  <c r="G677" i="1"/>
  <c r="G715" i="11"/>
  <c r="H628" i="11"/>
  <c r="H712" i="11"/>
  <c r="H708" i="11"/>
  <c r="H704" i="11"/>
  <c r="H700" i="11"/>
  <c r="H696" i="11"/>
  <c r="H710" i="11"/>
  <c r="H706" i="11"/>
  <c r="H702" i="11"/>
  <c r="H698" i="11"/>
  <c r="H711" i="11"/>
  <c r="H703" i="11"/>
  <c r="H695" i="11"/>
  <c r="H694" i="11"/>
  <c r="H693" i="11"/>
  <c r="H689" i="11"/>
  <c r="H685" i="11"/>
  <c r="H681" i="11"/>
  <c r="H677" i="11"/>
  <c r="H673" i="11"/>
  <c r="H669" i="11"/>
  <c r="H713" i="11"/>
  <c r="H705" i="11"/>
  <c r="H690" i="11"/>
  <c r="H686" i="11"/>
  <c r="H682" i="11"/>
  <c r="H716" i="11"/>
  <c r="H707" i="11"/>
  <c r="H699" i="11"/>
  <c r="H691" i="11"/>
  <c r="H687" i="11"/>
  <c r="H683" i="11"/>
  <c r="H679" i="11"/>
  <c r="H675" i="11"/>
  <c r="H671" i="11"/>
  <c r="H644" i="11"/>
  <c r="H643" i="11"/>
  <c r="H642" i="11"/>
  <c r="H641" i="11"/>
  <c r="H640" i="11"/>
  <c r="H639" i="11"/>
  <c r="H638" i="11"/>
  <c r="H637" i="11"/>
  <c r="H636" i="11"/>
  <c r="H701" i="11"/>
  <c r="H688" i="11"/>
  <c r="H678" i="11"/>
  <c r="H670" i="11"/>
  <c r="H647" i="11"/>
  <c r="H646" i="11"/>
  <c r="H645" i="11"/>
  <c r="H635" i="11"/>
  <c r="H634" i="11"/>
  <c r="H633" i="11"/>
  <c r="H632" i="11"/>
  <c r="H631" i="11"/>
  <c r="H630" i="11"/>
  <c r="H709" i="11"/>
  <c r="H692" i="11"/>
  <c r="H672" i="11"/>
  <c r="H697" i="11"/>
  <c r="H680" i="11"/>
  <c r="H674" i="11"/>
  <c r="H668" i="11"/>
  <c r="H684" i="11"/>
  <c r="H676" i="11"/>
  <c r="H629" i="11"/>
  <c r="H710" i="1" l="1"/>
  <c r="H645" i="1"/>
  <c r="H643" i="1"/>
  <c r="H635" i="1"/>
  <c r="H680" i="1"/>
  <c r="H679" i="1"/>
  <c r="H629" i="1"/>
  <c r="H687" i="1"/>
  <c r="H682" i="1"/>
  <c r="H702" i="1"/>
  <c r="H716" i="1"/>
  <c r="H642" i="1"/>
  <c r="H634" i="1"/>
  <c r="H713" i="1"/>
  <c r="H677" i="1"/>
  <c r="H704" i="1"/>
  <c r="H685" i="1"/>
  <c r="H668" i="1"/>
  <c r="H694" i="1"/>
  <c r="H707" i="1"/>
  <c r="H641" i="1"/>
  <c r="H633" i="1"/>
  <c r="H711" i="1"/>
  <c r="H708" i="1"/>
  <c r="H688" i="1"/>
  <c r="H673" i="1"/>
  <c r="H686" i="1"/>
  <c r="H699" i="1"/>
  <c r="H640" i="1"/>
  <c r="H632" i="1"/>
  <c r="H709" i="1"/>
  <c r="H706" i="1"/>
  <c r="H672" i="1"/>
  <c r="H671" i="1"/>
  <c r="H698" i="1"/>
  <c r="H701" i="1"/>
  <c r="H689" i="1"/>
  <c r="H678" i="1"/>
  <c r="H691" i="1"/>
  <c r="H639" i="1"/>
  <c r="H631" i="1"/>
  <c r="H697" i="1"/>
  <c r="H692" i="1"/>
  <c r="H705" i="1"/>
  <c r="H669" i="1"/>
  <c r="H683" i="1"/>
  <c r="H638" i="1"/>
  <c r="H630" i="1"/>
  <c r="H690" i="1"/>
  <c r="H703" i="1"/>
  <c r="H676" i="1"/>
  <c r="H681" i="1"/>
  <c r="H670" i="1"/>
  <c r="H695" i="1"/>
  <c r="H700" i="1"/>
  <c r="H647" i="1"/>
  <c r="H675" i="1"/>
  <c r="H637" i="1"/>
  <c r="H712" i="1"/>
  <c r="H693" i="1"/>
  <c r="H684" i="1"/>
  <c r="H646" i="1"/>
  <c r="H644" i="1"/>
  <c r="H636" i="1"/>
  <c r="H696" i="1"/>
  <c r="H674" i="1"/>
  <c r="G715" i="1"/>
  <c r="H715" i="11"/>
  <c r="I629" i="11"/>
  <c r="H715" i="1" l="1"/>
  <c r="I629" i="1"/>
  <c r="I713" i="11"/>
  <c r="I709" i="11"/>
  <c r="I705" i="11"/>
  <c r="I701" i="11"/>
  <c r="I697" i="11"/>
  <c r="I693" i="11"/>
  <c r="I716" i="11"/>
  <c r="I711" i="11"/>
  <c r="I707" i="11"/>
  <c r="I703" i="11"/>
  <c r="I699" i="11"/>
  <c r="I708" i="11"/>
  <c r="I700" i="11"/>
  <c r="I690" i="11"/>
  <c r="I686" i="11"/>
  <c r="I682" i="11"/>
  <c r="I678" i="11"/>
  <c r="I674" i="11"/>
  <c r="I670" i="11"/>
  <c r="I647" i="11"/>
  <c r="I646" i="11"/>
  <c r="I645" i="11"/>
  <c r="I710" i="11"/>
  <c r="I702" i="11"/>
  <c r="I691" i="11"/>
  <c r="I687" i="11"/>
  <c r="I683" i="11"/>
  <c r="I712" i="11"/>
  <c r="I704" i="11"/>
  <c r="I692" i="11"/>
  <c r="I688" i="11"/>
  <c r="I684" i="11"/>
  <c r="I680" i="11"/>
  <c r="I676" i="11"/>
  <c r="I672" i="11"/>
  <c r="I668" i="11"/>
  <c r="I698" i="11"/>
  <c r="I696" i="11"/>
  <c r="I694" i="11"/>
  <c r="I685" i="11"/>
  <c r="I675" i="11"/>
  <c r="I644" i="11"/>
  <c r="I643" i="11"/>
  <c r="I642" i="11"/>
  <c r="I641" i="11"/>
  <c r="I640" i="11"/>
  <c r="I639" i="11"/>
  <c r="I638" i="11"/>
  <c r="I637" i="11"/>
  <c r="I636" i="11"/>
  <c r="I706" i="11"/>
  <c r="I689" i="11"/>
  <c r="I677" i="11"/>
  <c r="I669" i="11"/>
  <c r="I695" i="11"/>
  <c r="I679" i="11"/>
  <c r="I671" i="11"/>
  <c r="I634" i="11"/>
  <c r="I632" i="11"/>
  <c r="I630" i="11"/>
  <c r="I673" i="11"/>
  <c r="I635" i="11"/>
  <c r="I633" i="11"/>
  <c r="I631" i="11"/>
  <c r="I681" i="11"/>
  <c r="I716" i="1" l="1"/>
  <c r="I642" i="1"/>
  <c r="I634" i="1"/>
  <c r="I688" i="1"/>
  <c r="I681" i="1"/>
  <c r="I692" i="1"/>
  <c r="I689" i="1"/>
  <c r="I686" i="1"/>
  <c r="I707" i="1"/>
  <c r="I641" i="1"/>
  <c r="I633" i="1"/>
  <c r="I680" i="1"/>
  <c r="I679" i="1"/>
  <c r="I690" i="1"/>
  <c r="I687" i="1"/>
  <c r="I670" i="1"/>
  <c r="I701" i="1"/>
  <c r="I699" i="1"/>
  <c r="I640" i="1"/>
  <c r="I632" i="1"/>
  <c r="I672" i="1"/>
  <c r="I677" i="1"/>
  <c r="I676" i="1"/>
  <c r="I685" i="1"/>
  <c r="I647" i="1"/>
  <c r="I710" i="1"/>
  <c r="I673" i="1"/>
  <c r="I700" i="1"/>
  <c r="I643" i="1"/>
  <c r="I696" i="1"/>
  <c r="I698" i="1"/>
  <c r="I691" i="1"/>
  <c r="I639" i="1"/>
  <c r="I631" i="1"/>
  <c r="I711" i="1"/>
  <c r="I674" i="1"/>
  <c r="I635" i="1"/>
  <c r="I702" i="1"/>
  <c r="I683" i="1"/>
  <c r="I638" i="1"/>
  <c r="I630" i="1"/>
  <c r="I709" i="1"/>
  <c r="I694" i="1"/>
  <c r="I645" i="1"/>
  <c r="I671" i="1"/>
  <c r="I684" i="1"/>
  <c r="I675" i="1"/>
  <c r="I637" i="1"/>
  <c r="I712" i="1"/>
  <c r="I697" i="1"/>
  <c r="I678" i="1"/>
  <c r="I705" i="1"/>
  <c r="I669" i="1"/>
  <c r="I682" i="1"/>
  <c r="I693" i="1"/>
  <c r="I644" i="1"/>
  <c r="I636" i="1"/>
  <c r="I704" i="1"/>
  <c r="I695" i="1"/>
  <c r="I708" i="1"/>
  <c r="I703" i="1"/>
  <c r="I646" i="1"/>
  <c r="I668" i="1"/>
  <c r="I713" i="1"/>
  <c r="I706" i="1"/>
  <c r="I715" i="11"/>
  <c r="J630" i="11"/>
  <c r="I715" i="1" l="1"/>
  <c r="J630" i="1"/>
  <c r="J710" i="11"/>
  <c r="J706" i="11"/>
  <c r="J702" i="11"/>
  <c r="J698" i="11"/>
  <c r="J694" i="11"/>
  <c r="J712" i="11"/>
  <c r="J708" i="11"/>
  <c r="J704" i="11"/>
  <c r="J700" i="11"/>
  <c r="J713" i="11"/>
  <c r="J705" i="11"/>
  <c r="J691" i="11"/>
  <c r="J687" i="11"/>
  <c r="J683" i="11"/>
  <c r="J679" i="11"/>
  <c r="J675" i="11"/>
  <c r="J671" i="11"/>
  <c r="J644" i="11"/>
  <c r="K644" i="11" s="1"/>
  <c r="J643" i="11"/>
  <c r="J642" i="11"/>
  <c r="J641" i="11"/>
  <c r="J640" i="11"/>
  <c r="J639" i="11"/>
  <c r="J638" i="11"/>
  <c r="J637" i="11"/>
  <c r="J636" i="11"/>
  <c r="J716" i="11"/>
  <c r="J707" i="11"/>
  <c r="J699" i="11"/>
  <c r="J692" i="11"/>
  <c r="J688" i="11"/>
  <c r="J684" i="11"/>
  <c r="J680" i="11"/>
  <c r="J709" i="11"/>
  <c r="J701" i="11"/>
  <c r="J697" i="11"/>
  <c r="J696" i="11"/>
  <c r="J695" i="11"/>
  <c r="J689" i="11"/>
  <c r="J685" i="11"/>
  <c r="J681" i="11"/>
  <c r="J677" i="11"/>
  <c r="J673" i="11"/>
  <c r="J669" i="11"/>
  <c r="J682" i="11"/>
  <c r="J672" i="11"/>
  <c r="J703" i="11"/>
  <c r="J686" i="11"/>
  <c r="J674" i="11"/>
  <c r="J711" i="11"/>
  <c r="J693" i="11"/>
  <c r="J690" i="11"/>
  <c r="J676" i="11"/>
  <c r="J668" i="11"/>
  <c r="J635" i="11"/>
  <c r="J634" i="11"/>
  <c r="J633" i="11"/>
  <c r="J632" i="11"/>
  <c r="J631" i="11"/>
  <c r="J670" i="11"/>
  <c r="J647" i="11"/>
  <c r="L647" i="11" s="1"/>
  <c r="J645" i="11"/>
  <c r="J678" i="11"/>
  <c r="J646" i="11"/>
  <c r="J712" i="1" l="1"/>
  <c r="J693" i="1"/>
  <c r="J644" i="1"/>
  <c r="J690" i="1"/>
  <c r="J637" i="1"/>
  <c r="J704" i="1"/>
  <c r="J685" i="1"/>
  <c r="J640" i="1"/>
  <c r="J676" i="1"/>
  <c r="J633" i="1"/>
  <c r="J702" i="1"/>
  <c r="J684" i="1"/>
  <c r="J683" i="1"/>
  <c r="J696" i="1"/>
  <c r="J677" i="1"/>
  <c r="J636" i="1"/>
  <c r="J674" i="1"/>
  <c r="J705" i="1"/>
  <c r="J686" i="1"/>
  <c r="J682" i="1"/>
  <c r="J639" i="1"/>
  <c r="J707" i="1"/>
  <c r="J642" i="1"/>
  <c r="J697" i="1"/>
  <c r="J710" i="1"/>
  <c r="J691" i="1"/>
  <c r="J687" i="1"/>
  <c r="J675" i="1"/>
  <c r="J634" i="1"/>
  <c r="J671" i="1"/>
  <c r="J679" i="1"/>
  <c r="J643" i="1"/>
  <c r="J688" i="1"/>
  <c r="J669" i="1"/>
  <c r="J632" i="1"/>
  <c r="J645" i="1"/>
  <c r="J703" i="1"/>
  <c r="J670" i="1"/>
  <c r="J668" i="1"/>
  <c r="J711" i="1"/>
  <c r="J647" i="1"/>
  <c r="J672" i="1"/>
  <c r="J708" i="1"/>
  <c r="J638" i="1"/>
  <c r="J673" i="1"/>
  <c r="J699" i="1"/>
  <c r="J700" i="1"/>
  <c r="J680" i="1"/>
  <c r="J713" i="1"/>
  <c r="J716" i="1"/>
  <c r="J689" i="1"/>
  <c r="J695" i="1"/>
  <c r="J706" i="1"/>
  <c r="J681" i="1"/>
  <c r="J646" i="1"/>
  <c r="J635" i="1"/>
  <c r="J641" i="1"/>
  <c r="J631" i="1"/>
  <c r="J709" i="1"/>
  <c r="J694" i="1"/>
  <c r="J698" i="1"/>
  <c r="J701" i="1"/>
  <c r="J678" i="1"/>
  <c r="J692" i="1"/>
  <c r="J715" i="11"/>
  <c r="L712" i="11"/>
  <c r="M712" i="11" s="1"/>
  <c r="Y778" i="11" s="1"/>
  <c r="L708" i="11"/>
  <c r="M708" i="11" s="1"/>
  <c r="Y774" i="11" s="1"/>
  <c r="L704" i="11"/>
  <c r="M704" i="11" s="1"/>
  <c r="Y770" i="11" s="1"/>
  <c r="L700" i="11"/>
  <c r="M700" i="11" s="1"/>
  <c r="Y766" i="11" s="1"/>
  <c r="L696" i="11"/>
  <c r="M696" i="11" s="1"/>
  <c r="Y762" i="11" s="1"/>
  <c r="L710" i="11"/>
  <c r="M710" i="11" s="1"/>
  <c r="Y776" i="11" s="1"/>
  <c r="L706" i="11"/>
  <c r="M706" i="11" s="1"/>
  <c r="Y772" i="11" s="1"/>
  <c r="L702" i="11"/>
  <c r="M702" i="11" s="1"/>
  <c r="Y768" i="11" s="1"/>
  <c r="L698" i="11"/>
  <c r="M698" i="11" s="1"/>
  <c r="Y764" i="11" s="1"/>
  <c r="L716" i="11"/>
  <c r="L707" i="11"/>
  <c r="M707" i="11" s="1"/>
  <c r="Y773" i="11" s="1"/>
  <c r="L699" i="11"/>
  <c r="M699" i="11" s="1"/>
  <c r="Y765" i="11" s="1"/>
  <c r="L697" i="11"/>
  <c r="M697" i="11" s="1"/>
  <c r="Y763" i="11" s="1"/>
  <c r="L689" i="11"/>
  <c r="M689" i="11" s="1"/>
  <c r="Y755" i="11" s="1"/>
  <c r="L685" i="11"/>
  <c r="M685" i="11" s="1"/>
  <c r="Y751" i="11" s="1"/>
  <c r="L681" i="11"/>
  <c r="M681" i="11" s="1"/>
  <c r="Y747" i="11" s="1"/>
  <c r="L677" i="11"/>
  <c r="M677" i="11" s="1"/>
  <c r="Y743" i="11" s="1"/>
  <c r="L673" i="11"/>
  <c r="M673" i="11" s="1"/>
  <c r="Y739" i="11" s="1"/>
  <c r="L669" i="11"/>
  <c r="M669" i="11" s="1"/>
  <c r="Y735" i="11" s="1"/>
  <c r="L709" i="11"/>
  <c r="M709" i="11" s="1"/>
  <c r="Y775" i="11" s="1"/>
  <c r="L701" i="11"/>
  <c r="M701" i="11" s="1"/>
  <c r="Y767" i="11" s="1"/>
  <c r="L695" i="11"/>
  <c r="M695" i="11" s="1"/>
  <c r="Y761" i="11" s="1"/>
  <c r="L694" i="11"/>
  <c r="M694" i="11" s="1"/>
  <c r="Y760" i="11" s="1"/>
  <c r="L693" i="11"/>
  <c r="M693" i="11" s="1"/>
  <c r="Y759" i="11" s="1"/>
  <c r="L690" i="11"/>
  <c r="M690" i="11" s="1"/>
  <c r="Y756" i="11" s="1"/>
  <c r="L686" i="11"/>
  <c r="M686" i="11" s="1"/>
  <c r="Y752" i="11" s="1"/>
  <c r="L682" i="11"/>
  <c r="M682" i="11" s="1"/>
  <c r="Y748" i="11" s="1"/>
  <c r="L711" i="11"/>
  <c r="M711" i="11" s="1"/>
  <c r="Y777" i="11" s="1"/>
  <c r="L703" i="11"/>
  <c r="M703" i="11" s="1"/>
  <c r="Y769" i="11" s="1"/>
  <c r="L691" i="11"/>
  <c r="M691" i="11" s="1"/>
  <c r="Y757" i="11" s="1"/>
  <c r="L687" i="11"/>
  <c r="M687" i="11" s="1"/>
  <c r="Y753" i="11" s="1"/>
  <c r="L683" i="11"/>
  <c r="M683" i="11" s="1"/>
  <c r="Y749" i="11" s="1"/>
  <c r="L679" i="11"/>
  <c r="M679" i="11" s="1"/>
  <c r="Y745" i="11" s="1"/>
  <c r="L675" i="11"/>
  <c r="M675" i="11" s="1"/>
  <c r="Y741" i="11" s="1"/>
  <c r="L671" i="11"/>
  <c r="M671" i="11" s="1"/>
  <c r="Y737" i="11" s="1"/>
  <c r="L692" i="11"/>
  <c r="M692" i="11" s="1"/>
  <c r="Y758" i="11" s="1"/>
  <c r="L674" i="11"/>
  <c r="M674" i="11" s="1"/>
  <c r="Y740" i="11" s="1"/>
  <c r="L680" i="11"/>
  <c r="M680" i="11" s="1"/>
  <c r="Y746" i="11" s="1"/>
  <c r="L676" i="11"/>
  <c r="M676" i="11" s="1"/>
  <c r="Y742" i="11" s="1"/>
  <c r="L668" i="11"/>
  <c r="L705" i="11"/>
  <c r="M705" i="11" s="1"/>
  <c r="Y771" i="11" s="1"/>
  <c r="L684" i="11"/>
  <c r="M684" i="11" s="1"/>
  <c r="Y750" i="11" s="1"/>
  <c r="L678" i="11"/>
  <c r="M678" i="11" s="1"/>
  <c r="Y744" i="11" s="1"/>
  <c r="L670" i="11"/>
  <c r="M670" i="11" s="1"/>
  <c r="Y736" i="11" s="1"/>
  <c r="L688" i="11"/>
  <c r="M688" i="11" s="1"/>
  <c r="Y754" i="11" s="1"/>
  <c r="L672" i="11"/>
  <c r="M672" i="11" s="1"/>
  <c r="Y738" i="11" s="1"/>
  <c r="L713" i="11"/>
  <c r="M713" i="11" s="1"/>
  <c r="Y779" i="11" s="1"/>
  <c r="K716" i="11"/>
  <c r="K711" i="11"/>
  <c r="K707" i="11"/>
  <c r="K703" i="11"/>
  <c r="K699" i="11"/>
  <c r="K695" i="11"/>
  <c r="K713" i="11"/>
  <c r="K709" i="11"/>
  <c r="K705" i="11"/>
  <c r="K701" i="11"/>
  <c r="K710" i="11"/>
  <c r="K702" i="11"/>
  <c r="K692" i="11"/>
  <c r="K688" i="11"/>
  <c r="K684" i="11"/>
  <c r="K680" i="11"/>
  <c r="K676" i="11"/>
  <c r="K672" i="11"/>
  <c r="K668" i="11"/>
  <c r="K715" i="11" s="1"/>
  <c r="K712" i="11"/>
  <c r="K704" i="11"/>
  <c r="K697" i="11"/>
  <c r="K696" i="11"/>
  <c r="K689" i="11"/>
  <c r="K685" i="11"/>
  <c r="K681" i="11"/>
  <c r="K706" i="11"/>
  <c r="K698" i="11"/>
  <c r="K694" i="11"/>
  <c r="K693" i="11"/>
  <c r="K690" i="11"/>
  <c r="K686" i="11"/>
  <c r="K682" i="11"/>
  <c r="K678" i="11"/>
  <c r="K674" i="11"/>
  <c r="K670" i="11"/>
  <c r="K677" i="11"/>
  <c r="K669" i="11"/>
  <c r="K700" i="11"/>
  <c r="K683" i="11"/>
  <c r="K679" i="11"/>
  <c r="K671" i="11"/>
  <c r="K708" i="11"/>
  <c r="K687" i="11"/>
  <c r="K673" i="11"/>
  <c r="K691" i="11"/>
  <c r="K675" i="11"/>
  <c r="K644" i="1" l="1"/>
  <c r="J715" i="1"/>
  <c r="L647" i="1"/>
  <c r="L715" i="11"/>
  <c r="M668" i="11"/>
  <c r="L706" i="1" l="1"/>
  <c r="L687" i="1"/>
  <c r="L689" i="1"/>
  <c r="L701" i="1"/>
  <c r="L697" i="1"/>
  <c r="L694" i="1"/>
  <c r="L698" i="1"/>
  <c r="L679" i="1"/>
  <c r="L673" i="1"/>
  <c r="L700" i="1"/>
  <c r="L681" i="1"/>
  <c r="L680" i="1"/>
  <c r="L690" i="1"/>
  <c r="M690" i="1" s="1"/>
  <c r="D119" i="9" s="1"/>
  <c r="L671" i="1"/>
  <c r="L704" i="1"/>
  <c r="L685" i="1"/>
  <c r="L709" i="1"/>
  <c r="L676" i="1"/>
  <c r="L716" i="1"/>
  <c r="L684" i="1"/>
  <c r="L692" i="1"/>
  <c r="L713" i="1"/>
  <c r="L691" i="1"/>
  <c r="L668" i="1"/>
  <c r="L696" i="1"/>
  <c r="L675" i="1"/>
  <c r="L683" i="1"/>
  <c r="L682" i="1"/>
  <c r="L702" i="1"/>
  <c r="L686" i="1"/>
  <c r="L703" i="1"/>
  <c r="L693" i="1"/>
  <c r="L670" i="1"/>
  <c r="L674" i="1"/>
  <c r="L707" i="1"/>
  <c r="L688" i="1"/>
  <c r="L669" i="1"/>
  <c r="L678" i="1"/>
  <c r="L710" i="1"/>
  <c r="L712" i="1"/>
  <c r="L699" i="1"/>
  <c r="L705" i="1"/>
  <c r="L711" i="1"/>
  <c r="L672" i="1"/>
  <c r="L677" i="1"/>
  <c r="L708" i="1"/>
  <c r="L695" i="1"/>
  <c r="K709" i="1"/>
  <c r="M709" i="1" s="1"/>
  <c r="I183" i="9" s="1"/>
  <c r="K690" i="1"/>
  <c r="K675" i="1"/>
  <c r="K702" i="1"/>
  <c r="K699" i="1"/>
  <c r="M699" i="1" s="1"/>
  <c r="F151" i="9" s="1"/>
  <c r="K694" i="1"/>
  <c r="K701" i="1"/>
  <c r="K682" i="1"/>
  <c r="K705" i="1"/>
  <c r="M705" i="1" s="1"/>
  <c r="E183" i="9" s="1"/>
  <c r="K688" i="1"/>
  <c r="K683" i="1"/>
  <c r="M683" i="1" s="1"/>
  <c r="D87" i="9" s="1"/>
  <c r="K680" i="1"/>
  <c r="M680" i="1" s="1"/>
  <c r="H55" i="9" s="1"/>
  <c r="K708" i="1"/>
  <c r="K672" i="1"/>
  <c r="K713" i="1"/>
  <c r="M713" i="1" s="1"/>
  <c r="F215" i="9" s="1"/>
  <c r="K671" i="1"/>
  <c r="M671" i="1" s="1"/>
  <c r="F23" i="9" s="1"/>
  <c r="K693" i="1"/>
  <c r="M693" i="1" s="1"/>
  <c r="G119" i="9" s="1"/>
  <c r="K674" i="1"/>
  <c r="M674" i="1" s="1"/>
  <c r="I23" i="9" s="1"/>
  <c r="K703" i="1"/>
  <c r="M703" i="1" s="1"/>
  <c r="C183" i="9" s="1"/>
  <c r="K686" i="1"/>
  <c r="M686" i="1" s="1"/>
  <c r="G87" i="9" s="1"/>
  <c r="K712" i="1"/>
  <c r="M712" i="1" s="1"/>
  <c r="E215" i="9" s="1"/>
  <c r="K696" i="1"/>
  <c r="K685" i="1"/>
  <c r="M685" i="1" s="1"/>
  <c r="F87" i="9" s="1"/>
  <c r="K689" i="1"/>
  <c r="M689" i="1" s="1"/>
  <c r="C119" i="9" s="1"/>
  <c r="K695" i="1"/>
  <c r="M695" i="1" s="1"/>
  <c r="I119" i="9" s="1"/>
  <c r="K679" i="1"/>
  <c r="M679" i="1" s="1"/>
  <c r="G55" i="9" s="1"/>
  <c r="K684" i="1"/>
  <c r="M684" i="1" s="1"/>
  <c r="E87" i="9" s="1"/>
  <c r="K677" i="1"/>
  <c r="K692" i="1"/>
  <c r="M692" i="1" s="1"/>
  <c r="F119" i="9" s="1"/>
  <c r="K687" i="1"/>
  <c r="M687" i="1" s="1"/>
  <c r="H87" i="9" s="1"/>
  <c r="K670" i="1"/>
  <c r="M670" i="1" s="1"/>
  <c r="E23" i="9" s="1"/>
  <c r="K681" i="1"/>
  <c r="M681" i="1" s="1"/>
  <c r="I55" i="9" s="1"/>
  <c r="K710" i="1"/>
  <c r="M710" i="1" s="1"/>
  <c r="C215" i="9" s="1"/>
  <c r="K669" i="1"/>
  <c r="M669" i="1" s="1"/>
  <c r="D23" i="9" s="1"/>
  <c r="K676" i="1"/>
  <c r="M676" i="1" s="1"/>
  <c r="D55" i="9" s="1"/>
  <c r="K673" i="1"/>
  <c r="M673" i="1" s="1"/>
  <c r="H23" i="9" s="1"/>
  <c r="K700" i="1"/>
  <c r="M700" i="1" s="1"/>
  <c r="G151" i="9" s="1"/>
  <c r="K711" i="1"/>
  <c r="M711" i="1" s="1"/>
  <c r="D215" i="9" s="1"/>
  <c r="K706" i="1"/>
  <c r="M706" i="1" s="1"/>
  <c r="F183" i="9" s="1"/>
  <c r="K697" i="1"/>
  <c r="M697" i="1" s="1"/>
  <c r="D151" i="9" s="1"/>
  <c r="K707" i="1"/>
  <c r="M707" i="1" s="1"/>
  <c r="G183" i="9" s="1"/>
  <c r="K716" i="1"/>
  <c r="K698" i="1"/>
  <c r="M698" i="1" s="1"/>
  <c r="E151" i="9" s="1"/>
  <c r="K691" i="1"/>
  <c r="M691" i="1" s="1"/>
  <c r="E119" i="9" s="1"/>
  <c r="K704" i="1"/>
  <c r="M704" i="1" s="1"/>
  <c r="D183" i="9" s="1"/>
  <c r="K668" i="1"/>
  <c r="K678" i="1"/>
  <c r="M678" i="1" s="1"/>
  <c r="F55" i="9" s="1"/>
  <c r="Y734" i="11"/>
  <c r="Y815" i="11" s="1"/>
  <c r="M715" i="11"/>
  <c r="L715" i="1" l="1"/>
  <c r="M668" i="1"/>
  <c r="M708" i="1"/>
  <c r="H183" i="9" s="1"/>
  <c r="M694" i="1"/>
  <c r="H119" i="9" s="1"/>
  <c r="M677" i="1"/>
  <c r="E55" i="9" s="1"/>
  <c r="M672" i="1"/>
  <c r="G23" i="9" s="1"/>
  <c r="M682" i="1"/>
  <c r="C87" i="9" s="1"/>
  <c r="M701" i="1"/>
  <c r="H151" i="9" s="1"/>
  <c r="K715" i="1"/>
  <c r="M702" i="1"/>
  <c r="I151" i="9" s="1"/>
  <c r="M675" i="1"/>
  <c r="C55" i="9" s="1"/>
  <c r="M688" i="1"/>
  <c r="I87" i="9" s="1"/>
  <c r="M696" i="1"/>
  <c r="C151" i="9" s="1"/>
  <c r="M715" i="1" l="1"/>
  <c r="C23" i="9"/>
</calcChain>
</file>

<file path=xl/sharedStrings.xml><?xml version="1.0" encoding="utf-8"?>
<sst xmlns="http://schemas.openxmlformats.org/spreadsheetml/2006/main" count="4673" uniqueCount="1280">
  <si>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</si>
  <si>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</si>
  <si>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</si>
  <si>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</si>
  <si>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</si>
  <si>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</si>
  <si>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</si>
  <si>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</si>
  <si>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</si>
  <si>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</si>
  <si>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</si>
  <si>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</si>
  <si>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</si>
  <si>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</si>
  <si>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</si>
  <si>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</si>
  <si>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</si>
  <si>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</si>
  <si>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</si>
  <si>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</si>
  <si>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</si>
  <si>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</si>
  <si>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</si>
  <si>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</si>
  <si>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</si>
  <si>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</si>
  <si>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</si>
  <si>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</si>
  <si>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</si>
  <si>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</si>
  <si>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</si>
  <si>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</si>
  <si>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</si>
  <si>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</si>
  <si>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</si>
  <si>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</si>
  <si>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</si>
  <si>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</si>
  <si>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</si>
  <si>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</si>
  <si>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</si>
  <si>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</si>
  <si>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</si>
  <si>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</si>
  <si>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</si>
  <si>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</si>
  <si>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</si>
  <si>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</si>
  <si>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</si>
  <si>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</si>
  <si>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</si>
  <si>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</si>
  <si>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</si>
  <si>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</si>
  <si>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</si>
  <si>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</si>
  <si>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</si>
  <si>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</si>
  <si>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</si>
  <si>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</si>
  <si>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</si>
  <si>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</si>
  <si>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</si>
  <si>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</si>
  <si>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</si>
  <si>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</si>
  <si>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</si>
  <si>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</si>
  <si>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</si>
  <si>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</si>
  <si>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</si>
  <si>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</si>
  <si>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</si>
  <si>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</si>
  <si>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</si>
  <si>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</si>
  <si>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</si>
  <si>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</si>
  <si>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</si>
  <si>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</si>
  <si>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</si>
  <si>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</si>
  <si>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</si>
  <si>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</si>
  <si>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</si>
  <si>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</si>
  <si>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</si>
  <si>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</si>
  <si>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</si>
  <si>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</si>
  <si>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</si>
  <si>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</si>
  <si>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</si>
  <si>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</si>
  <si>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</si>
  <si>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</si>
  <si>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</si>
  <si>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</si>
  <si>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</si>
  <si>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</si>
  <si>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</si>
  <si>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</si>
  <si>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</si>
  <si>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</si>
  <si>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</si>
  <si>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</si>
  <si>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</si>
  <si>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</si>
  <si>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</si>
  <si>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</si>
  <si>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</si>
  <si>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</si>
  <si>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</si>
  <si>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</si>
  <si>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</si>
  <si>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</si>
  <si>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</si>
  <si>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</si>
  <si>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</si>
  <si>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</si>
  <si>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</si>
  <si>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</si>
  <si>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</si>
  <si>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</si>
  <si>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</si>
  <si>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</si>
  <si>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</si>
  <si>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</si>
  <si>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</si>
  <si>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</si>
  <si>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</si>
  <si>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</si>
  <si>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</si>
  <si>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</si>
  <si>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</si>
  <si>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</si>
  <si>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</si>
  <si>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</si>
  <si>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</si>
  <si>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</si>
  <si>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</si>
  <si>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</si>
  <si>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</si>
  <si>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</si>
  <si>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</si>
  <si>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</si>
  <si>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</si>
  <si>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</si>
  <si>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</si>
  <si>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</si>
  <si>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</si>
  <si>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</si>
  <si>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</si>
  <si>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</si>
  <si>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</si>
  <si>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</si>
  <si>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</si>
  <si>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</si>
  <si>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</si>
  <si>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</si>
  <si>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</si>
  <si>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</si>
  <si>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</si>
  <si>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</si>
  <si>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</si>
  <si>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</si>
  <si>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</si>
  <si>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</si>
  <si>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</si>
  <si>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</si>
  <si>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</si>
  <si>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</si>
  <si>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</si>
  <si>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</si>
  <si>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</si>
  <si>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</si>
  <si>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</si>
  <si>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</si>
  <si>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</si>
  <si>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</si>
  <si>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</si>
  <si>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</si>
  <si>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</si>
  <si>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</si>
  <si>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</si>
  <si>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</si>
  <si>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</si>
  <si>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</si>
  <si>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</si>
  <si>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</si>
  <si>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</si>
  <si>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</si>
  <si>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</si>
  <si>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</si>
  <si>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</si>
  <si>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</si>
  <si>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</si>
  <si>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</si>
  <si>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</si>
  <si>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</si>
  <si>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</si>
  <si>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</si>
  <si>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</si>
  <si>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</si>
  <si>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</si>
  <si>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</si>
  <si>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</si>
  <si>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</si>
  <si>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</si>
  <si>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</si>
  <si>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</si>
  <si>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</si>
  <si>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</si>
  <si>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</si>
  <si>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</si>
  <si>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</si>
  <si>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</si>
  <si>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</si>
  <si>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</si>
  <si>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</si>
  <si>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</si>
  <si>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</si>
  <si>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</si>
  <si>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</si>
  <si>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</si>
  <si>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</si>
  <si>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</si>
  <si>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</si>
  <si>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</si>
  <si>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</si>
  <si>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</si>
  <si>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</si>
  <si>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</si>
  <si>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</si>
  <si>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</si>
  <si>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</si>
  <si>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</si>
  <si>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</si>
  <si>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</si>
  <si>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</si>
  <si>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</si>
  <si>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</si>
  <si>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</si>
  <si>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</si>
  <si>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</si>
  <si>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</si>
  <si>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</si>
  <si>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</si>
  <si>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</si>
  <si>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</si>
  <si>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</si>
  <si>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</si>
  <si>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</si>
  <si>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</si>
  <si>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</si>
  <si>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</si>
  <si>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</si>
  <si>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</si>
  <si>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</si>
  <si>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</si>
  <si>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</si>
  <si>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</si>
  <si>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</si>
  <si>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</si>
  <si>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</si>
  <si>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</si>
  <si>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</si>
  <si>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</si>
  <si>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</si>
  <si>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</si>
  <si>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</si>
  <si>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</si>
  <si>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</si>
  <si>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</si>
  <si>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</si>
  <si>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</si>
  <si>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</si>
  <si>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</si>
  <si>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</si>
  <si>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</si>
  <si>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</si>
  <si>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</si>
  <si>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</si>
  <si>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</si>
  <si>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</si>
  <si>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</si>
  <si>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</si>
  <si>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</si>
  <si>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</si>
  <si>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</si>
  <si>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</si>
  <si>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</si>
  <si>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</si>
  <si>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</si>
  <si>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</si>
  <si>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</si>
  <si>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</si>
  <si>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</si>
  <si>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</si>
  <si>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</si>
  <si>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</si>
  <si>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</si>
  <si>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</si>
  <si>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</si>
  <si>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</si>
  <si>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</si>
  <si>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</si>
  <si>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</si>
  <si>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</si>
  <si>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</si>
  <si>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</si>
  <si>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</si>
  <si>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</si>
  <si>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</si>
  <si>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</si>
  <si>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</si>
  <si>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</si>
  <si>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</si>
  <si>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</si>
  <si>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</si>
  <si>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</si>
  <si>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</si>
  <si>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</si>
  <si>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</si>
  <si>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</si>
  <si>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</si>
  <si>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</si>
  <si>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</si>
  <si>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</si>
  <si>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</si>
  <si>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</si>
  <si>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</si>
  <si>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</si>
  <si>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</si>
  <si>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</si>
  <si>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</si>
  <si>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</si>
  <si>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</si>
  <si>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</si>
  <si>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</si>
  <si>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</si>
  <si>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</si>
  <si>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</si>
  <si>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</si>
  <si>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</si>
  <si>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</si>
  <si>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</si>
  <si>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</si>
  <si>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</si>
  <si>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</si>
  <si>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</si>
  <si>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</si>
  <si>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</si>
  <si>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</si>
  <si>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</si>
  <si>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</si>
  <si>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</si>
  <si>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</si>
  <si>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</si>
  <si>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</si>
  <si>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</si>
  <si>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</si>
  <si>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</si>
  <si>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</si>
  <si>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</si>
  <si>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</si>
  <si>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</si>
  <si>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</si>
  <si>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</si>
  <si>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</si>
  <si>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</si>
  <si>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</si>
  <si>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</si>
  <si>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</si>
  <si>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</si>
  <si>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</si>
  <si>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</si>
  <si>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</si>
  <si>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</si>
  <si>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</si>
  <si>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</si>
  <si>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</si>
  <si>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</si>
  <si>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</si>
  <si>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</si>
  <si>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</si>
  <si>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</si>
  <si>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</si>
  <si>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</si>
  <si>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</si>
  <si>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</si>
  <si>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</si>
  <si>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</si>
  <si>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</si>
  <si>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</si>
  <si>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</si>
  <si>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</si>
  <si>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</si>
  <si>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</si>
  <si>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</si>
  <si>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</si>
  <si>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</si>
  <si>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</si>
  <si>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</si>
  <si>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</si>
  <si>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</si>
  <si>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</si>
  <si>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</si>
  <si>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</si>
  <si>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</si>
  <si>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</si>
  <si>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</si>
  <si>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</si>
  <si>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</si>
  <si>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</si>
  <si>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</si>
  <si>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</si>
  <si>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</si>
  <si>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</si>
  <si>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</si>
  <si>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</si>
  <si>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</si>
  <si>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</si>
  <si>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</si>
  <si>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</si>
  <si>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</si>
  <si>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</si>
  <si>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</si>
  <si>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</si>
  <si>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</si>
  <si>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</si>
  <si>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</si>
  <si>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</si>
  <si>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</si>
  <si>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</si>
  <si>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</si>
  <si>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</si>
  <si>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</si>
  <si>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</si>
  <si>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</si>
  <si>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</si>
  <si>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</si>
  <si>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</si>
  <si>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</si>
  <si>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</si>
  <si>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</si>
  <si>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</si>
  <si>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</si>
  <si>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</si>
  <si>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</si>
  <si>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</si>
  <si>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</si>
  <si>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</si>
  <si>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</si>
  <si>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</si>
  <si>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</si>
  <si>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</si>
  <si>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</si>
  <si>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</si>
  <si>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</si>
  <si>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</si>
  <si>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</si>
  <si>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</si>
  <si>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</si>
  <si>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</si>
  <si>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</si>
  <si>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</si>
  <si>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</si>
  <si>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</si>
  <si>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</si>
  <si>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</si>
  <si>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</si>
  <si>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</si>
  <si>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</si>
  <si>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</si>
  <si>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</si>
  <si>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</si>
  <si>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</si>
  <si>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</si>
  <si>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</si>
  <si>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</si>
  <si>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</si>
  <si>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</si>
  <si>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</si>
  <si>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</si>
  <si>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</si>
  <si>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</si>
  <si>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</si>
  <si>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</si>
  <si>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</si>
  <si>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</si>
  <si>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</si>
  <si>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</si>
  <si>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</si>
  <si>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</si>
  <si>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</si>
  <si>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</si>
  <si>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</si>
  <si>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</si>
  <si>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</si>
  <si>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</si>
  <si>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</si>
  <si>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</si>
  <si>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</si>
  <si>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</si>
  <si>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</si>
  <si>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</si>
  <si>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</si>
  <si>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</si>
  <si>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</si>
  <si>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</si>
  <si>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</si>
  <si>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</si>
  <si>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</si>
  <si>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</si>
  <si>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</si>
  <si>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</si>
  <si>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</si>
  <si>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</si>
  <si>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</si>
  <si>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</si>
  <si>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</si>
  <si>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</si>
  <si>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</si>
  <si>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</si>
  <si>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</si>
  <si>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</si>
  <si>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</si>
  <si>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</si>
  <si>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</si>
  <si>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</si>
  <si>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</si>
  <si>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</si>
  <si>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</si>
  <si>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</si>
  <si>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</si>
  <si>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</si>
  <si>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</si>
  <si>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</si>
  <si>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</si>
  <si>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</si>
  <si>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</si>
  <si>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</si>
  <si>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</si>
  <si>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</si>
  <si>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</si>
  <si>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</si>
  <si>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</si>
  <si>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</si>
  <si>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</si>
  <si>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</si>
  <si>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</si>
  <si>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</si>
  <si>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</si>
  <si>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</si>
  <si>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</si>
  <si>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</si>
  <si>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</si>
  <si>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</si>
  <si>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</si>
  <si>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</si>
  <si>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</si>
  <si>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</si>
  <si>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</si>
  <si>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</si>
  <si>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</si>
  <si>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</si>
  <si>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</si>
  <si>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</si>
  <si>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</si>
  <si>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</si>
  <si>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</si>
  <si>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</si>
  <si>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</si>
  <si>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</si>
  <si>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</si>
  <si>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</si>
  <si>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</si>
  <si>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</si>
  <si>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</si>
  <si>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</si>
  <si>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</si>
  <si>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</si>
  <si>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</si>
  <si>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</si>
  <si>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</si>
  <si>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</si>
  <si>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</si>
  <si>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</si>
  <si>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</si>
  <si>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</si>
  <si>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</si>
  <si>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</si>
  <si>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</si>
  <si>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</si>
  <si>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</si>
  <si>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</si>
  <si>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</si>
  <si>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</si>
  <si>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</si>
  <si>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</si>
  <si>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</si>
  <si>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</si>
  <si>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</si>
  <si>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</si>
  <si>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</si>
  <si>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</si>
  <si>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</si>
  <si>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</si>
  <si>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</si>
  <si>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</si>
  <si>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</si>
  <si>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</si>
  <si>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</si>
  <si>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</si>
  <si>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</si>
  <si>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</si>
  <si>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</si>
  <si>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</si>
  <si>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</si>
  <si>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</si>
  <si>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</si>
  <si>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</si>
  <si>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</si>
  <si>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</si>
  <si>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</si>
  <si>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</si>
  <si>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</si>
  <si>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</si>
  <si>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</si>
  <si>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</si>
  <si>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</si>
  <si>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</si>
  <si>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</si>
  <si>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</si>
  <si>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</si>
  <si>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</si>
  <si>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</si>
  <si>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</si>
  <si>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</si>
  <si>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</si>
  <si>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</si>
  <si>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</si>
  <si>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</si>
  <si>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</si>
  <si>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</si>
  <si>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</si>
  <si>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</si>
  <si>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</si>
  <si>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</si>
  <si>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</si>
  <si>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</si>
  <si>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</si>
  <si>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</si>
  <si>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</si>
  <si>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</si>
  <si>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</si>
  <si>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</si>
  <si>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</si>
  <si>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</si>
  <si>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</si>
  <si>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</si>
  <si>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</si>
  <si>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</si>
  <si>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</si>
  <si>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</si>
  <si>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</si>
  <si>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</si>
  <si>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</si>
  <si>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</si>
  <si>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</si>
  <si>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</si>
  <si>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</si>
  <si>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</si>
  <si>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</si>
  <si>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</si>
  <si>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</si>
  <si>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</si>
  <si>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</si>
  <si>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</si>
  <si>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</si>
  <si>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</si>
  <si>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</si>
  <si>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</si>
  <si>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</si>
  <si>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</si>
  <si>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</si>
  <si>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</si>
  <si>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</si>
  <si>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</si>
  <si>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</si>
  <si>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</si>
  <si>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</si>
  <si>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</si>
  <si>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</si>
  <si>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</si>
  <si>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</si>
  <si>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</si>
  <si>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</si>
  <si>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</si>
  <si>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</si>
  <si>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</si>
  <si>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</si>
  <si>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</si>
  <si>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</si>
  <si>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</si>
  <si>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</si>
  <si>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</si>
  <si>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</si>
  <si>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</si>
  <si>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</si>
  <si>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</si>
  <si>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</si>
  <si>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</si>
  <si>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</si>
  <si>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</si>
  <si>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</si>
  <si>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</si>
  <si>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</si>
  <si>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</si>
  <si>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</si>
  <si>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</si>
  <si>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</si>
  <si>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</si>
  <si>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</si>
  <si>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</si>
  <si>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</si>
  <si>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</si>
  <si>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</si>
  <si>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</si>
  <si>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</si>
  <si>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</si>
  <si>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</si>
  <si>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</si>
  <si>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</si>
  <si>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</si>
  <si>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</si>
  <si>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</si>
  <si>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</si>
  <si>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</si>
  <si>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</si>
  <si>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</si>
  <si>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</si>
  <si>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</si>
  <si>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</si>
  <si>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</si>
  <si>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</si>
  <si>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</si>
  <si>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</si>
  <si>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</si>
  <si>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</si>
  <si>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</si>
  <si>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</si>
  <si>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</si>
  <si>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</si>
  <si>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</si>
  <si>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</si>
  <si>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</si>
  <si>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</si>
  <si>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</si>
  <si>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</si>
  <si>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</si>
  <si>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</si>
  <si>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</si>
  <si>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</si>
  <si>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</si>
  <si>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</si>
  <si>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</si>
  <si>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</si>
  <si>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</si>
  <si>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</si>
  <si>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</si>
  <si>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</si>
  <si>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</si>
  <si>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</si>
  <si>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</si>
  <si>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</si>
  <si>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</si>
  <si>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</si>
  <si>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</si>
  <si>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</si>
  <si>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</si>
  <si>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</si>
  <si>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</si>
  <si>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</si>
  <si>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</si>
  <si>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</si>
  <si>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</si>
  <si>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</si>
  <si>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</si>
  <si>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</si>
  <si>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</si>
  <si>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</si>
  <si>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</si>
  <si>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</si>
  <si>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</si>
  <si>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</si>
  <si>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</si>
  <si>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</si>
  <si>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</si>
  <si>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</si>
  <si>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</si>
  <si>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</si>
  <si>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</si>
  <si>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</si>
  <si>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</si>
  <si>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</si>
  <si>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</si>
  <si>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</si>
  <si>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</si>
  <si>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</si>
  <si>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</si>
  <si>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</si>
  <si>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</si>
  <si>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</si>
  <si>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</si>
  <si>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</si>
  <si>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</si>
  <si>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</si>
  <si>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</si>
  <si>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</si>
  <si>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</si>
  <si>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</si>
  <si>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</si>
  <si>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</si>
  <si>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</si>
  <si>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</si>
  <si>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</si>
  <si>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</si>
  <si>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</si>
  <si>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</si>
  <si>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</si>
  <si>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</si>
  <si>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</si>
  <si>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</si>
  <si>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</si>
  <si>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</si>
  <si>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</si>
  <si>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</si>
  <si>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</si>
  <si>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</si>
  <si>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</si>
  <si>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</si>
  <si>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</si>
  <si>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</si>
  <si>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</si>
  <si>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</si>
  <si>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</si>
  <si>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</si>
  <si>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</si>
  <si>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</si>
  <si>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</si>
  <si>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</si>
  <si>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</si>
  <si>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</si>
  <si>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</si>
  <si>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</si>
  <si>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</si>
  <si>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</si>
  <si>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</si>
  <si>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</si>
  <si>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</si>
  <si>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</si>
  <si>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</si>
  <si>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</si>
  <si>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</si>
  <si>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</si>
  <si>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</si>
  <si>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</si>
  <si>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</si>
  <si>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</si>
  <si>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</si>
  <si>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</si>
  <si>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</si>
  <si>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</si>
  <si>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</si>
  <si>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</si>
  <si>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</si>
  <si>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</si>
  <si>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</si>
  <si>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</si>
  <si>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</si>
  <si>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</si>
  <si>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</si>
  <si>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</si>
  <si>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</si>
  <si>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</si>
  <si>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</si>
  <si>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</si>
  <si>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</si>
  <si>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</si>
  <si>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</si>
  <si>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</si>
  <si>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</si>
  <si>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</si>
  <si>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</si>
  <si>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</si>
  <si>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</si>
  <si>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</si>
  <si>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</si>
  <si>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</si>
  <si>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</si>
  <si>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</si>
  <si>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</si>
  <si>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</si>
  <si>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</si>
  <si>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</si>
  <si>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</si>
  <si>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</si>
  <si>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</si>
  <si>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</si>
  <si>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</si>
  <si>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</si>
  <si>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</si>
  <si>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</si>
  <si>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</si>
  <si>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</si>
  <si>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</si>
  <si>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</si>
  <si>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</si>
  <si>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</si>
  <si>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</si>
  <si>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</si>
  <si>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</si>
  <si>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</si>
  <si>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</si>
  <si>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</si>
  <si>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</si>
  <si>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</si>
  <si>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</si>
  <si>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</si>
  <si>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</si>
  <si>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</si>
  <si>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</si>
  <si>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</si>
  <si>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</si>
  <si>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</si>
  <si>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</si>
  <si>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</si>
  <si>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</si>
  <si>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</si>
  <si>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</si>
  <si>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</si>
  <si>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</si>
  <si>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</si>
  <si>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</si>
  <si>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</si>
  <si>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</si>
  <si>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</si>
  <si>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</si>
  <si>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</si>
  <si>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</si>
  <si>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</si>
  <si>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</si>
  <si>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</si>
  <si>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</si>
  <si>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</si>
  <si>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</si>
  <si>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</si>
  <si>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</si>
  <si>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</si>
  <si>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</si>
  <si>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</si>
  <si>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</si>
  <si>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</si>
  <si>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</si>
  <si>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</si>
  <si>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</si>
  <si>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</si>
  <si>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</si>
  <si>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</si>
  <si>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</si>
  <si>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</si>
  <si>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</si>
  <si>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</si>
  <si>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</si>
  <si>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</si>
  <si>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</si>
  <si>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</si>
  <si>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</si>
  <si>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</si>
  <si>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</si>
  <si>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</si>
  <si>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</si>
  <si>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</si>
  <si>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</si>
  <si>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</si>
  <si>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</si>
  <si>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</si>
  <si>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</si>
  <si>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</si>
  <si>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</si>
  <si>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</si>
  <si>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</si>
  <si>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</si>
  <si>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</si>
  <si>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</si>
  <si>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</si>
  <si>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</si>
  <si>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</si>
  <si>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</si>
  <si>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</si>
  <si>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</si>
  <si>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</si>
  <si>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</si>
  <si>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</si>
  <si>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</si>
  <si>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</si>
  <si>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</si>
  <si>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</si>
  <si>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</si>
  <si>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</si>
  <si>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</si>
  <si>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</si>
  <si>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</si>
  <si>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</si>
  <si>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</si>
  <si>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</si>
  <si>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</si>
  <si>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</si>
  <si>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</si>
  <si>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</si>
  <si>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</si>
  <si>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</si>
  <si>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</si>
  <si>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</si>
  <si>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</si>
  <si>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</si>
  <si>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</si>
  <si>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</si>
  <si>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</si>
  <si>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</si>
  <si>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</si>
  <si>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</si>
  <si>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</si>
  <si>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</si>
  <si>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</si>
  <si>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</si>
  <si>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</si>
  <si>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</si>
  <si>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</si>
  <si>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</si>
  <si>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</si>
  <si>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</si>
  <si>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</si>
  <si>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</si>
  <si>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</si>
  <si>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</si>
  <si>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</si>
  <si>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</si>
  <si>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</si>
  <si>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</si>
  <si>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</si>
  <si>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</si>
  <si>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</si>
  <si>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</si>
  <si>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</si>
  <si>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</si>
  <si>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</si>
  <si>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</si>
  <si>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</si>
  <si>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</si>
  <si>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</si>
  <si>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</si>
  <si>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</si>
  <si>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</si>
  <si>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</si>
  <si>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</si>
  <si>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</si>
  <si>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</si>
  <si>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</si>
  <si>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</si>
  <si>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</si>
  <si>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</si>
  <si>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</si>
  <si>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</si>
  <si>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</si>
  <si>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</si>
  <si>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</si>
  <si>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</si>
  <si>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</si>
  <si>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</si>
  <si>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</si>
  <si>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</si>
  <si>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</si>
  <si>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</si>
  <si>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</si>
  <si>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</si>
  <si>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</si>
  <si>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</si>
  <si>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</si>
  <si>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</si>
  <si>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</si>
  <si>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</si>
  <si>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</si>
  <si>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</si>
  <si>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</si>
  <si>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</si>
  <si>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</si>
  <si>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</si>
  <si>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</si>
  <si>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</si>
  <si>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</si>
  <si>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</si>
  <si>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</si>
  <si>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</si>
  <si>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</si>
  <si>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</si>
  <si>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</si>
  <si>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</si>
  <si>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</si>
  <si>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</si>
  <si>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</si>
  <si>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</si>
  <si>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</si>
  <si>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</si>
  <si>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</si>
  <si>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</si>
  <si>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</si>
  <si>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</si>
  <si>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</si>
  <si>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</si>
  <si>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</si>
  <si>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</si>
  <si>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</si>
  <si>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</si>
  <si>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</si>
  <si>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</si>
  <si>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</si>
  <si>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</si>
  <si>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</si>
  <si>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</si>
  <si>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</si>
  <si>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</si>
  <si>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</si>
  <si>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</si>
  <si>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</si>
  <si>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</si>
  <si>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</si>
  <si>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</si>
  <si>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</si>
  <si>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</si>
  <si>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</si>
  <si>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</si>
  <si>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</si>
  <si>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</si>
  <si>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</si>
  <si>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</si>
  <si>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</si>
  <si>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</si>
  <si>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</si>
  <si>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</si>
  <si>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</si>
  <si>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</si>
  <si>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</si>
  <si>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</si>
  <si>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</si>
  <si>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</si>
  <si>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</si>
  <si>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</si>
  <si>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</si>
  <si>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</si>
  <si>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</si>
  <si>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</si>
  <si>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</si>
  <si>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</si>
  <si>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</si>
  <si>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</si>
  <si>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</si>
  <si>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</si>
  <si>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</si>
  <si>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</si>
  <si>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</si>
  <si>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</si>
  <si>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</si>
  <si>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</si>
  <si>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</si>
  <si>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</si>
  <si>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</si>
  <si>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</si>
  <si>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</si>
  <si>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</si>
  <si>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</si>
  <si>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</si>
  <si>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</si>
  <si>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</si>
  <si>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</si>
  <si>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</si>
  <si>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</si>
  <si>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</si>
  <si>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</si>
  <si>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</si>
  <si>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</si>
  <si>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</si>
  <si>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</si>
  <si>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</si>
  <si>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</si>
  <si>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</si>
  <si>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</si>
  <si>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</si>
  <si>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</si>
  <si>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</si>
  <si>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</si>
  <si>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</si>
  <si>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</si>
  <si>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</si>
  <si>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</si>
  <si>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</si>
  <si>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</si>
  <si>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</si>
  <si>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</si>
  <si>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</si>
  <si>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</si>
  <si>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</si>
  <si>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</si>
  <si>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</si>
  <si>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</si>
  <si>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</si>
  <si>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</si>
  <si>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</si>
  <si>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</si>
  <si>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</si>
  <si>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</si>
  <si>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</si>
  <si>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</si>
  <si>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</si>
  <si>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</si>
  <si>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</si>
  <si>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</si>
  <si>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</si>
  <si>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</si>
  <si>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</si>
  <si>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</si>
  <si>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</si>
  <si>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</si>
  <si>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</si>
  <si>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</si>
  <si>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</si>
  <si>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</si>
  <si>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</si>
  <si>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</si>
  <si>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</si>
  <si>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</si>
  <si>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</si>
  <si>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</si>
  <si>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</si>
  <si>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</si>
  <si>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</si>
  <si>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</si>
  <si>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</si>
  <si>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</si>
  <si>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</si>
  <si>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</si>
  <si>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</si>
  <si>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</si>
  <si>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</si>
  <si>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</si>
  <si>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</si>
  <si>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</si>
  <si>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</si>
  <si>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</si>
  <si>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</si>
  <si>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</si>
  <si>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</si>
  <si>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</si>
  <si>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 xml:space="preserve"> 42,524.00 </t>
  </si>
  <si>
    <t>148</t>
  </si>
  <si>
    <t>Kindred Hospital Seattle Northgate/First Hill</t>
  </si>
  <si>
    <t>10631 8th Avenue NE</t>
  </si>
  <si>
    <t>Seattle WA 98125</t>
  </si>
  <si>
    <t>King</t>
  </si>
  <si>
    <t>Doug McCoy</t>
  </si>
  <si>
    <t>Keenan Underwood</t>
  </si>
  <si>
    <t>Linn Billingsley</t>
  </si>
  <si>
    <t>206-364-2050</t>
  </si>
  <si>
    <t>206-361-5722</t>
  </si>
  <si>
    <t>12/31/2019</t>
  </si>
  <si>
    <t>Minta Albietz (Contract)</t>
  </si>
  <si>
    <t>12/31/2018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</si>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</sst>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1846297.5999999999</v>
      </c>
      <c r="C47" s="184">
        <v>71014.81</v>
      </c>
      <c r="D47" s="184">
        <v>572977</v>
      </c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>
        <v>49796.03</v>
      </c>
      <c r="V47" s="184"/>
      <c r="W47" s="184"/>
      <c r="X47" s="184"/>
      <c r="Y47" s="184">
        <v>17785.560000000001</v>
      </c>
      <c r="Z47" s="184"/>
      <c r="AA47" s="184"/>
      <c r="AB47" s="184">
        <v>88819.38</v>
      </c>
      <c r="AC47" s="184">
        <v>132247.67999999999</v>
      </c>
      <c r="AD47" s="184"/>
      <c r="AE47" s="184">
        <v>306</v>
      </c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>
        <v>10839.66</v>
      </c>
      <c r="AZ47" s="184">
        <v>53502</v>
      </c>
      <c r="BA47" s="184"/>
      <c r="BB47" s="184"/>
      <c r="BC47" s="184"/>
      <c r="BD47" s="184">
        <v>17668</v>
      </c>
      <c r="BE47" s="184"/>
      <c r="BF47" s="184">
        <v>44758.42</v>
      </c>
      <c r="BG47" s="184"/>
      <c r="BH47" s="184"/>
      <c r="BI47" s="184">
        <v>22126.99</v>
      </c>
      <c r="BJ47" s="184">
        <v>13055.27</v>
      </c>
      <c r="BK47" s="184"/>
      <c r="BL47" s="184">
        <v>12143.92</v>
      </c>
      <c r="BM47" s="184"/>
      <c r="BN47" s="184">
        <v>455339.12</v>
      </c>
      <c r="BO47" s="184"/>
      <c r="BP47" s="184"/>
      <c r="BQ47" s="184"/>
      <c r="BR47" s="184"/>
      <c r="BS47" s="184"/>
      <c r="BT47" s="184"/>
      <c r="BU47" s="184"/>
      <c r="BV47" s="184">
        <v>12243.35</v>
      </c>
      <c r="BW47" s="184"/>
      <c r="BX47" s="184">
        <v>40352.43</v>
      </c>
      <c r="BY47" s="184">
        <v>118423.82</v>
      </c>
      <c r="BZ47" s="184"/>
      <c r="CA47" s="184">
        <v>16256.43</v>
      </c>
      <c r="CB47" s="184"/>
      <c r="CC47" s="184">
        <v>96641</v>
      </c>
      <c r="CD47" s="195"/>
      <c r="CE47" s="195">
        <f>SUM(C47:CC47)</f>
        <v>1846296.8700000003</v>
      </c>
    </row>
    <row r="48" spans="1:83" ht="12.6" customHeight="1" x14ac:dyDescent="0.25">
      <c r="A48" s="175" t="s">
        <v>205</v>
      </c>
      <c r="B48" s="183">
        <v>0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1846297.5999999999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362074.14</v>
      </c>
      <c r="C52" s="195">
        <f>ROUND((B52/(CE76+CF76)*C76),0)</f>
        <v>16274</v>
      </c>
      <c r="D52" s="195">
        <f>ROUND((B52/(CE76+CF76)*D76),0)</f>
        <v>76570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6484</v>
      </c>
      <c r="T52" s="195">
        <f>ROUND((B52/(CE76+CF76)*T76),0)</f>
        <v>0</v>
      </c>
      <c r="U52" s="195">
        <f>ROUND((B52/(CE76+CF76)*U76),0)</f>
        <v>2226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1952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6811</v>
      </c>
      <c r="AC52" s="195">
        <f>ROUND((B52/(CE76+CF76)*AC76),0)</f>
        <v>3850</v>
      </c>
      <c r="AD52" s="195">
        <f>ROUND((B52/(CE76+CF76)*AD76),0)</f>
        <v>0</v>
      </c>
      <c r="AE52" s="195">
        <f>ROUND((B52/(CE76+CF76)*AE76),0)</f>
        <v>19402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19787</v>
      </c>
      <c r="BA52" s="195">
        <f>ROUND((B52/(CE76+CF76)*BA76),0)</f>
        <v>2768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7946</v>
      </c>
      <c r="BE52" s="195">
        <f>ROUND((B52/(CE76+CF76)*BE76),0)</f>
        <v>35465</v>
      </c>
      <c r="BF52" s="195">
        <f>ROUND((B52/(CE76+CF76)*BF76),0)</f>
        <v>15152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1992</v>
      </c>
      <c r="BK52" s="195">
        <f>ROUND((B52/(CE76+CF76)*BK76),0)</f>
        <v>0</v>
      </c>
      <c r="BL52" s="195">
        <f>ROUND((B52/(CE76+CF76)*BL76),0)</f>
        <v>60650</v>
      </c>
      <c r="BM52" s="195">
        <f>ROUND((B52/(CE76+CF76)*BM76),0)</f>
        <v>0</v>
      </c>
      <c r="BN52" s="195">
        <f>ROUND((B52/(CE76+CF76)*BN76),0)</f>
        <v>63571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1768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4298</v>
      </c>
      <c r="BW52" s="195">
        <f>ROUND((B52/(CE76+CF76)*BW76),0)</f>
        <v>610</v>
      </c>
      <c r="BX52" s="195">
        <f>ROUND((B52/(CE76+CF76)*BX76),0)</f>
        <v>1261</v>
      </c>
      <c r="BY52" s="195">
        <f>ROUND((B52/(CE76+CF76)*BY76),0)</f>
        <v>6187</v>
      </c>
      <c r="BZ52" s="195">
        <f>ROUND((B52/(CE76+CF76)*BZ76),0)</f>
        <v>0</v>
      </c>
      <c r="CA52" s="195">
        <f>ROUND((B52/(CE76+CF76)*CA76),0)</f>
        <v>3446</v>
      </c>
      <c r="CB52" s="195">
        <f>ROUND((B52/(CE76+CF76)*CB76),0)</f>
        <v>0</v>
      </c>
      <c r="CC52" s="195">
        <f>ROUND((B52/(CE76+CF76)*CC76),0)</f>
        <v>3603</v>
      </c>
      <c r="CD52" s="195"/>
      <c r="CE52" s="195">
        <f>SUM(C52:CD52)</f>
        <v>362073</v>
      </c>
    </row>
    <row r="53" spans="1:84" ht="12.6" customHeight="1" x14ac:dyDescent="0.25">
      <c r="A53" s="175" t="s">
        <v>206</v>
      </c>
      <c r="B53" s="195">
        <f>B51+B52</f>
        <v>362074.14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993</v>
      </c>
      <c r="D59" s="184">
        <v>16428</v>
      </c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>
        <f>85269+2202</f>
        <v>87471</v>
      </c>
      <c r="V59" s="185">
        <v>416</v>
      </c>
      <c r="W59" s="185"/>
      <c r="X59" s="185"/>
      <c r="Y59" s="185">
        <v>2680</v>
      </c>
      <c r="Z59" s="185"/>
      <c r="AA59" s="185"/>
      <c r="AB59" s="248"/>
      <c r="AC59" s="185">
        <v>47274</v>
      </c>
      <c r="AD59" s="185">
        <v>2231</v>
      </c>
      <c r="AE59" s="185">
        <v>12004</v>
      </c>
      <c r="AF59" s="185"/>
      <c r="AG59" s="185"/>
      <c r="AH59" s="185"/>
      <c r="AI59" s="185"/>
      <c r="AJ59" s="185"/>
      <c r="AK59" s="185">
        <v>6204</v>
      </c>
      <c r="AL59" s="185">
        <v>4606</v>
      </c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30106.400000000001</v>
      </c>
      <c r="AZ59" s="185">
        <v>30297.674103522419</v>
      </c>
      <c r="BA59" s="248"/>
      <c r="BB59" s="248"/>
      <c r="BC59" s="248"/>
      <c r="BD59" s="248"/>
      <c r="BE59" s="185">
        <v>80695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6.9099893162393169</v>
      </c>
      <c r="D60" s="187">
        <v>88.710336538461533</v>
      </c>
      <c r="E60" s="187"/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>
        <v>7.3085336538461538</v>
      </c>
      <c r="V60" s="221"/>
      <c r="W60" s="221"/>
      <c r="X60" s="221"/>
      <c r="Y60" s="221">
        <v>1.7206730769230769</v>
      </c>
      <c r="Z60" s="221"/>
      <c r="AA60" s="221"/>
      <c r="AB60" s="221">
        <v>8.7949519230769226</v>
      </c>
      <c r="AC60" s="221">
        <v>17.62</v>
      </c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1.2341346153846153</v>
      </c>
      <c r="AZ60" s="221">
        <v>10.402403846153845</v>
      </c>
      <c r="BA60" s="221"/>
      <c r="BB60" s="221"/>
      <c r="BC60" s="221"/>
      <c r="BD60" s="221">
        <v>3.1969951923076922</v>
      </c>
      <c r="BE60" s="221"/>
      <c r="BF60" s="221">
        <v>11.015504807692308</v>
      </c>
      <c r="BG60" s="221"/>
      <c r="BH60" s="221"/>
      <c r="BI60" s="221">
        <v>4.553245192307692</v>
      </c>
      <c r="BJ60" s="221">
        <v>3.5867788461538459</v>
      </c>
      <c r="BK60" s="221"/>
      <c r="BL60" s="221">
        <v>0.39615384615384613</v>
      </c>
      <c r="BM60" s="221"/>
      <c r="BN60" s="221">
        <v>4.9923076923076923</v>
      </c>
      <c r="BO60" s="221"/>
      <c r="BP60" s="221"/>
      <c r="BQ60" s="221"/>
      <c r="BR60" s="221"/>
      <c r="BS60" s="221"/>
      <c r="BT60" s="221"/>
      <c r="BU60" s="221"/>
      <c r="BV60" s="221">
        <v>1.1937500000000001</v>
      </c>
      <c r="BW60" s="221"/>
      <c r="BX60" s="221">
        <v>5.6450721153846155</v>
      </c>
      <c r="BY60" s="221">
        <v>12.334495192307692</v>
      </c>
      <c r="BZ60" s="221"/>
      <c r="CA60" s="221">
        <v>1.546875</v>
      </c>
      <c r="CB60" s="221"/>
      <c r="CC60" s="221">
        <v>6.46</v>
      </c>
      <c r="CD60" s="249" t="s">
        <v>221</v>
      </c>
      <c r="CE60" s="251">
        <f t="shared" ref="CE60:CE70" si="0">SUM(C60:CD60)</f>
        <v>197.62220085470082</v>
      </c>
    </row>
    <row r="61" spans="1:84" ht="12.6" customHeight="1" x14ac:dyDescent="0.25">
      <c r="A61" s="171" t="s">
        <v>235</v>
      </c>
      <c r="B61" s="175"/>
      <c r="C61" s="184">
        <f>527636.54+62071+67528</f>
        <v>657235.54</v>
      </c>
      <c r="D61" s="184">
        <f>3600183.67+628400+1315813</f>
        <v>5544396.6699999999</v>
      </c>
      <c r="E61" s="184"/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>
        <f>328190.41+36706+7014</f>
        <v>371910.41</v>
      </c>
      <c r="V61" s="185"/>
      <c r="W61" s="185"/>
      <c r="X61" s="185"/>
      <c r="Y61" s="185">
        <f>126592.04+9964</f>
        <v>136556.03999999998</v>
      </c>
      <c r="Z61" s="185"/>
      <c r="AA61" s="185"/>
      <c r="AB61" s="185">
        <f>655852.7+47387</f>
        <v>703239.7</v>
      </c>
      <c r="AC61" s="185">
        <f>778502.64+86386+150203</f>
        <v>1015091.64</v>
      </c>
      <c r="AD61" s="185"/>
      <c r="AE61" s="185">
        <v>1021.02</v>
      </c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f>52418.93+8549</f>
        <v>60967.93</v>
      </c>
      <c r="AZ61" s="185">
        <f>276738.44+29169</f>
        <v>305907.44</v>
      </c>
      <c r="BA61" s="185"/>
      <c r="BB61" s="185"/>
      <c r="BC61" s="185"/>
      <c r="BD61" s="185">
        <f>99494.18+12807</f>
        <v>112301.18</v>
      </c>
      <c r="BE61" s="185"/>
      <c r="BF61" s="185">
        <f>304515.89+34931</f>
        <v>339446.89</v>
      </c>
      <c r="BG61" s="185"/>
      <c r="BH61" s="185"/>
      <c r="BI61" s="185">
        <f>137558.12+17821</f>
        <v>155379.12</v>
      </c>
      <c r="BJ61" s="185">
        <f>141278.8+15530</f>
        <v>156808.79999999999</v>
      </c>
      <c r="BK61" s="185"/>
      <c r="BL61" s="185">
        <f>74473.63+7529</f>
        <v>82002.63</v>
      </c>
      <c r="BM61" s="185"/>
      <c r="BN61" s="185">
        <f>706102.92+16357+2592</f>
        <v>725051.92</v>
      </c>
      <c r="BO61" s="185"/>
      <c r="BP61" s="185"/>
      <c r="BQ61" s="185"/>
      <c r="BR61" s="185"/>
      <c r="BS61" s="185"/>
      <c r="BT61" s="185"/>
      <c r="BU61" s="185"/>
      <c r="BV61" s="185">
        <f>62754.48+7344</f>
        <v>70098.48000000001</v>
      </c>
      <c r="BW61" s="185"/>
      <c r="BX61" s="185">
        <f>360656.06+24025+50974</f>
        <v>435655.06</v>
      </c>
      <c r="BY61" s="185">
        <v>1025180.7799999999</v>
      </c>
      <c r="BZ61" s="185"/>
      <c r="CA61" s="185">
        <f>91526.94+11357</f>
        <v>102883.94</v>
      </c>
      <c r="CB61" s="185"/>
      <c r="CC61" s="185">
        <f>676807+45790</f>
        <v>722597</v>
      </c>
      <c r="CD61" s="249" t="s">
        <v>221</v>
      </c>
      <c r="CE61" s="195">
        <f t="shared" si="0"/>
        <v>12723732.189999999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71015</v>
      </c>
      <c r="D62" s="195">
        <f t="shared" si="1"/>
        <v>572977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49796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17786</v>
      </c>
      <c r="Z62" s="195">
        <f t="shared" si="1"/>
        <v>0</v>
      </c>
      <c r="AA62" s="195">
        <f t="shared" si="1"/>
        <v>0</v>
      </c>
      <c r="AB62" s="195">
        <f t="shared" si="1"/>
        <v>88819</v>
      </c>
      <c r="AC62" s="195">
        <f t="shared" si="1"/>
        <v>132248</v>
      </c>
      <c r="AD62" s="195">
        <f t="shared" si="1"/>
        <v>0</v>
      </c>
      <c r="AE62" s="195">
        <f t="shared" si="1"/>
        <v>306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10840</v>
      </c>
      <c r="AZ62" s="195">
        <f>ROUND(AZ47+AZ48,0)</f>
        <v>53502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17668</v>
      </c>
      <c r="BE62" s="195">
        <f t="shared" si="1"/>
        <v>0</v>
      </c>
      <c r="BF62" s="195">
        <f t="shared" si="1"/>
        <v>44758</v>
      </c>
      <c r="BG62" s="195">
        <f t="shared" si="1"/>
        <v>0</v>
      </c>
      <c r="BH62" s="195">
        <f t="shared" si="1"/>
        <v>0</v>
      </c>
      <c r="BI62" s="195">
        <f t="shared" si="1"/>
        <v>22127</v>
      </c>
      <c r="BJ62" s="195">
        <f t="shared" si="1"/>
        <v>13055</v>
      </c>
      <c r="BK62" s="195">
        <f t="shared" si="1"/>
        <v>0</v>
      </c>
      <c r="BL62" s="195">
        <f t="shared" si="1"/>
        <v>12144</v>
      </c>
      <c r="BM62" s="195">
        <f t="shared" si="1"/>
        <v>0</v>
      </c>
      <c r="BN62" s="195">
        <f t="shared" si="1"/>
        <v>455339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12243</v>
      </c>
      <c r="BW62" s="195">
        <f t="shared" si="2"/>
        <v>0</v>
      </c>
      <c r="BX62" s="195">
        <f t="shared" si="2"/>
        <v>40352</v>
      </c>
      <c r="BY62" s="195">
        <f t="shared" si="2"/>
        <v>118424</v>
      </c>
      <c r="BZ62" s="195">
        <f t="shared" si="2"/>
        <v>0</v>
      </c>
      <c r="CA62" s="195">
        <f t="shared" si="2"/>
        <v>16256</v>
      </c>
      <c r="CB62" s="195">
        <f t="shared" si="2"/>
        <v>0</v>
      </c>
      <c r="CC62" s="195">
        <f t="shared" si="2"/>
        <v>96641</v>
      </c>
      <c r="CD62" s="249" t="s">
        <v>221</v>
      </c>
      <c r="CE62" s="195">
        <f t="shared" si="0"/>
        <v>1846296</v>
      </c>
      <c r="CF62" s="252"/>
    </row>
    <row r="63" spans="1:84" ht="12.6" customHeight="1" x14ac:dyDescent="0.25">
      <c r="A63" s="171" t="s">
        <v>236</v>
      </c>
      <c r="B63" s="175"/>
      <c r="C63" s="184"/>
      <c r="D63" s="184">
        <v>97787.8</v>
      </c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>
        <v>27395.68</v>
      </c>
      <c r="V63" s="185"/>
      <c r="W63" s="185"/>
      <c r="X63" s="185"/>
      <c r="Y63" s="185">
        <v>29635.200000000001</v>
      </c>
      <c r="Z63" s="185"/>
      <c r="AA63" s="185"/>
      <c r="AB63" s="185"/>
      <c r="AC63" s="185"/>
      <c r="AD63" s="185"/>
      <c r="AE63" s="185"/>
      <c r="AF63" s="185"/>
      <c r="AG63" s="185">
        <v>136144.57999999999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>
        <v>119962.7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>
        <v>10911.07</v>
      </c>
      <c r="CD63" s="249" t="s">
        <v>221</v>
      </c>
      <c r="CE63" s="195">
        <f t="shared" si="0"/>
        <v>421837.03</v>
      </c>
      <c r="CF63" s="252"/>
    </row>
    <row r="64" spans="1:84" ht="12.6" customHeight="1" x14ac:dyDescent="0.25">
      <c r="A64" s="171" t="s">
        <v>237</v>
      </c>
      <c r="B64" s="175"/>
      <c r="C64" s="184">
        <v>923.08</v>
      </c>
      <c r="D64" s="184">
        <v>541813.35</v>
      </c>
      <c r="E64" s="185"/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>
        <v>101101</v>
      </c>
      <c r="V64" s="185"/>
      <c r="W64" s="185"/>
      <c r="X64" s="185"/>
      <c r="Y64" s="185">
        <v>1637.93</v>
      </c>
      <c r="Z64" s="185"/>
      <c r="AA64" s="185"/>
      <c r="AB64" s="185">
        <v>26480</v>
      </c>
      <c r="AC64" s="185">
        <v>135256</v>
      </c>
      <c r="AD64" s="185">
        <v>414.73</v>
      </c>
      <c r="AE64" s="185">
        <v>3083.49</v>
      </c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>
        <v>202955.51999999999</v>
      </c>
      <c r="BA64" s="185"/>
      <c r="BB64" s="185"/>
      <c r="BC64" s="185"/>
      <c r="BD64" s="185">
        <v>203087</v>
      </c>
      <c r="BE64" s="185">
        <v>18987</v>
      </c>
      <c r="BF64" s="185">
        <v>77429.08</v>
      </c>
      <c r="BG64" s="185"/>
      <c r="BH64" s="185"/>
      <c r="BI64" s="185">
        <v>5223</v>
      </c>
      <c r="BJ64" s="185"/>
      <c r="BK64" s="185"/>
      <c r="BL64" s="185"/>
      <c r="BM64" s="185"/>
      <c r="BN64" s="185">
        <v>36568.07</v>
      </c>
      <c r="BO64" s="185"/>
      <c r="BP64" s="185"/>
      <c r="BQ64" s="185"/>
      <c r="BR64" s="185"/>
      <c r="BS64" s="185"/>
      <c r="BT64" s="185"/>
      <c r="BU64" s="185"/>
      <c r="BV64" s="185">
        <v>1441.55</v>
      </c>
      <c r="BW64" s="185"/>
      <c r="BX64" s="185"/>
      <c r="BY64" s="185">
        <v>19386.900000000001</v>
      </c>
      <c r="BZ64" s="185"/>
      <c r="CA64" s="185">
        <v>130.46</v>
      </c>
      <c r="CB64" s="185"/>
      <c r="CC64" s="185">
        <v>4324</v>
      </c>
      <c r="CD64" s="249" t="s">
        <v>221</v>
      </c>
      <c r="CE64" s="195">
        <f t="shared" si="0"/>
        <v>1380242.1600000001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310894.67</v>
      </c>
      <c r="BF65" s="185"/>
      <c r="BG65" s="185"/>
      <c r="BH65" s="185"/>
      <c r="BI65" s="185"/>
      <c r="BJ65" s="185"/>
      <c r="BK65" s="185"/>
      <c r="BL65" s="185"/>
      <c r="BM65" s="185"/>
      <c r="BN65" s="185">
        <v>32825.699999999997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>
        <v>22.01</v>
      </c>
      <c r="BY65" s="185"/>
      <c r="BZ65" s="185"/>
      <c r="CA65" s="185"/>
      <c r="CB65" s="185"/>
      <c r="CC65" s="185">
        <v>3656</v>
      </c>
      <c r="CD65" s="249" t="s">
        <v>221</v>
      </c>
      <c r="CE65" s="195">
        <f t="shared" si="0"/>
        <v>347398.38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>
        <v>183432.73</v>
      </c>
      <c r="Q66" s="185"/>
      <c r="R66" s="185"/>
      <c r="S66" s="184"/>
      <c r="T66" s="184"/>
      <c r="U66" s="185">
        <f>94730.79+182400.81</f>
        <v>277131.59999999998</v>
      </c>
      <c r="V66" s="185"/>
      <c r="W66" s="185">
        <v>1752.06</v>
      </c>
      <c r="X66" s="185">
        <v>144815.75</v>
      </c>
      <c r="Y66" s="185">
        <v>6865.07</v>
      </c>
      <c r="Z66" s="185"/>
      <c r="AA66" s="185">
        <v>8325.4</v>
      </c>
      <c r="AB66" s="185">
        <f>81889.11+1152467</f>
        <v>1234356.1100000001</v>
      </c>
      <c r="AC66" s="185"/>
      <c r="AD66" s="185">
        <v>965787.1</v>
      </c>
      <c r="AE66" s="185">
        <v>425549</v>
      </c>
      <c r="AF66" s="185"/>
      <c r="AG66" s="185"/>
      <c r="AH66" s="185"/>
      <c r="AI66" s="185"/>
      <c r="AJ66" s="185"/>
      <c r="AK66" s="185">
        <v>230280</v>
      </c>
      <c r="AL66" s="185">
        <v>186621</v>
      </c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f>345042.81-182400.81</f>
        <v>162642</v>
      </c>
      <c r="AW66" s="185"/>
      <c r="AX66" s="185"/>
      <c r="AY66" s="185"/>
      <c r="AZ66" s="185"/>
      <c r="BA66" s="185">
        <v>502.5</v>
      </c>
      <c r="BB66" s="185"/>
      <c r="BC66" s="185"/>
      <c r="BD66" s="185">
        <v>2389.0500000000002</v>
      </c>
      <c r="BE66" s="185">
        <v>246484.72</v>
      </c>
      <c r="BF66" s="185"/>
      <c r="BG66" s="185"/>
      <c r="BH66" s="185"/>
      <c r="BI66" s="185">
        <v>6480</v>
      </c>
      <c r="BJ66" s="185"/>
      <c r="BK66" s="185"/>
      <c r="BL66" s="185">
        <v>1272.57</v>
      </c>
      <c r="BM66" s="185"/>
      <c r="BN66" s="185">
        <v>35264.42</v>
      </c>
      <c r="BO66" s="185"/>
      <c r="BP66" s="185"/>
      <c r="BQ66" s="185"/>
      <c r="BR66" s="185"/>
      <c r="BS66" s="185"/>
      <c r="BT66" s="185"/>
      <c r="BU66" s="185"/>
      <c r="BV66" s="185">
        <v>83812.41</v>
      </c>
      <c r="BW66" s="185"/>
      <c r="BX66" s="185">
        <v>37.93</v>
      </c>
      <c r="BY66" s="185"/>
      <c r="BZ66" s="185"/>
      <c r="CA66" s="185">
        <v>4025</v>
      </c>
      <c r="CB66" s="185"/>
      <c r="CC66" s="185">
        <v>626294.32999999996</v>
      </c>
      <c r="CD66" s="249" t="s">
        <v>221</v>
      </c>
      <c r="CE66" s="195">
        <f t="shared" si="0"/>
        <v>4834120.7499999991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16274</v>
      </c>
      <c r="D67" s="195">
        <f>ROUND(D51+D52,0)</f>
        <v>76570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6484</v>
      </c>
      <c r="T67" s="195">
        <f t="shared" si="3"/>
        <v>0</v>
      </c>
      <c r="U67" s="195">
        <f t="shared" si="3"/>
        <v>2226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1952</v>
      </c>
      <c r="Z67" s="195">
        <f t="shared" si="3"/>
        <v>0</v>
      </c>
      <c r="AA67" s="195">
        <f t="shared" si="3"/>
        <v>0</v>
      </c>
      <c r="AB67" s="195">
        <f t="shared" si="3"/>
        <v>6811</v>
      </c>
      <c r="AC67" s="195">
        <f t="shared" si="3"/>
        <v>3850</v>
      </c>
      <c r="AD67" s="195">
        <f t="shared" si="3"/>
        <v>0</v>
      </c>
      <c r="AE67" s="195">
        <f t="shared" si="3"/>
        <v>19402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19787</v>
      </c>
      <c r="BA67" s="195">
        <f>ROUND(BA51+BA52,0)</f>
        <v>2768</v>
      </c>
      <c r="BB67" s="195">
        <f t="shared" si="3"/>
        <v>0</v>
      </c>
      <c r="BC67" s="195">
        <f t="shared" si="3"/>
        <v>0</v>
      </c>
      <c r="BD67" s="195">
        <f t="shared" si="3"/>
        <v>7946</v>
      </c>
      <c r="BE67" s="195">
        <f t="shared" si="3"/>
        <v>35465</v>
      </c>
      <c r="BF67" s="195">
        <f t="shared" si="3"/>
        <v>15152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1992</v>
      </c>
      <c r="BK67" s="195">
        <f t="shared" si="3"/>
        <v>0</v>
      </c>
      <c r="BL67" s="195">
        <f t="shared" si="3"/>
        <v>60650</v>
      </c>
      <c r="BM67" s="195">
        <f t="shared" si="3"/>
        <v>0</v>
      </c>
      <c r="BN67" s="195">
        <f t="shared" si="3"/>
        <v>63571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1768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4298</v>
      </c>
      <c r="BW67" s="195">
        <f t="shared" si="4"/>
        <v>610</v>
      </c>
      <c r="BX67" s="195">
        <f t="shared" si="4"/>
        <v>1261</v>
      </c>
      <c r="BY67" s="195">
        <f t="shared" si="4"/>
        <v>6187</v>
      </c>
      <c r="BZ67" s="195">
        <f t="shared" si="4"/>
        <v>0</v>
      </c>
      <c r="CA67" s="195">
        <f t="shared" si="4"/>
        <v>3446</v>
      </c>
      <c r="CB67" s="195">
        <f t="shared" si="4"/>
        <v>0</v>
      </c>
      <c r="CC67" s="195">
        <f t="shared" si="4"/>
        <v>3603</v>
      </c>
      <c r="CD67" s="249" t="s">
        <v>221</v>
      </c>
      <c r="CE67" s="195">
        <f t="shared" si="0"/>
        <v>362073</v>
      </c>
      <c r="CF67" s="252"/>
    </row>
    <row r="68" spans="1:84" ht="12.6" customHeight="1" x14ac:dyDescent="0.25">
      <c r="A68" s="171" t="s">
        <v>240</v>
      </c>
      <c r="B68" s="175"/>
      <c r="C68" s="184">
        <v>704.96</v>
      </c>
      <c r="D68" s="184">
        <v>164937.48000000001</v>
      </c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>
        <v>2115.02</v>
      </c>
      <c r="AC68" s="185">
        <v>66564.039999999994</v>
      </c>
      <c r="AD68" s="185"/>
      <c r="AE68" s="185">
        <v>32587.95</v>
      </c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>
        <v>36764</v>
      </c>
      <c r="BE68" s="185">
        <v>5424.53</v>
      </c>
      <c r="BF68" s="185"/>
      <c r="BG68" s="185"/>
      <c r="BH68" s="185"/>
      <c r="BI68" s="185"/>
      <c r="BJ68" s="185"/>
      <c r="BK68" s="185"/>
      <c r="BL68" s="185"/>
      <c r="BM68" s="185"/>
      <c r="BN68" s="185">
        <v>17571.61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>
        <v>210343</v>
      </c>
      <c r="CD68" s="249" t="s">
        <v>221</v>
      </c>
      <c r="CE68" s="195">
        <f t="shared" si="0"/>
        <v>537012.59000000008</v>
      </c>
      <c r="CF68" s="252"/>
    </row>
    <row r="69" spans="1:84" ht="12.6" customHeight="1" x14ac:dyDescent="0.25">
      <c r="A69" s="171" t="s">
        <v>241</v>
      </c>
      <c r="B69" s="175"/>
      <c r="C69" s="184">
        <v>45.81</v>
      </c>
      <c r="D69" s="184">
        <v>1999.03</v>
      </c>
      <c r="E69" s="185"/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>
        <v>311</v>
      </c>
      <c r="Q69" s="185"/>
      <c r="R69" s="224"/>
      <c r="S69" s="185"/>
      <c r="T69" s="184"/>
      <c r="U69" s="185">
        <v>45747.61</v>
      </c>
      <c r="V69" s="185"/>
      <c r="W69" s="184">
        <v>410.26</v>
      </c>
      <c r="X69" s="185"/>
      <c r="Y69" s="185">
        <v>313.3</v>
      </c>
      <c r="Z69" s="185"/>
      <c r="AA69" s="185"/>
      <c r="AB69" s="185">
        <v>9530.5300000000007</v>
      </c>
      <c r="AC69" s="185">
        <v>1722.74</v>
      </c>
      <c r="AD69" s="185"/>
      <c r="AE69" s="185">
        <v>212.48</v>
      </c>
      <c r="AF69" s="185"/>
      <c r="AG69" s="185"/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/>
      <c r="AZ69" s="185">
        <v>975.65</v>
      </c>
      <c r="BA69" s="185">
        <v>106268.75</v>
      </c>
      <c r="BB69" s="185"/>
      <c r="BC69" s="185"/>
      <c r="BD69" s="185">
        <v>217.1</v>
      </c>
      <c r="BE69" s="185">
        <v>97554.01</v>
      </c>
      <c r="BF69" s="185">
        <v>80.94</v>
      </c>
      <c r="BG69" s="185"/>
      <c r="BH69" s="224"/>
      <c r="BI69" s="185">
        <v>604.66</v>
      </c>
      <c r="BJ69" s="185">
        <v>3703.88</v>
      </c>
      <c r="BK69" s="185"/>
      <c r="BL69" s="185">
        <v>857.56</v>
      </c>
      <c r="BM69" s="185"/>
      <c r="BN69" s="185">
        <v>332696.55</v>
      </c>
      <c r="BO69" s="185"/>
      <c r="BP69" s="185"/>
      <c r="BQ69" s="185"/>
      <c r="BR69" s="185"/>
      <c r="BS69" s="185"/>
      <c r="BT69" s="185"/>
      <c r="BU69" s="185"/>
      <c r="BV69" s="185">
        <v>25.98</v>
      </c>
      <c r="BW69" s="185"/>
      <c r="BX69" s="185">
        <v>2503.5100000000002</v>
      </c>
      <c r="BY69" s="185">
        <v>2273.84</v>
      </c>
      <c r="BZ69" s="185"/>
      <c r="CA69" s="185">
        <v>2764.96</v>
      </c>
      <c r="CB69" s="185"/>
      <c r="CC69" s="185">
        <f>144425.98+807401</f>
        <v>951826.98</v>
      </c>
      <c r="CD69" s="188">
        <f>1225350+289447</f>
        <v>1514797</v>
      </c>
      <c r="CE69" s="195">
        <f t="shared" si="0"/>
        <v>3077444.13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80633</v>
      </c>
      <c r="CE70" s="195">
        <f t="shared" si="0"/>
        <v>80633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746198.39</v>
      </c>
      <c r="D71" s="195">
        <f t="shared" ref="D71:AI71" si="5">SUM(D61:D69)-D70</f>
        <v>7000481.3300000001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183743.73</v>
      </c>
      <c r="Q71" s="195">
        <f t="shared" si="5"/>
        <v>0</v>
      </c>
      <c r="R71" s="195">
        <f t="shared" si="5"/>
        <v>0</v>
      </c>
      <c r="S71" s="195">
        <f t="shared" si="5"/>
        <v>6484</v>
      </c>
      <c r="T71" s="195">
        <f t="shared" si="5"/>
        <v>0</v>
      </c>
      <c r="U71" s="195">
        <f t="shared" si="5"/>
        <v>875308.29999999993</v>
      </c>
      <c r="V71" s="195">
        <f t="shared" si="5"/>
        <v>0</v>
      </c>
      <c r="W71" s="195">
        <f t="shared" si="5"/>
        <v>2162.3199999999997</v>
      </c>
      <c r="X71" s="195">
        <f t="shared" si="5"/>
        <v>144815.75</v>
      </c>
      <c r="Y71" s="195">
        <f t="shared" si="5"/>
        <v>194745.53999999998</v>
      </c>
      <c r="Z71" s="195">
        <f t="shared" si="5"/>
        <v>0</v>
      </c>
      <c r="AA71" s="195">
        <f t="shared" si="5"/>
        <v>8325.4</v>
      </c>
      <c r="AB71" s="195">
        <f t="shared" si="5"/>
        <v>2071351.36</v>
      </c>
      <c r="AC71" s="195">
        <f t="shared" si="5"/>
        <v>1354732.4200000002</v>
      </c>
      <c r="AD71" s="195">
        <f t="shared" si="5"/>
        <v>966201.83</v>
      </c>
      <c r="AE71" s="195">
        <f t="shared" si="5"/>
        <v>482161.94</v>
      </c>
      <c r="AF71" s="195">
        <f t="shared" si="5"/>
        <v>0</v>
      </c>
      <c r="AG71" s="195">
        <f t="shared" si="5"/>
        <v>136144.57999999999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230280</v>
      </c>
      <c r="AL71" s="195">
        <f t="shared" si="6"/>
        <v>186621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162642</v>
      </c>
      <c r="AW71" s="195">
        <f t="shared" si="6"/>
        <v>0</v>
      </c>
      <c r="AX71" s="195">
        <f t="shared" si="6"/>
        <v>0</v>
      </c>
      <c r="AY71" s="195">
        <f t="shared" si="6"/>
        <v>71807.929999999993</v>
      </c>
      <c r="AZ71" s="195">
        <f t="shared" si="6"/>
        <v>583127.61</v>
      </c>
      <c r="BA71" s="195">
        <f t="shared" si="6"/>
        <v>109539.25</v>
      </c>
      <c r="BB71" s="195">
        <f t="shared" si="6"/>
        <v>0</v>
      </c>
      <c r="BC71" s="195">
        <f t="shared" si="6"/>
        <v>0</v>
      </c>
      <c r="BD71" s="195">
        <f t="shared" si="6"/>
        <v>380372.32999999996</v>
      </c>
      <c r="BE71" s="195">
        <f t="shared" si="6"/>
        <v>714809.93</v>
      </c>
      <c r="BF71" s="195">
        <f t="shared" si="6"/>
        <v>476866.91000000003</v>
      </c>
      <c r="BG71" s="195">
        <f t="shared" si="6"/>
        <v>0</v>
      </c>
      <c r="BH71" s="195">
        <f t="shared" si="6"/>
        <v>0</v>
      </c>
      <c r="BI71" s="195">
        <f t="shared" si="6"/>
        <v>189813.78</v>
      </c>
      <c r="BJ71" s="195">
        <f t="shared" si="6"/>
        <v>175559.67999999999</v>
      </c>
      <c r="BK71" s="195">
        <f t="shared" si="6"/>
        <v>0</v>
      </c>
      <c r="BL71" s="195">
        <f t="shared" si="6"/>
        <v>156926.76</v>
      </c>
      <c r="BM71" s="195">
        <f t="shared" si="6"/>
        <v>0</v>
      </c>
      <c r="BN71" s="195">
        <f t="shared" si="6"/>
        <v>1818850.97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1768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171919.42</v>
      </c>
      <c r="BW71" s="195">
        <f t="shared" si="7"/>
        <v>610</v>
      </c>
      <c r="BX71" s="195">
        <f t="shared" si="7"/>
        <v>479831.51</v>
      </c>
      <c r="BY71" s="195">
        <f t="shared" si="7"/>
        <v>1171452.5199999998</v>
      </c>
      <c r="BZ71" s="195">
        <f t="shared" si="7"/>
        <v>0</v>
      </c>
      <c r="CA71" s="195">
        <f t="shared" si="7"/>
        <v>129506.36000000002</v>
      </c>
      <c r="CB71" s="195">
        <f t="shared" si="7"/>
        <v>0</v>
      </c>
      <c r="CC71" s="195">
        <f t="shared" si="7"/>
        <v>2630196.38</v>
      </c>
      <c r="CD71" s="245">
        <f>CD69-CD70</f>
        <v>1434164</v>
      </c>
      <c r="CE71" s="195">
        <f>SUM(CE61:CE69)-CE70</f>
        <v>25449523.229999997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4825113.66</v>
      </c>
      <c r="D73" s="184">
        <v>49940247.449999996</v>
      </c>
      <c r="E73" s="185"/>
      <c r="F73" s="185"/>
      <c r="G73" s="184"/>
      <c r="H73" s="184"/>
      <c r="I73" s="185"/>
      <c r="J73" s="185"/>
      <c r="K73" s="185"/>
      <c r="L73" s="185"/>
      <c r="M73" s="184"/>
      <c r="N73" s="184"/>
      <c r="O73" s="184"/>
      <c r="P73" s="185">
        <v>598932.89999999991</v>
      </c>
      <c r="Q73" s="185"/>
      <c r="R73" s="185"/>
      <c r="S73" s="185">
        <v>388632</v>
      </c>
      <c r="T73" s="185"/>
      <c r="U73" s="185">
        <f>5584269.32+344100.72</f>
        <v>5928370.04</v>
      </c>
      <c r="V73" s="185">
        <v>86159.60000000002</v>
      </c>
      <c r="W73" s="185">
        <v>46182.01</v>
      </c>
      <c r="X73" s="185">
        <v>283048.94</v>
      </c>
      <c r="Y73" s="185">
        <v>549043.42000000004</v>
      </c>
      <c r="Z73" s="185"/>
      <c r="AA73" s="185">
        <v>8681.4</v>
      </c>
      <c r="AB73" s="185">
        <v>12680461.099999998</v>
      </c>
      <c r="AC73" s="185">
        <v>12722718.07</v>
      </c>
      <c r="AD73" s="185">
        <v>3089887.1</v>
      </c>
      <c r="AE73" s="185">
        <v>1358708.79</v>
      </c>
      <c r="AF73" s="185"/>
      <c r="AG73" s="185"/>
      <c r="AH73" s="185"/>
      <c r="AI73" s="185"/>
      <c r="AJ73" s="185"/>
      <c r="AK73" s="185">
        <v>685495.83</v>
      </c>
      <c r="AL73" s="185">
        <v>573023.17000000016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f>15725+155073.39</f>
        <v>170798.39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93935503.870000005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0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4825113.66</v>
      </c>
      <c r="D75" s="195">
        <f t="shared" si="9"/>
        <v>49940247.449999996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598932.89999999991</v>
      </c>
      <c r="Q75" s="195">
        <f t="shared" si="9"/>
        <v>0</v>
      </c>
      <c r="R75" s="195">
        <f t="shared" si="9"/>
        <v>0</v>
      </c>
      <c r="S75" s="195">
        <f t="shared" si="9"/>
        <v>388632</v>
      </c>
      <c r="T75" s="195">
        <f t="shared" si="9"/>
        <v>0</v>
      </c>
      <c r="U75" s="195">
        <f t="shared" si="9"/>
        <v>5928370.04</v>
      </c>
      <c r="V75" s="195">
        <f t="shared" si="9"/>
        <v>86159.60000000002</v>
      </c>
      <c r="W75" s="195">
        <f t="shared" si="9"/>
        <v>46182.01</v>
      </c>
      <c r="X75" s="195">
        <f t="shared" si="9"/>
        <v>283048.94</v>
      </c>
      <c r="Y75" s="195">
        <f t="shared" si="9"/>
        <v>549043.42000000004</v>
      </c>
      <c r="Z75" s="195">
        <f t="shared" si="9"/>
        <v>0</v>
      </c>
      <c r="AA75" s="195">
        <f t="shared" si="9"/>
        <v>8681.4</v>
      </c>
      <c r="AB75" s="195">
        <f t="shared" si="9"/>
        <v>12680461.099999998</v>
      </c>
      <c r="AC75" s="195">
        <f t="shared" si="9"/>
        <v>12722718.07</v>
      </c>
      <c r="AD75" s="195">
        <f t="shared" si="9"/>
        <v>3089887.1</v>
      </c>
      <c r="AE75" s="195">
        <f t="shared" si="9"/>
        <v>1358708.79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685495.83</v>
      </c>
      <c r="AL75" s="195">
        <f t="shared" si="9"/>
        <v>573023.17000000016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170798.39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93935503.870000005</v>
      </c>
      <c r="CF75" s="252"/>
    </row>
    <row r="76" spans="1:84" ht="12.6" customHeight="1" x14ac:dyDescent="0.25">
      <c r="A76" s="171" t="s">
        <v>248</v>
      </c>
      <c r="B76" s="175"/>
      <c r="C76" s="184">
        <v>3627</v>
      </c>
      <c r="D76" s="184">
        <v>17065</v>
      </c>
      <c r="E76" s="185"/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>
        <v>1445</v>
      </c>
      <c r="T76" s="185"/>
      <c r="U76" s="185">
        <v>496</v>
      </c>
      <c r="V76" s="185"/>
      <c r="W76" s="185"/>
      <c r="X76" s="185"/>
      <c r="Y76" s="185">
        <v>435</v>
      </c>
      <c r="Z76" s="185"/>
      <c r="AA76" s="185"/>
      <c r="AB76" s="185">
        <v>1518</v>
      </c>
      <c r="AC76" s="185">
        <v>858</v>
      </c>
      <c r="AD76" s="185"/>
      <c r="AE76" s="185">
        <v>4324</v>
      </c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>
        <v>4410</v>
      </c>
      <c r="BA76" s="185">
        <v>617</v>
      </c>
      <c r="BB76" s="185"/>
      <c r="BC76" s="185"/>
      <c r="BD76" s="185">
        <v>1771</v>
      </c>
      <c r="BE76" s="185">
        <v>7904</v>
      </c>
      <c r="BF76" s="185">
        <v>3377</v>
      </c>
      <c r="BG76" s="185"/>
      <c r="BH76" s="185"/>
      <c r="BI76" s="185"/>
      <c r="BJ76" s="185">
        <v>444</v>
      </c>
      <c r="BK76" s="185"/>
      <c r="BL76" s="185">
        <v>13517</v>
      </c>
      <c r="BM76" s="185"/>
      <c r="BN76" s="185">
        <v>14168</v>
      </c>
      <c r="BO76" s="185"/>
      <c r="BP76" s="185"/>
      <c r="BQ76" s="185"/>
      <c r="BR76" s="185">
        <v>394</v>
      </c>
      <c r="BS76" s="185"/>
      <c r="BT76" s="185"/>
      <c r="BU76" s="185"/>
      <c r="BV76" s="185">
        <v>958</v>
      </c>
      <c r="BW76" s="185">
        <v>136</v>
      </c>
      <c r="BX76" s="185">
        <v>281</v>
      </c>
      <c r="BY76" s="185">
        <v>1379</v>
      </c>
      <c r="BZ76" s="185"/>
      <c r="CA76" s="185">
        <v>768</v>
      </c>
      <c r="CB76" s="185"/>
      <c r="CC76" s="185">
        <v>803</v>
      </c>
      <c r="CD76" s="249" t="s">
        <v>221</v>
      </c>
      <c r="CE76" s="195">
        <f t="shared" si="8"/>
        <v>80695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>
        <v>30106.400000000001</v>
      </c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30106.400000000001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1306.0021956259686</v>
      </c>
      <c r="D78" s="184">
        <v>21606.24780437403</v>
      </c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22912.25</v>
      </c>
      <c r="CF78" s="195"/>
    </row>
    <row r="79" spans="1:84" ht="12.6" customHeight="1" x14ac:dyDescent="0.25">
      <c r="A79" s="171" t="s">
        <v>251</v>
      </c>
      <c r="B79" s="175"/>
      <c r="C79" s="225">
        <v>56230.623941890997</v>
      </c>
      <c r="D79" s="225">
        <v>150696.99583523668</v>
      </c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>
        <v>2249.3594988045402</v>
      </c>
      <c r="T79" s="184"/>
      <c r="U79" s="184">
        <v>2249.3594988045402</v>
      </c>
      <c r="V79" s="184"/>
      <c r="W79" s="184"/>
      <c r="X79" s="184"/>
      <c r="Y79" s="184">
        <v>2249.3594988045402</v>
      </c>
      <c r="Z79" s="184"/>
      <c r="AA79" s="184"/>
      <c r="AB79" s="184"/>
      <c r="AC79" s="184">
        <v>11245.956611967073</v>
      </c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224921.65488550841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6.9099893162393169</v>
      </c>
      <c r="D80" s="187">
        <v>88.710336538461533</v>
      </c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95.620325854700852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1266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1267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1268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1268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1277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1272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1273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1274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1275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332</v>
      </c>
      <c r="D111" s="174">
        <v>17421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70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80</v>
      </c>
    </row>
    <row r="128" spans="1:5" ht="12.6" customHeight="1" x14ac:dyDescent="0.25">
      <c r="A128" s="173" t="s">
        <v>292</v>
      </c>
      <c r="B128" s="172" t="s">
        <v>256</v>
      </c>
      <c r="C128" s="189">
        <v>80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148</v>
      </c>
      <c r="C138" s="189">
        <v>4</v>
      </c>
      <c r="D138" s="174">
        <v>180</v>
      </c>
      <c r="E138" s="175">
        <f>SUM(B138:D138)</f>
        <v>332</v>
      </c>
    </row>
    <row r="139" spans="1:6" ht="12.6" customHeight="1" x14ac:dyDescent="0.25">
      <c r="A139" s="173" t="s">
        <v>215</v>
      </c>
      <c r="B139" s="174">
        <v>7228</v>
      </c>
      <c r="C139" s="189">
        <v>1613</v>
      </c>
      <c r="D139" s="174">
        <v>8580</v>
      </c>
      <c r="E139" s="175">
        <f>SUM(B139:D139)</f>
        <v>17421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33233320.199999999</v>
      </c>
      <c r="C141" s="189">
        <v>3512744.4099999997</v>
      </c>
      <c r="D141" s="174">
        <v>57189439.260000005</v>
      </c>
      <c r="E141" s="175">
        <f>SUM(B141:D141)</f>
        <v>93935503.870000005</v>
      </c>
      <c r="F141" s="199"/>
    </row>
    <row r="142" spans="1:6" ht="12.6" customHeight="1" x14ac:dyDescent="0.25">
      <c r="A142" s="173" t="s">
        <v>246</v>
      </c>
      <c r="B142" s="174"/>
      <c r="C142" s="189"/>
      <c r="D142" s="174"/>
      <c r="E142" s="175">
        <f>SUM(B142:D142)</f>
        <v>0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833564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f>58498+11419</f>
        <v>69917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217211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493765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5807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10670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215364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1846298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210343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326670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537013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f>94366+31210+15398-4652-21222+11150</f>
        <v>126250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17047+436+5652+30420+1968</f>
        <v>55523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181773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32748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f>-52738-2782+648401</f>
        <v>592881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625629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4008920.46</v>
      </c>
      <c r="C195" s="189"/>
      <c r="D195" s="174"/>
      <c r="E195" s="175">
        <f t="shared" ref="E195:E203" si="10">SUM(B195:C195)-D195</f>
        <v>4008920.46</v>
      </c>
    </row>
    <row r="196" spans="1:8" ht="12.6" customHeight="1" x14ac:dyDescent="0.25">
      <c r="A196" s="173" t="s">
        <v>333</v>
      </c>
      <c r="B196" s="174">
        <v>5965.66</v>
      </c>
      <c r="C196" s="189"/>
      <c r="D196" s="174"/>
      <c r="E196" s="175">
        <f t="shared" si="10"/>
        <v>5965.66</v>
      </c>
    </row>
    <row r="197" spans="1:8" ht="12.6" customHeight="1" x14ac:dyDescent="0.25">
      <c r="A197" s="173" t="s">
        <v>334</v>
      </c>
      <c r="B197" s="174">
        <v>5284887.92</v>
      </c>
      <c r="C197" s="189">
        <v>20478.599999999999</v>
      </c>
      <c r="D197" s="174"/>
      <c r="E197" s="175">
        <f t="shared" si="10"/>
        <v>5305366.5199999996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596773.38</v>
      </c>
      <c r="C200" s="189">
        <v>380118.69</v>
      </c>
      <c r="D200" s="174"/>
      <c r="E200" s="175">
        <f t="shared" si="10"/>
        <v>976892.07000000007</v>
      </c>
    </row>
    <row r="201" spans="1:8" ht="12.6" customHeight="1" x14ac:dyDescent="0.25">
      <c r="A201" s="173" t="s">
        <v>338</v>
      </c>
      <c r="B201" s="174">
        <v>57396.5</v>
      </c>
      <c r="C201" s="189">
        <v>84357.51</v>
      </c>
      <c r="D201" s="174"/>
      <c r="E201" s="175">
        <f t="shared" si="10"/>
        <v>141754.01</v>
      </c>
    </row>
    <row r="202" spans="1:8" ht="12.6" customHeight="1" x14ac:dyDescent="0.25">
      <c r="A202" s="173" t="s">
        <v>339</v>
      </c>
      <c r="B202" s="174">
        <v>11794.5</v>
      </c>
      <c r="C202" s="189"/>
      <c r="D202" s="174"/>
      <c r="E202" s="175">
        <f t="shared" si="10"/>
        <v>11794.5</v>
      </c>
    </row>
    <row r="203" spans="1:8" ht="12.6" customHeight="1" x14ac:dyDescent="0.25">
      <c r="A203" s="173" t="s">
        <v>340</v>
      </c>
      <c r="B203" s="174"/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9965738.4199999999</v>
      </c>
      <c r="C204" s="191">
        <f>SUM(C195:C203)</f>
        <v>484954.8</v>
      </c>
      <c r="D204" s="175">
        <f>SUM(D195:D203)</f>
        <v>0</v>
      </c>
      <c r="E204" s="175">
        <f>SUM(E195:E203)</f>
        <v>10450693.220000001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357.59</v>
      </c>
      <c r="C209" s="189">
        <v>715.18</v>
      </c>
      <c r="D209" s="174"/>
      <c r="E209" s="175">
        <f t="shared" ref="E209:E216" si="11">SUM(B209:C209)-D209</f>
        <v>1072.77</v>
      </c>
      <c r="H209" s="259"/>
    </row>
    <row r="210" spans="1:8" ht="12.6" customHeight="1" x14ac:dyDescent="0.25">
      <c r="A210" s="173" t="s">
        <v>334</v>
      </c>
      <c r="B210" s="174">
        <v>82576.37</v>
      </c>
      <c r="C210" s="189">
        <f>165152.75+568.85</f>
        <v>165721.60000000001</v>
      </c>
      <c r="D210" s="174"/>
      <c r="E210" s="175">
        <f t="shared" si="11"/>
        <v>248297.97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65119.92</v>
      </c>
      <c r="C213" s="189">
        <v>170508.49</v>
      </c>
      <c r="D213" s="174"/>
      <c r="E213" s="175">
        <f t="shared" si="11"/>
        <v>235628.40999999997</v>
      </c>
      <c r="H213" s="259"/>
    </row>
    <row r="214" spans="1:8" ht="12.6" customHeight="1" x14ac:dyDescent="0.25">
      <c r="A214" s="173" t="s">
        <v>338</v>
      </c>
      <c r="B214" s="174">
        <f>5656.6-1401.08</f>
        <v>4255.5200000000004</v>
      </c>
      <c r="C214" s="189">
        <f>25943.91+2802.15</f>
        <v>28746.06</v>
      </c>
      <c r="D214" s="174"/>
      <c r="E214" s="175">
        <f t="shared" si="11"/>
        <v>33001.58</v>
      </c>
      <c r="H214" s="259"/>
    </row>
    <row r="215" spans="1:8" ht="12.6" customHeight="1" x14ac:dyDescent="0.25">
      <c r="A215" s="173" t="s">
        <v>339</v>
      </c>
      <c r="B215" s="174">
        <v>2766.32</v>
      </c>
      <c r="C215" s="189">
        <v>5532.66</v>
      </c>
      <c r="D215" s="174"/>
      <c r="E215" s="175">
        <f t="shared" si="11"/>
        <v>8298.98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155075.72</v>
      </c>
      <c r="C217" s="191">
        <f>SUM(C208:C216)</f>
        <v>371223.99</v>
      </c>
      <c r="D217" s="175">
        <f>SUM(D208:D216)</f>
        <v>0</v>
      </c>
      <c r="E217" s="175">
        <f>SUM(E208:E216)</f>
        <v>526299.71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1970020</v>
      </c>
      <c r="D221" s="172">
        <f>C221</f>
        <v>1970020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25553372.440000001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2989964.5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34673373.8-1970020</f>
        <v>32703353.799999997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61246690.739999995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/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0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63216710.739999995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-25443.73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14754748.24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/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264127.21000000002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8500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15001931.720000001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4014886.12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/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5305366.5199999996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1118646.08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11794.5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10450693.220000001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529101.87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9921591.3500000015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10000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10000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24933523.07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1478286.78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792083.74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952562.31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3222932.83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16013162.5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16013162.5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16013162.5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5697427.7400000002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24933523.07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24933523.07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93935503.870000005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/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93935503.870000005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1970020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61246691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/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63216711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30718792.870000005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80633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80633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30799425.870000005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12723732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1846298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421837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1380242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347398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1154399+842450+2837271</f>
        <v>4834120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362074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f>326670+210343</f>
        <v>537013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181773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625629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2270043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25530159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5269266.8700000048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5269266.8700000048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5269266.8700000048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Kindred Hospital Seattle Northgate/First Hill   H-0     FYE 12/31/2019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332</v>
      </c>
      <c r="C414" s="194">
        <f>E138</f>
        <v>332</v>
      </c>
      <c r="D414" s="179"/>
    </row>
    <row r="415" spans="1:5" ht="12.6" customHeight="1" x14ac:dyDescent="0.25">
      <c r="A415" s="179" t="s">
        <v>464</v>
      </c>
      <c r="B415" s="179">
        <f>D111</f>
        <v>17421</v>
      </c>
      <c r="C415" s="179">
        <f>E139</f>
        <v>17421</v>
      </c>
      <c r="D415" s="194">
        <f>SUM(C59:H59)+N59</f>
        <v>17421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12723732</v>
      </c>
      <c r="C427" s="179">
        <f t="shared" ref="C427:C434" si="13">CE61</f>
        <v>12723732.189999999</v>
      </c>
      <c r="D427" s="179"/>
    </row>
    <row r="428" spans="1:7" ht="12.6" customHeight="1" x14ac:dyDescent="0.25">
      <c r="A428" s="179" t="s">
        <v>3</v>
      </c>
      <c r="B428" s="179">
        <f t="shared" si="12"/>
        <v>1846298</v>
      </c>
      <c r="C428" s="179">
        <f t="shared" si="13"/>
        <v>1846296</v>
      </c>
      <c r="D428" s="179">
        <f>D173</f>
        <v>1846298</v>
      </c>
    </row>
    <row r="429" spans="1:7" ht="12.6" customHeight="1" x14ac:dyDescent="0.25">
      <c r="A429" s="179" t="s">
        <v>236</v>
      </c>
      <c r="B429" s="179">
        <f t="shared" si="12"/>
        <v>421837</v>
      </c>
      <c r="C429" s="179">
        <f t="shared" si="13"/>
        <v>421837.03</v>
      </c>
      <c r="D429" s="179"/>
    </row>
    <row r="430" spans="1:7" ht="12.6" customHeight="1" x14ac:dyDescent="0.25">
      <c r="A430" s="179" t="s">
        <v>237</v>
      </c>
      <c r="B430" s="179">
        <f t="shared" si="12"/>
        <v>1380242</v>
      </c>
      <c r="C430" s="179">
        <f t="shared" si="13"/>
        <v>1380242.1600000001</v>
      </c>
      <c r="D430" s="179"/>
    </row>
    <row r="431" spans="1:7" ht="12.6" customHeight="1" x14ac:dyDescent="0.25">
      <c r="A431" s="179" t="s">
        <v>444</v>
      </c>
      <c r="B431" s="179">
        <f t="shared" si="12"/>
        <v>347398</v>
      </c>
      <c r="C431" s="179">
        <f t="shared" si="13"/>
        <v>347398.38</v>
      </c>
      <c r="D431" s="179"/>
    </row>
    <row r="432" spans="1:7" ht="12.6" customHeight="1" x14ac:dyDescent="0.25">
      <c r="A432" s="179" t="s">
        <v>445</v>
      </c>
      <c r="B432" s="179">
        <f t="shared" si="12"/>
        <v>4834120</v>
      </c>
      <c r="C432" s="179">
        <f t="shared" si="13"/>
        <v>4834120.7499999991</v>
      </c>
      <c r="D432" s="179"/>
    </row>
    <row r="433" spans="1:7" ht="12.6" customHeight="1" x14ac:dyDescent="0.25">
      <c r="A433" s="179" t="s">
        <v>6</v>
      </c>
      <c r="B433" s="179">
        <f t="shared" si="12"/>
        <v>362074</v>
      </c>
      <c r="C433" s="179">
        <f t="shared" si="13"/>
        <v>362073</v>
      </c>
      <c r="D433" s="179">
        <f>C217</f>
        <v>371223.99</v>
      </c>
    </row>
    <row r="434" spans="1:7" ht="12.6" customHeight="1" x14ac:dyDescent="0.25">
      <c r="A434" s="179" t="s">
        <v>474</v>
      </c>
      <c r="B434" s="179">
        <f t="shared" si="12"/>
        <v>537013</v>
      </c>
      <c r="C434" s="179">
        <f t="shared" si="13"/>
        <v>537012.59000000008</v>
      </c>
      <c r="D434" s="179">
        <f>D177</f>
        <v>537013</v>
      </c>
    </row>
    <row r="435" spans="1:7" ht="12.6" customHeight="1" x14ac:dyDescent="0.25">
      <c r="A435" s="179" t="s">
        <v>447</v>
      </c>
      <c r="B435" s="179">
        <f t="shared" si="12"/>
        <v>181773</v>
      </c>
      <c r="C435" s="179"/>
      <c r="D435" s="179">
        <f>D181</f>
        <v>181773</v>
      </c>
    </row>
    <row r="436" spans="1:7" ht="12.6" customHeight="1" x14ac:dyDescent="0.25">
      <c r="A436" s="179" t="s">
        <v>475</v>
      </c>
      <c r="B436" s="179">
        <f t="shared" si="12"/>
        <v>625629</v>
      </c>
      <c r="C436" s="179"/>
      <c r="D436" s="179">
        <f>D186</f>
        <v>625629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807402</v>
      </c>
      <c r="C438" s="194">
        <f>CD69</f>
        <v>1514797</v>
      </c>
      <c r="D438" s="194">
        <f>D181+D186+D190</f>
        <v>807402</v>
      </c>
    </row>
    <row r="439" spans="1:7" ht="12.6" customHeight="1" x14ac:dyDescent="0.25">
      <c r="A439" s="179" t="s">
        <v>451</v>
      </c>
      <c r="B439" s="194">
        <f>C389</f>
        <v>2270043</v>
      </c>
      <c r="C439" s="194">
        <f>SUM(C69:CC69)</f>
        <v>1562647.13</v>
      </c>
      <c r="D439" s="179"/>
    </row>
    <row r="440" spans="1:7" ht="12.6" customHeight="1" x14ac:dyDescent="0.25">
      <c r="A440" s="179" t="s">
        <v>477</v>
      </c>
      <c r="B440" s="194">
        <f>B438+B439</f>
        <v>3077445</v>
      </c>
      <c r="C440" s="194">
        <f>CE69</f>
        <v>3077444.13</v>
      </c>
      <c r="D440" s="179"/>
    </row>
    <row r="441" spans="1:7" ht="12.6" customHeight="1" x14ac:dyDescent="0.25">
      <c r="A441" s="179" t="s">
        <v>478</v>
      </c>
      <c r="B441" s="179">
        <f>D390</f>
        <v>25530159</v>
      </c>
      <c r="C441" s="179">
        <f>SUM(C427:C437)+C440</f>
        <v>25530156.229999997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1970020</v>
      </c>
      <c r="C444" s="179">
        <f>C363</f>
        <v>1970020</v>
      </c>
      <c r="D444" s="179"/>
    </row>
    <row r="445" spans="1:7" ht="12.6" customHeight="1" x14ac:dyDescent="0.25">
      <c r="A445" s="179" t="s">
        <v>343</v>
      </c>
      <c r="B445" s="179">
        <f>D229</f>
        <v>61246690.739999995</v>
      </c>
      <c r="C445" s="179">
        <f>C364</f>
        <v>61246691</v>
      </c>
      <c r="D445" s="179"/>
    </row>
    <row r="446" spans="1:7" ht="12.6" customHeight="1" x14ac:dyDescent="0.25">
      <c r="A446" s="179" t="s">
        <v>351</v>
      </c>
      <c r="B446" s="179">
        <f>D236</f>
        <v>0</v>
      </c>
      <c r="C446" s="179">
        <f>C365</f>
        <v>0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63216710.739999995</v>
      </c>
      <c r="C448" s="179">
        <f>D367</f>
        <v>63216711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80633</v>
      </c>
      <c r="C458" s="194">
        <f>CE70</f>
        <v>80633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93935503.870000005</v>
      </c>
      <c r="C463" s="194">
        <f>CE73</f>
        <v>93935503.870000005</v>
      </c>
      <c r="D463" s="194">
        <f>E141+E147+E153</f>
        <v>93935503.870000005</v>
      </c>
    </row>
    <row r="464" spans="1:7" ht="12.6" customHeight="1" x14ac:dyDescent="0.25">
      <c r="A464" s="179" t="s">
        <v>246</v>
      </c>
      <c r="B464" s="194">
        <f>C360</f>
        <v>0</v>
      </c>
      <c r="C464" s="194">
        <f>CE74</f>
        <v>0</v>
      </c>
      <c r="D464" s="194">
        <f>E142+E148+E154</f>
        <v>0</v>
      </c>
    </row>
    <row r="465" spans="1:7" ht="12.6" customHeight="1" x14ac:dyDescent="0.25">
      <c r="A465" s="179" t="s">
        <v>247</v>
      </c>
      <c r="B465" s="194">
        <f>D361</f>
        <v>93935503.870000005</v>
      </c>
      <c r="C465" s="194">
        <f>CE75</f>
        <v>93935503.870000005</v>
      </c>
      <c r="D465" s="194">
        <f>D463+D464</f>
        <v>93935503.870000005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4014886.12</v>
      </c>
      <c r="C468" s="179">
        <f>E195</f>
        <v>4008920.46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5965.66</v>
      </c>
      <c r="D469" s="179"/>
    </row>
    <row r="470" spans="1:7" ht="12.6" customHeight="1" x14ac:dyDescent="0.25">
      <c r="A470" s="179" t="s">
        <v>334</v>
      </c>
      <c r="B470" s="179">
        <f t="shared" si="14"/>
        <v>5305366.5199999996</v>
      </c>
      <c r="C470" s="179">
        <f>E197</f>
        <v>5305366.5199999996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1118646.08</v>
      </c>
      <c r="C473" s="179">
        <f>SUM(E200:E201)</f>
        <v>1118646.08</v>
      </c>
      <c r="D473" s="179"/>
    </row>
    <row r="474" spans="1:7" ht="12.6" customHeight="1" x14ac:dyDescent="0.25">
      <c r="A474" s="179" t="s">
        <v>339</v>
      </c>
      <c r="B474" s="179">
        <f t="shared" si="14"/>
        <v>11794.5</v>
      </c>
      <c r="C474" s="179">
        <f>E202</f>
        <v>11794.5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10450693.220000001</v>
      </c>
      <c r="C476" s="179">
        <f>E204</f>
        <v>10450693.220000001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529101.87</v>
      </c>
      <c r="C478" s="179">
        <f>E217</f>
        <v>526299.71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24933523.07</v>
      </c>
    </row>
    <row r="482" spans="1:12" ht="12.6" customHeight="1" x14ac:dyDescent="0.25">
      <c r="A482" s="180" t="s">
        <v>499</v>
      </c>
      <c r="C482" s="180">
        <f>D339</f>
        <v>24933523.07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148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861296.83000000007</v>
      </c>
      <c r="C496" s="240">
        <f>C71</f>
        <v>746198.39</v>
      </c>
      <c r="D496" s="240">
        <f>'Prior Year'!C59</f>
        <v>1037</v>
      </c>
      <c r="E496" s="180">
        <f>C59</f>
        <v>993</v>
      </c>
      <c r="F496" s="263">
        <f t="shared" ref="F496:G511" si="15">IF(B496=0,"",IF(D496=0,"",B496/D496))</f>
        <v>830.5658919961428</v>
      </c>
      <c r="G496" s="264">
        <f t="shared" si="15"/>
        <v>751.45860020140992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11214784.120000001</v>
      </c>
      <c r="C497" s="240">
        <f>D71</f>
        <v>7000481.3300000001</v>
      </c>
      <c r="D497" s="240">
        <f>'Prior Year'!D59</f>
        <v>18785</v>
      </c>
      <c r="E497" s="180">
        <f>D59</f>
        <v>16428</v>
      </c>
      <c r="F497" s="263">
        <f t="shared" si="15"/>
        <v>597.00740590896999</v>
      </c>
      <c r="G497" s="263">
        <f t="shared" si="15"/>
        <v>426.1310768200633</v>
      </c>
      <c r="H497" s="265">
        <f t="shared" ref="H497:H550" si="16">IF(B497=0,"",IF(C497=0,"",IF(D497=0,"",IF(E497=0,"",IF(G497/F497-1&lt;-0.25,G497/F497-1,IF(G497/F497-1&gt;0.25,G497/F497-1,""))))))</f>
        <v>-0.28622145621249029</v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0</v>
      </c>
      <c r="C498" s="240">
        <f>E71</f>
        <v>0</v>
      </c>
      <c r="D498" s="240">
        <f>'Prior Year'!E59</f>
        <v>0</v>
      </c>
      <c r="E498" s="180">
        <f>E59</f>
        <v>0</v>
      </c>
      <c r="F498" s="263" t="str">
        <f t="shared" si="15"/>
        <v/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0</v>
      </c>
      <c r="C509" s="240">
        <f>P71</f>
        <v>183743.73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0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48536</v>
      </c>
      <c r="C512" s="240">
        <f>S71</f>
        <v>6484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1133878.67</v>
      </c>
      <c r="C514" s="240">
        <f>U71</f>
        <v>875308.29999999993</v>
      </c>
      <c r="D514" s="240">
        <f>'Prior Year'!U59</f>
        <v>118083</v>
      </c>
      <c r="E514" s="180">
        <f>U59</f>
        <v>87471</v>
      </c>
      <c r="F514" s="263">
        <f t="shared" si="17"/>
        <v>9.6023870497870139</v>
      </c>
      <c r="G514" s="263">
        <f t="shared" si="17"/>
        <v>10.006839981250929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10849</v>
      </c>
      <c r="C515" s="240">
        <f>V71</f>
        <v>0</v>
      </c>
      <c r="D515" s="240">
        <f>'Prior Year'!V59</f>
        <v>525</v>
      </c>
      <c r="E515" s="180">
        <f>V59</f>
        <v>416</v>
      </c>
      <c r="F515" s="263">
        <f t="shared" si="17"/>
        <v>20.664761904761903</v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14147</v>
      </c>
      <c r="C516" s="240">
        <f>W71</f>
        <v>2162.3199999999997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338639</v>
      </c>
      <c r="C517" s="240">
        <f>X71</f>
        <v>144815.75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400033.5</v>
      </c>
      <c r="C518" s="240">
        <f>Y71</f>
        <v>194745.53999999998</v>
      </c>
      <c r="D518" s="240">
        <f>'Prior Year'!Y59</f>
        <v>3362</v>
      </c>
      <c r="E518" s="180">
        <f>Y59</f>
        <v>2680</v>
      </c>
      <c r="F518" s="263">
        <f t="shared" si="17"/>
        <v>118.98676383105294</v>
      </c>
      <c r="G518" s="263">
        <f t="shared" si="17"/>
        <v>72.666246268656707</v>
      </c>
      <c r="H518" s="265">
        <f t="shared" si="16"/>
        <v>-0.38929134696163237</v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8325.4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3049554.55</v>
      </c>
      <c r="C521" s="240">
        <f>AB71</f>
        <v>2071351.36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1820378.78</v>
      </c>
      <c r="C522" s="240">
        <f>AC71</f>
        <v>1354732.4200000002</v>
      </c>
      <c r="D522" s="240">
        <f>'Prior Year'!AC59</f>
        <v>58351</v>
      </c>
      <c r="E522" s="180">
        <f>AC59</f>
        <v>47274</v>
      </c>
      <c r="F522" s="263">
        <f t="shared" si="17"/>
        <v>31.19704512347689</v>
      </c>
      <c r="G522" s="263">
        <f t="shared" si="17"/>
        <v>28.657029656893855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1184084</v>
      </c>
      <c r="C523" s="240">
        <f>AD71</f>
        <v>966201.83</v>
      </c>
      <c r="D523" s="240">
        <f>'Prior Year'!AD59</f>
        <v>2373</v>
      </c>
      <c r="E523" s="180">
        <f>AD59</f>
        <v>2231</v>
      </c>
      <c r="F523" s="263">
        <f t="shared" si="17"/>
        <v>498.9818794774547</v>
      </c>
      <c r="G523" s="263">
        <f t="shared" si="17"/>
        <v>433.0801568803227</v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825572</v>
      </c>
      <c r="C524" s="240">
        <f>AE71</f>
        <v>482161.94</v>
      </c>
      <c r="D524" s="240">
        <f>'Prior Year'!AE59</f>
        <v>13944</v>
      </c>
      <c r="E524" s="180">
        <f>AE59</f>
        <v>12004</v>
      </c>
      <c r="F524" s="263">
        <f t="shared" si="17"/>
        <v>59.206253585771655</v>
      </c>
      <c r="G524" s="263">
        <f t="shared" si="17"/>
        <v>40.166772742419191</v>
      </c>
      <c r="H524" s="265">
        <f t="shared" si="16"/>
        <v>-0.32157888213227526</v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0</v>
      </c>
      <c r="C526" s="240">
        <f>AG71</f>
        <v>136144.57999999999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2232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0</v>
      </c>
      <c r="C529" s="240">
        <f>AJ71</f>
        <v>0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450569</v>
      </c>
      <c r="C530" s="240">
        <f>AK71</f>
        <v>230280</v>
      </c>
      <c r="D530" s="240">
        <f>'Prior Year'!AK59</f>
        <v>8818</v>
      </c>
      <c r="E530" s="180">
        <f>AK59</f>
        <v>6204</v>
      </c>
      <c r="F530" s="263">
        <f t="shared" si="18"/>
        <v>51.096507144477208</v>
      </c>
      <c r="G530" s="263">
        <f t="shared" si="18"/>
        <v>37.117988394584138</v>
      </c>
      <c r="H530" s="265">
        <f t="shared" si="16"/>
        <v>-0.27357092551098072</v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209082</v>
      </c>
      <c r="C531" s="240">
        <f>AL71</f>
        <v>186621</v>
      </c>
      <c r="D531" s="240">
        <f>'Prior Year'!AL59</f>
        <v>4649</v>
      </c>
      <c r="E531" s="180">
        <f>AL59</f>
        <v>4606</v>
      </c>
      <c r="F531" s="263">
        <f t="shared" si="18"/>
        <v>44.973542697354269</v>
      </c>
      <c r="G531" s="263">
        <f t="shared" si="18"/>
        <v>40.516934433347807</v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162642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1122422.81</v>
      </c>
      <c r="C544" s="240">
        <f>AY71</f>
        <v>71807.929999999993</v>
      </c>
      <c r="D544" s="240">
        <f>'Prior Year'!AY59</f>
        <v>42524</v>
      </c>
      <c r="E544" s="180">
        <f>AY59</f>
        <v>30106.400000000001</v>
      </c>
      <c r="F544" s="263">
        <f t="shared" ref="F544:G550" si="19">IF(B544=0,"",IF(D544=0,"",B544/D544))</f>
        <v>26.395043034521684</v>
      </c>
      <c r="G544" s="263">
        <f t="shared" si="19"/>
        <v>2.3851383758934972</v>
      </c>
      <c r="H544" s="265">
        <f t="shared" si="16"/>
        <v>-0.90963688247168184</v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583127.61</v>
      </c>
      <c r="D545" s="240">
        <f>'Prior Year'!AZ59</f>
        <v>0</v>
      </c>
      <c r="E545" s="180">
        <f>AZ59</f>
        <v>30297.674103522419</v>
      </c>
      <c r="F545" s="263" t="str">
        <f t="shared" si="19"/>
        <v/>
      </c>
      <c r="G545" s="263">
        <f t="shared" si="19"/>
        <v>19.246613057079696</v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181896</v>
      </c>
      <c r="C546" s="240">
        <f>BA71</f>
        <v>109539.25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463177.03</v>
      </c>
      <c r="C549" s="240">
        <f>BD71</f>
        <v>380372.32999999996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1685621</v>
      </c>
      <c r="C550" s="240">
        <f>BE71</f>
        <v>714809.93</v>
      </c>
      <c r="D550" s="240">
        <f>'Prior Year'!BE59</f>
        <v>80695</v>
      </c>
      <c r="E550" s="180">
        <f>BE59</f>
        <v>80695</v>
      </c>
      <c r="F550" s="263">
        <f t="shared" si="19"/>
        <v>20.888791127083461</v>
      </c>
      <c r="G550" s="263">
        <f t="shared" si="19"/>
        <v>8.8581687836916796</v>
      </c>
      <c r="H550" s="265">
        <f t="shared" si="16"/>
        <v>-0.57593674378760107</v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876608.54</v>
      </c>
      <c r="C551" s="240">
        <f>BF71</f>
        <v>476866.91000000003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208879.32</v>
      </c>
      <c r="C554" s="240">
        <f>BI71</f>
        <v>189813.78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296196.40000000002</v>
      </c>
      <c r="C555" s="240">
        <f>BJ71</f>
        <v>175559.67999999999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1615592.51</v>
      </c>
      <c r="C557" s="240">
        <f>BL71</f>
        <v>156926.76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6067940.29</v>
      </c>
      <c r="C559" s="240">
        <f>BN71</f>
        <v>1818850.97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14592</v>
      </c>
      <c r="C563" s="240">
        <f>BR71</f>
        <v>1768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189742.5</v>
      </c>
      <c r="C567" s="240">
        <f>BV71</f>
        <v>171919.42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4568</v>
      </c>
      <c r="C568" s="240">
        <f>BW71</f>
        <v>610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628936.19000000006</v>
      </c>
      <c r="C569" s="240">
        <f>BX71</f>
        <v>479831.51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1926928.43</v>
      </c>
      <c r="C570" s="240">
        <f>BY71</f>
        <v>1171452.5199999998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327191.82</v>
      </c>
      <c r="C572" s="240">
        <f>CA71</f>
        <v>129506.36000000002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854909.52</v>
      </c>
      <c r="C574" s="240">
        <f>CC71</f>
        <v>2630196.38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1317334</v>
      </c>
      <c r="C575" s="240">
        <f>CD71</f>
        <v>1434164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72791</v>
      </c>
      <c r="E612" s="180">
        <f>SUM(C624:D647)+SUM(C668:D713)</f>
        <v>20369826.516784355</v>
      </c>
      <c r="F612" s="180">
        <f>CE64-(AX64+BD64+BE64+BG64+BJ64+BN64+BP64+BQ64+CB64+CC64+CD64)</f>
        <v>1117276.0900000001</v>
      </c>
      <c r="G612" s="180">
        <f>CE77-(AX77+AY77+BD77+BE77+BG77+BJ77+BN77+BP77+BQ77+CB77+CC77+CD77)</f>
        <v>30106.400000000001</v>
      </c>
      <c r="H612" s="197">
        <f>CE60-(AX60+AY60+AZ60+BD60+BE60+BG60+BJ60+BN60+BO60+BP60+BQ60+BR60+CB60+CC60+CD60)</f>
        <v>167.74958066239313</v>
      </c>
      <c r="I612" s="180">
        <f>CE78-(AX78+AY78+AZ78+BD78+BE78+BF78+BG78+BJ78+BN78+BO78+BP78+BQ78+BR78+CB78+CC78+CD78)</f>
        <v>22912.25</v>
      </c>
      <c r="J612" s="180">
        <f>CE79-(AX79+AY79+AZ79+BA79+BD79+BE79+BF79+BG79+BJ79+BN79+BO79+BP79+BQ79+BR79+CB79+CC79+CD79)</f>
        <v>224921.65488550841</v>
      </c>
      <c r="K612" s="180">
        <f>CE75-(AW75+AX75+AY75+AZ75+BA75+BB75+BC75+BD75+BE75+BF75+BG75+BH75+BI75+BJ75+BK75+BL75+BM75+BN75+BO75+BP75+BQ75+BR75+BS75+BT75+BU75+BV75+BW75+BX75+CB75+CC75+CD75)</f>
        <v>93935503.870000005</v>
      </c>
      <c r="L612" s="197">
        <f>CE80-(AW80+AX80+AY80+AZ80+BA80+BB80+BC80+BD80+BE80+BF80+BG80+BH80+BI80+BJ80+BK80+BL80+BM80+BN80+BO80+BP80+BQ80+BR80+BS80+BT80+BU80+BV80+BW80+BX80+BY80+BZ80+CA80+CB80+CC80+CD80)</f>
        <v>95.620325854700852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714809.93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1434164</v>
      </c>
      <c r="D615" s="266">
        <f>SUM(C614:C615)</f>
        <v>2148973.9300000002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175559.67999999999</v>
      </c>
      <c r="D617" s="180">
        <f>(D615/D612)*BJ76</f>
        <v>13107.999957687078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1818850.97</v>
      </c>
      <c r="D619" s="180">
        <f>(D615/D612)*BN76</f>
        <v>418275.09774889756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2630196.38</v>
      </c>
      <c r="D620" s="180">
        <f>(D615/D612)*CC76</f>
        <v>23706.585509060187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5079696.7132156445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380372.32999999996</v>
      </c>
      <c r="D624" s="180">
        <f>(D615/D612)*BD76</f>
        <v>52284.387218612195</v>
      </c>
      <c r="E624" s="180">
        <f>(E623/E612)*SUM(C624:D624)</f>
        <v>107893.15768571409</v>
      </c>
      <c r="F624" s="180">
        <f>SUM(C624:E624)</f>
        <v>540549.87490432628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71807.929999999993</v>
      </c>
      <c r="D625" s="180">
        <f>(D615/D612)*AY76</f>
        <v>0</v>
      </c>
      <c r="E625" s="180">
        <f>(E623/E612)*SUM(C625:D625)</f>
        <v>17907.001107901509</v>
      </c>
      <c r="F625" s="180">
        <f>(F624/F612)*AY64</f>
        <v>0</v>
      </c>
      <c r="G625" s="180">
        <f>SUM(C625:F625)</f>
        <v>89714.931107901502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1768</v>
      </c>
      <c r="D626" s="180">
        <f>(D615/D612)*BR76</f>
        <v>11631.87383632592</v>
      </c>
      <c r="E626" s="180">
        <f>(E623/E612)*SUM(C626:D626)</f>
        <v>3341.5746092782333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583127.61</v>
      </c>
      <c r="D628" s="180">
        <f>(D615/D612)*AZ76</f>
        <v>130194.32390405408</v>
      </c>
      <c r="E628" s="180">
        <f>(E623/E612)*SUM(C628:D628)</f>
        <v>177883.64962909176</v>
      </c>
      <c r="F628" s="180">
        <f>(F624/F612)*AZ64</f>
        <v>98192.00637072837</v>
      </c>
      <c r="G628" s="180">
        <f>(G625/G612)*AZ77</f>
        <v>0</v>
      </c>
      <c r="H628" s="180">
        <f>SUM(C626:G628)</f>
        <v>1006139.0383494784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476866.91000000003</v>
      </c>
      <c r="D629" s="180">
        <f>(D615/D612)*BF76</f>
        <v>99697.55823673257</v>
      </c>
      <c r="E629" s="180">
        <f>(E623/E612)*SUM(C629:D629)</f>
        <v>143779.9498118358</v>
      </c>
      <c r="F629" s="180">
        <f>(F624/F612)*BF64</f>
        <v>37460.999910914652</v>
      </c>
      <c r="G629" s="180">
        <f>(G625/G612)*BF77</f>
        <v>0</v>
      </c>
      <c r="H629" s="180">
        <f>(H628/H612)*BF60</f>
        <v>66069.491025739786</v>
      </c>
      <c r="I629" s="180">
        <f>SUM(C629:H629)</f>
        <v>823874.90898522292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109539.25</v>
      </c>
      <c r="D630" s="180">
        <f>(D615/D612)*BA76</f>
        <v>18215.396337596681</v>
      </c>
      <c r="E630" s="180">
        <f>(E623/E612)*SUM(C630:D630)</f>
        <v>31858.634464284234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159613.28080188093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189813.78</v>
      </c>
      <c r="D634" s="180">
        <f>(D615/D612)*BI76</f>
        <v>0</v>
      </c>
      <c r="E634" s="180">
        <f>(E623/E612)*SUM(C634:D634)</f>
        <v>47334.543256642741</v>
      </c>
      <c r="F634" s="180">
        <f>(F624/F612)*BI64</f>
        <v>2526.9421066956656</v>
      </c>
      <c r="G634" s="180">
        <f>(G625/G612)*BI77</f>
        <v>0</v>
      </c>
      <c r="H634" s="180">
        <f>(H628/H612)*BI60</f>
        <v>27309.741825094654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156926.76</v>
      </c>
      <c r="D637" s="180">
        <f>(D615/D612)*BL76</f>
        <v>399055.93564877531</v>
      </c>
      <c r="E637" s="180">
        <f>(E623/E612)*SUM(C637:D637)</f>
        <v>138647.39934651632</v>
      </c>
      <c r="F637" s="180">
        <f>(F624/F612)*BL64</f>
        <v>0</v>
      </c>
      <c r="G637" s="180">
        <f>(G625/G612)*BL77</f>
        <v>0</v>
      </c>
      <c r="H637" s="180">
        <f>(H628/H612)*BL60</f>
        <v>2376.0765793498927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171919.42</v>
      </c>
      <c r="D642" s="180">
        <f>(D615/D612)*BV76</f>
        <v>28282.576485279777</v>
      </c>
      <c r="E642" s="180">
        <f>(E623/E612)*SUM(C642:D642)</f>
        <v>49925.090068269616</v>
      </c>
      <c r="F642" s="180">
        <f>(F624/F612)*BV64</f>
        <v>697.43698906895202</v>
      </c>
      <c r="G642" s="180">
        <f>(G625/G612)*BV77</f>
        <v>0</v>
      </c>
      <c r="H642" s="180">
        <f>(H628/H612)*BV60</f>
        <v>7159.9492069487678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610</v>
      </c>
      <c r="D643" s="180">
        <f>(D615/D612)*BW76</f>
        <v>4015.0630501023479</v>
      </c>
      <c r="E643" s="180">
        <f>(E623/E612)*SUM(C643:D643)</f>
        <v>1153.3685647573616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479831.51</v>
      </c>
      <c r="D644" s="180">
        <f>(D615/D612)*BX76</f>
        <v>8295.8288020497039</v>
      </c>
      <c r="E644" s="180">
        <f>(E623/E612)*SUM(C644:D644)</f>
        <v>121726.0655853096</v>
      </c>
      <c r="F644" s="180">
        <f>(F624/F612)*BX64</f>
        <v>0</v>
      </c>
      <c r="G644" s="180">
        <f>(G625/G612)*BX77</f>
        <v>0</v>
      </c>
      <c r="H644" s="180">
        <f>(H628/H612)*BX60</f>
        <v>33858.37035871554</v>
      </c>
      <c r="I644" s="180">
        <f>(I629/I612)*BX78</f>
        <v>0</v>
      </c>
      <c r="J644" s="180">
        <f>(J630/J612)*BX79</f>
        <v>0</v>
      </c>
      <c r="K644" s="180">
        <f>SUM(C631:J644)</f>
        <v>1871465.8578735762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1171452.5199999998</v>
      </c>
      <c r="D645" s="180">
        <f>(D615/D612)*BY76</f>
        <v>40711.558427140721</v>
      </c>
      <c r="E645" s="180">
        <f>(E623/E612)*SUM(C645:D645)</f>
        <v>302281.70475535531</v>
      </c>
      <c r="F645" s="180">
        <f>(F624/F612)*BY64</f>
        <v>9379.5852820789205</v>
      </c>
      <c r="G645" s="180">
        <f>(G625/G612)*BY77</f>
        <v>0</v>
      </c>
      <c r="H645" s="180">
        <f>(H628/H612)*BY60</f>
        <v>73980.614927980598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129506.36000000002</v>
      </c>
      <c r="D647" s="180">
        <f>(D615/D612)*CA76</f>
        <v>22673.297224107377</v>
      </c>
      <c r="E647" s="180">
        <f>(E623/E612)*SUM(C647:D647)</f>
        <v>37949.587051348833</v>
      </c>
      <c r="F647" s="180">
        <f>(F624/F612)*CA64</f>
        <v>63.117914462859758</v>
      </c>
      <c r="G647" s="180">
        <f>(G625/G612)*CA77</f>
        <v>0</v>
      </c>
      <c r="H647" s="180">
        <f>(H628/H612)*CA60</f>
        <v>9277.9446529833494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1797276.2902354582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10697123.339999998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746198.39</v>
      </c>
      <c r="D668" s="180">
        <f>(D615/D612)*C76</f>
        <v>107078.18884353836</v>
      </c>
      <c r="E668" s="180">
        <f>(E623/E612)*SUM(C668:D668)</f>
        <v>212784.64151100937</v>
      </c>
      <c r="F668" s="180">
        <f>(F624/F612)*C64</f>
        <v>446.59577251553418</v>
      </c>
      <c r="G668" s="180">
        <f>(G625/G612)*C77</f>
        <v>0</v>
      </c>
      <c r="H668" s="180">
        <f>(H628/H612)*C60</f>
        <v>41445.17070143007</v>
      </c>
      <c r="I668" s="180">
        <f>(I629/I612)*C78</f>
        <v>46961.011688325947</v>
      </c>
      <c r="J668" s="180">
        <f>(J630/J612)*C79</f>
        <v>39903.469381241339</v>
      </c>
      <c r="K668" s="180">
        <f>(K644/K612)*C75</f>
        <v>96130.164879365882</v>
      </c>
      <c r="L668" s="180">
        <f>(L647/L612)*C80</f>
        <v>129879.91677343468</v>
      </c>
      <c r="M668" s="180">
        <f t="shared" ref="M668:M713" si="20">ROUND(SUM(D668:L668),0)</f>
        <v>674629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7000481.3300000001</v>
      </c>
      <c r="D669" s="180">
        <f>(D615/D612)*D76</f>
        <v>503801.845220563</v>
      </c>
      <c r="E669" s="180">
        <f>(E623/E612)*SUM(C669:D669)</f>
        <v>1871370.0162737083</v>
      </c>
      <c r="F669" s="180">
        <f>(F624/F612)*D64</f>
        <v>262134.9737861068</v>
      </c>
      <c r="G669" s="180">
        <f>(G625/G612)*D77</f>
        <v>89714.931107901502</v>
      </c>
      <c r="H669" s="180">
        <f>(H628/H612)*D60</f>
        <v>532072.4638715944</v>
      </c>
      <c r="I669" s="180">
        <f>(I629/I612)*D78</f>
        <v>776913.8972968969</v>
      </c>
      <c r="J669" s="180">
        <f>(J630/J612)*D79</f>
        <v>106940.53413617869</v>
      </c>
      <c r="K669" s="180">
        <f>(K644/K612)*D75</f>
        <v>994953.60312089114</v>
      </c>
      <c r="L669" s="180">
        <f>(L647/L612)*D80</f>
        <v>1667396.3734620237</v>
      </c>
      <c r="M669" s="180">
        <f t="shared" si="20"/>
        <v>6805299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183743.73</v>
      </c>
      <c r="D681" s="180">
        <f>(D615/D612)*P76</f>
        <v>0</v>
      </c>
      <c r="E681" s="180">
        <f>(E623/E612)*SUM(C681:D681)</f>
        <v>45820.833112442546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11932.468846480342</v>
      </c>
      <c r="L681" s="180">
        <f>(L647/L612)*P80</f>
        <v>0</v>
      </c>
      <c r="M681" s="180">
        <f t="shared" si="20"/>
        <v>57753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6484</v>
      </c>
      <c r="D684" s="180">
        <f>(D615/D612)*S76</f>
        <v>42660.044907337448</v>
      </c>
      <c r="E684" s="180">
        <f>(E623/E612)*SUM(C684:D684)</f>
        <v>12255.226777912319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1596.2342509431678</v>
      </c>
      <c r="K684" s="180">
        <f>(K644/K612)*S75</f>
        <v>7742.6690581621906</v>
      </c>
      <c r="L684" s="180">
        <f>(L647/L612)*S80</f>
        <v>0</v>
      </c>
      <c r="M684" s="180">
        <f t="shared" si="20"/>
        <v>64254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875308.29999999993</v>
      </c>
      <c r="D686" s="180">
        <f>(D615/D612)*U76</f>
        <v>14643.171123902681</v>
      </c>
      <c r="E686" s="180">
        <f>(E623/E612)*SUM(C686:D686)</f>
        <v>221930.39096648942</v>
      </c>
      <c r="F686" s="180">
        <f>(F624/F612)*U64</f>
        <v>48913.722751108267</v>
      </c>
      <c r="G686" s="180">
        <f>(G625/G612)*U77</f>
        <v>0</v>
      </c>
      <c r="H686" s="180">
        <f>(H628/H612)*U60</f>
        <v>43835.585121519704</v>
      </c>
      <c r="I686" s="180">
        <f>(I629/I612)*U78</f>
        <v>0</v>
      </c>
      <c r="J686" s="180">
        <f>(J630/J612)*U79</f>
        <v>1596.2342509431678</v>
      </c>
      <c r="K686" s="180">
        <f>(K644/K612)*U75</f>
        <v>118110.21036364413</v>
      </c>
      <c r="L686" s="180">
        <f>(L647/L612)*U80</f>
        <v>0</v>
      </c>
      <c r="M686" s="180">
        <f t="shared" si="20"/>
        <v>449029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1716.5474510169806</v>
      </c>
      <c r="L687" s="180">
        <f>(L647/L612)*V80</f>
        <v>0</v>
      </c>
      <c r="M687" s="180">
        <f t="shared" si="20"/>
        <v>1717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2162.3199999999997</v>
      </c>
      <c r="D688" s="180">
        <f>(D615/D612)*W76</f>
        <v>0</v>
      </c>
      <c r="E688" s="180">
        <f>(E623/E612)*SUM(C688:D688)</f>
        <v>539.22549550777467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920.07868593100125</v>
      </c>
      <c r="L688" s="180">
        <f>(L647/L612)*W80</f>
        <v>0</v>
      </c>
      <c r="M688" s="180">
        <f t="shared" si="20"/>
        <v>1459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144815.75</v>
      </c>
      <c r="D689" s="180">
        <f>(D615/D612)*X76</f>
        <v>0</v>
      </c>
      <c r="E689" s="180">
        <f>(E623/E612)*SUM(C689:D689)</f>
        <v>36113.223089588973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5639.1503264877992</v>
      </c>
      <c r="L689" s="180">
        <f>(L647/L612)*X80</f>
        <v>0</v>
      </c>
      <c r="M689" s="180">
        <f t="shared" si="20"/>
        <v>41752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194745.53999999998</v>
      </c>
      <c r="D690" s="180">
        <f>(D615/D612)*Y76</f>
        <v>12842.29725584207</v>
      </c>
      <c r="E690" s="180">
        <f>(E623/E612)*SUM(C690:D690)</f>
        <v>51766.92367719335</v>
      </c>
      <c r="F690" s="180">
        <f>(F624/F612)*Y64</f>
        <v>792.44768999043299</v>
      </c>
      <c r="G690" s="180">
        <f>(G625/G612)*Y77</f>
        <v>0</v>
      </c>
      <c r="H690" s="180">
        <f>(H628/H612)*Y60</f>
        <v>10320.361744530663</v>
      </c>
      <c r="I690" s="180">
        <f>(I629/I612)*Y78</f>
        <v>0</v>
      </c>
      <c r="J690" s="180">
        <f>(J630/J612)*Y79</f>
        <v>1596.2342509431678</v>
      </c>
      <c r="K690" s="180">
        <f>(K644/K612)*Y75</f>
        <v>10938.526677220476</v>
      </c>
      <c r="L690" s="180">
        <f>(L647/L612)*Y80</f>
        <v>0</v>
      </c>
      <c r="M690" s="180">
        <f t="shared" si="20"/>
        <v>88257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8325.4</v>
      </c>
      <c r="D692" s="180">
        <f>(D615/D612)*AA76</f>
        <v>0</v>
      </c>
      <c r="E692" s="180">
        <f>(E623/E612)*SUM(C692:D692)</f>
        <v>2076.1348645438356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172.95849842918039</v>
      </c>
      <c r="L692" s="180">
        <f>(L647/L612)*AA80</f>
        <v>0</v>
      </c>
      <c r="M692" s="180">
        <f t="shared" si="20"/>
        <v>2249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2071351.36</v>
      </c>
      <c r="D693" s="180">
        <f>(D615/D612)*AB76</f>
        <v>44815.189044524741</v>
      </c>
      <c r="E693" s="180">
        <f>(E623/E612)*SUM(C693:D693)</f>
        <v>527716.04387209634</v>
      </c>
      <c r="F693" s="180">
        <f>(F624/F612)*AB64</f>
        <v>12811.301356557768</v>
      </c>
      <c r="G693" s="180">
        <f>(G625/G612)*AB77</f>
        <v>0</v>
      </c>
      <c r="H693" s="180">
        <f>(H628/H612)*AB60</f>
        <v>52750.91857322483</v>
      </c>
      <c r="I693" s="180">
        <f>(I629/I612)*AB78</f>
        <v>0</v>
      </c>
      <c r="J693" s="180">
        <f>(J630/J612)*AB79</f>
        <v>0</v>
      </c>
      <c r="K693" s="180">
        <f>(K644/K612)*AB75</f>
        <v>252631.31652102573</v>
      </c>
      <c r="L693" s="180">
        <f>(L647/L612)*AB80</f>
        <v>0</v>
      </c>
      <c r="M693" s="180">
        <f t="shared" si="20"/>
        <v>890725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1354732.4200000002</v>
      </c>
      <c r="D694" s="180">
        <f>(D615/D612)*AC76</f>
        <v>25330.324242557461</v>
      </c>
      <c r="E694" s="180">
        <f>(E623/E612)*SUM(C694:D694)</f>
        <v>344151.19736949779</v>
      </c>
      <c r="F694" s="180">
        <f>(F624/F612)*AC64</f>
        <v>65438.269497076188</v>
      </c>
      <c r="G694" s="180">
        <f>(G625/G612)*AC77</f>
        <v>0</v>
      </c>
      <c r="H694" s="180">
        <f>(H628/H612)*AC60</f>
        <v>105682.34976036631</v>
      </c>
      <c r="I694" s="180">
        <f>(I629/I612)*AC78</f>
        <v>0</v>
      </c>
      <c r="J694" s="180">
        <f>(J630/J612)*AC79</f>
        <v>7980.5745316313742</v>
      </c>
      <c r="K694" s="180">
        <f>(K644/K612)*AC75</f>
        <v>253473.19710242588</v>
      </c>
      <c r="L694" s="180">
        <f>(L647/L612)*AC80</f>
        <v>0</v>
      </c>
      <c r="M694" s="180">
        <f t="shared" si="20"/>
        <v>802056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966201.83</v>
      </c>
      <c r="D695" s="180">
        <f>(D615/D612)*AD76</f>
        <v>0</v>
      </c>
      <c r="E695" s="180">
        <f>(E623/E612)*SUM(C695:D695)</f>
        <v>240945.21649999474</v>
      </c>
      <c r="F695" s="180">
        <f>(F624/F612)*AD64</f>
        <v>200.65071796092158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61559.452753207406</v>
      </c>
      <c r="L695" s="180">
        <f>(L647/L612)*AD80</f>
        <v>0</v>
      </c>
      <c r="M695" s="180">
        <f t="shared" si="20"/>
        <v>302705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482161.94</v>
      </c>
      <c r="D696" s="180">
        <f>(D615/D612)*AE76</f>
        <v>127655.3869753129</v>
      </c>
      <c r="E696" s="180">
        <f>(E623/E612)*SUM(C696:D696)</f>
        <v>152072.33448679646</v>
      </c>
      <c r="F696" s="180">
        <f>(F624/F612)*AE64</f>
        <v>1491.8247590608878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27069.393429738131</v>
      </c>
      <c r="L696" s="180">
        <f>(L647/L612)*AE80</f>
        <v>0</v>
      </c>
      <c r="M696" s="180">
        <f t="shared" si="20"/>
        <v>308289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136144.57999999999</v>
      </c>
      <c r="D698" s="180">
        <f>(D615/D612)*AG76</f>
        <v>0</v>
      </c>
      <c r="E698" s="180">
        <f>(E623/E612)*SUM(C698:D698)</f>
        <v>33950.862319729669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33951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230280</v>
      </c>
      <c r="D702" s="180">
        <f>(D615/D612)*AK76</f>
        <v>0</v>
      </c>
      <c r="E702" s="180">
        <f>(E623/E612)*SUM(C702:D702)</f>
        <v>57425.749706579205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13657.051793059265</v>
      </c>
      <c r="L702" s="180">
        <f>(L647/L612)*AK80</f>
        <v>0</v>
      </c>
      <c r="M702" s="180">
        <f t="shared" si="20"/>
        <v>71083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186621</v>
      </c>
      <c r="D703" s="180">
        <f>(D615/D612)*AL76</f>
        <v>0</v>
      </c>
      <c r="E703" s="180">
        <f>(E623/E612)*SUM(C703:D703)</f>
        <v>46538.348254262281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11416.272380990278</v>
      </c>
      <c r="L703" s="180">
        <f>(L647/L612)*AL80</f>
        <v>0</v>
      </c>
      <c r="M703" s="180">
        <f t="shared" si="20"/>
        <v>57955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162642</v>
      </c>
      <c r="D713" s="180">
        <f>(D615/D612)*AV76</f>
        <v>0</v>
      </c>
      <c r="E713" s="180">
        <f>(E623/E612)*SUM(C713:D713)</f>
        <v>40558.619001986517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3402.7959855002123</v>
      </c>
      <c r="L713" s="180">
        <f>(L647/L612)*AV80</f>
        <v>0</v>
      </c>
      <c r="M713" s="180">
        <f t="shared" si="20"/>
        <v>43961</v>
      </c>
      <c r="N713" s="199" t="s">
        <v>741</v>
      </c>
    </row>
    <row r="715" spans="1:15" ht="12.6" customHeight="1" x14ac:dyDescent="0.25">
      <c r="C715" s="180">
        <f>SUM(C614:C647)+SUM(C668:C713)</f>
        <v>25449523.229999997</v>
      </c>
      <c r="D715" s="180">
        <f>SUM(D616:D647)+SUM(D668:D713)</f>
        <v>2148973.9300000006</v>
      </c>
      <c r="E715" s="180">
        <f>SUM(E624:E647)+SUM(E668:E713)</f>
        <v>5079696.7132156445</v>
      </c>
      <c r="F715" s="180">
        <f>SUM(F625:F648)+SUM(F668:F713)</f>
        <v>540549.87490432616</v>
      </c>
      <c r="G715" s="180">
        <f>SUM(G626:G647)+SUM(G668:G713)</f>
        <v>89714.931107901502</v>
      </c>
      <c r="H715" s="180">
        <f>SUM(H629:H647)+SUM(H668:H713)</f>
        <v>1006139.0383494785</v>
      </c>
      <c r="I715" s="180">
        <f>SUM(I630:I647)+SUM(I668:I713)</f>
        <v>823874.90898522281</v>
      </c>
      <c r="J715" s="180">
        <f>SUM(J631:J647)+SUM(J668:J713)</f>
        <v>159613.28080188093</v>
      </c>
      <c r="K715" s="180">
        <f>SUM(K668:K713)</f>
        <v>1871465.8578735762</v>
      </c>
      <c r="L715" s="180">
        <f>SUM(L668:L713)</f>
        <v>1797276.2902354584</v>
      </c>
      <c r="M715" s="180">
        <f>SUM(M668:M713)</f>
        <v>10697123</v>
      </c>
      <c r="N715" s="198" t="s">
        <v>742</v>
      </c>
    </row>
    <row r="716" spans="1:15" ht="12.6" customHeight="1" x14ac:dyDescent="0.25">
      <c r="C716" s="180">
        <f>CE71</f>
        <v>25449523.229999997</v>
      </c>
      <c r="D716" s="180">
        <f>D615</f>
        <v>2148973.9300000002</v>
      </c>
      <c r="E716" s="180">
        <f>E623</f>
        <v>5079696.7132156445</v>
      </c>
      <c r="F716" s="180">
        <f>F624</f>
        <v>540549.87490432628</v>
      </c>
      <c r="G716" s="180">
        <f>G625</f>
        <v>89714.931107901502</v>
      </c>
      <c r="H716" s="180">
        <f>H628</f>
        <v>1006139.0383494784</v>
      </c>
      <c r="I716" s="180">
        <f>I629</f>
        <v>823874.90898522292</v>
      </c>
      <c r="J716" s="180">
        <f>J630</f>
        <v>159613.28080188093</v>
      </c>
      <c r="K716" s="180">
        <f>K644</f>
        <v>1871465.8578735762</v>
      </c>
      <c r="L716" s="180">
        <f>L647</f>
        <v>1797276.2902354582</v>
      </c>
      <c r="M716" s="180">
        <f>C648</f>
        <v>10697123.339999998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8" transitionEvaluation="1" transitionEntry="1">
    <pageSetUpPr autoPageBreaks="0" fitToPage="1"/>
  </sheetPr>
  <dimension ref="A1:CF817"/>
  <sheetViews>
    <sheetView showGridLines="0" topLeftCell="A48" zoomScale="75" zoomScaleNormal="75" workbookViewId="0">
      <selection activeCell="C83" sqref="C83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2609335</v>
      </c>
      <c r="C47" s="184">
        <f>31291.66+44217.32</f>
        <v>75508.98</v>
      </c>
      <c r="D47" s="184">
        <f>176.73+125609.39+289874.34+29.91+1913.72+364604.84+3683.79+6669.97</f>
        <v>792562.69</v>
      </c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>
        <f>35914.6+10745.49</f>
        <v>46660.09</v>
      </c>
      <c r="V47" s="184"/>
      <c r="W47" s="184"/>
      <c r="X47" s="184"/>
      <c r="Y47" s="184">
        <f>19535.27+5720.2</f>
        <v>25255.47</v>
      </c>
      <c r="Z47" s="184"/>
      <c r="AA47" s="184"/>
      <c r="AB47" s="184">
        <f>53637.31+64708.01</f>
        <v>118345.32</v>
      </c>
      <c r="AC47" s="184">
        <f>84646.5+87374.92</f>
        <v>172021.41999999998</v>
      </c>
      <c r="AD47" s="184"/>
      <c r="AE47" s="184">
        <v>37.21</v>
      </c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>
        <f>40996.04+34711.88+4796.75+9288.36</f>
        <v>89793.03</v>
      </c>
      <c r="AZ47" s="184"/>
      <c r="BA47" s="184"/>
      <c r="BB47" s="184"/>
      <c r="BC47" s="184"/>
      <c r="BD47" s="184">
        <f>14495.11+11720.91</f>
        <v>26216.02</v>
      </c>
      <c r="BE47" s="184"/>
      <c r="BF47" s="184">
        <f>44796.65+29855.63</f>
        <v>74652.28</v>
      </c>
      <c r="BG47" s="184"/>
      <c r="BH47" s="184"/>
      <c r="BI47" s="184">
        <f>4088.4+17594.77</f>
        <v>21683.170000000002</v>
      </c>
      <c r="BJ47" s="184">
        <f>19887.73+11535.75</f>
        <v>31423.48</v>
      </c>
      <c r="BK47" s="184"/>
      <c r="BL47" s="184">
        <f>8074.53+5964.55+58980.66+47351.73</f>
        <v>120371.47</v>
      </c>
      <c r="BM47" s="184"/>
      <c r="BN47" s="184">
        <f>499466.78+171319.06</f>
        <v>670785.84000000008</v>
      </c>
      <c r="BO47" s="184"/>
      <c r="BP47" s="184"/>
      <c r="BQ47" s="184"/>
      <c r="BR47" s="184">
        <f>-301.43+562.44</f>
        <v>261.01000000000005</v>
      </c>
      <c r="BS47" s="184"/>
      <c r="BT47" s="184"/>
      <c r="BU47" s="184"/>
      <c r="BV47" s="184">
        <f>13262.59+8518</f>
        <v>21780.59</v>
      </c>
      <c r="BW47" s="184"/>
      <c r="BX47" s="184">
        <f>28653.61+29504.43</f>
        <v>58158.04</v>
      </c>
      <c r="BY47" s="184">
        <f>65102.52+115651.93</f>
        <v>180754.44999999998</v>
      </c>
      <c r="BZ47" s="184"/>
      <c r="CA47" s="184">
        <f>28586.55+6533.53</f>
        <v>35120.080000000002</v>
      </c>
      <c r="CB47" s="184"/>
      <c r="CC47" s="184">
        <f>2254.49-1.69+361.93+1160+3931.49-1.35+1170.02+1714.97+19618.24+16678.8+567.27+490.57</f>
        <v>47944.739999999991</v>
      </c>
      <c r="CD47" s="195"/>
      <c r="CE47" s="195">
        <f>SUM(C47:CC47)</f>
        <v>2609335.38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2609335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2710471</v>
      </c>
      <c r="C52" s="195">
        <f>ROUND((B52/(CE76+CF76)*C76),0)</f>
        <v>121828</v>
      </c>
      <c r="D52" s="195">
        <f>ROUND((B52/(CE76+CF76)*D76),0)</f>
        <v>573198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48536</v>
      </c>
      <c r="T52" s="195">
        <f>ROUND((B52/(CE76+CF76)*T76),0)</f>
        <v>0</v>
      </c>
      <c r="U52" s="195">
        <f>ROUND((B52/(CE76+CF76)*U76),0)</f>
        <v>16660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14611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50988</v>
      </c>
      <c r="AC52" s="195">
        <f>ROUND((B52/(CE76+CF76)*AC76),0)</f>
        <v>28819</v>
      </c>
      <c r="AD52" s="195">
        <f>ROUND((B52/(CE76+CF76)*AD76),0)</f>
        <v>0</v>
      </c>
      <c r="AE52" s="195">
        <f>ROUND((B52/(CE76+CF76)*AE76),0)</f>
        <v>145239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148128</v>
      </c>
      <c r="AZ52" s="195">
        <f>ROUND((B52/(CE76+CF76)*AZ76),0)</f>
        <v>0</v>
      </c>
      <c r="BA52" s="195">
        <f>ROUND((B52/(CE76+CF76)*BA76),0)</f>
        <v>20724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59486</v>
      </c>
      <c r="BE52" s="195">
        <f>ROUND((B52/(CE76+CF76)*BE76),0)</f>
        <v>265488</v>
      </c>
      <c r="BF52" s="195">
        <f>ROUND((B52/(CE76+CF76)*BF76),0)</f>
        <v>113430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14914</v>
      </c>
      <c r="BK52" s="195">
        <f>ROUND((B52/(CE76+CF76)*BK76),0)</f>
        <v>0</v>
      </c>
      <c r="BL52" s="195">
        <f>ROUND((B52/(CE76+CF76)*BL76),0)</f>
        <v>454024</v>
      </c>
      <c r="BM52" s="195">
        <f>ROUND((B52/(CE76+CF76)*BM76),0)</f>
        <v>0</v>
      </c>
      <c r="BN52" s="195">
        <f>ROUND((B52/(CE76+CF76)*BN76),0)</f>
        <v>475890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13234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32178</v>
      </c>
      <c r="BW52" s="195">
        <f>ROUND((B52/(CE76+CF76)*BW76),0)</f>
        <v>4568</v>
      </c>
      <c r="BX52" s="195">
        <f>ROUND((B52/(CE76+CF76)*BX76),0)</f>
        <v>9439</v>
      </c>
      <c r="BY52" s="195">
        <f>ROUND((B52/(CE76+CF76)*BY76),0)</f>
        <v>46319</v>
      </c>
      <c r="BZ52" s="195">
        <f>ROUND((B52/(CE76+CF76)*BZ76),0)</f>
        <v>0</v>
      </c>
      <c r="CA52" s="195">
        <f>ROUND((B52/(CE76+CF76)*CA76),0)</f>
        <v>25796</v>
      </c>
      <c r="CB52" s="195">
        <f>ROUND((B52/(CE76+CF76)*CB76),0)</f>
        <v>0</v>
      </c>
      <c r="CC52" s="195">
        <f>ROUND((B52/(CE76+CF76)*CC76),0)</f>
        <v>26972</v>
      </c>
      <c r="CD52" s="195"/>
      <c r="CE52" s="195">
        <f>SUM(C52:CD52)</f>
        <v>2710469</v>
      </c>
    </row>
    <row r="53" spans="1:84" ht="12.6" customHeight="1" x14ac:dyDescent="0.25">
      <c r="A53" s="175" t="s">
        <v>206</v>
      </c>
      <c r="B53" s="195">
        <f>B51+B52</f>
        <v>2710471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1037</v>
      </c>
      <c r="D59" s="184">
        <v>18785</v>
      </c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>
        <v>118083</v>
      </c>
      <c r="V59" s="185">
        <v>525</v>
      </c>
      <c r="W59" s="185"/>
      <c r="X59" s="185"/>
      <c r="Y59" s="185">
        <v>3362</v>
      </c>
      <c r="Z59" s="185"/>
      <c r="AA59" s="185"/>
      <c r="AB59" s="248"/>
      <c r="AC59" s="185">
        <v>58351</v>
      </c>
      <c r="AD59" s="185">
        <v>2373</v>
      </c>
      <c r="AE59" s="185">
        <v>13944</v>
      </c>
      <c r="AF59" s="185"/>
      <c r="AG59" s="185"/>
      <c r="AH59" s="185"/>
      <c r="AI59" s="185"/>
      <c r="AJ59" s="185"/>
      <c r="AK59" s="185">
        <v>8818</v>
      </c>
      <c r="AL59" s="185">
        <v>4649</v>
      </c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42524</v>
      </c>
      <c r="AZ59" s="185"/>
      <c r="BA59" s="248"/>
      <c r="BB59" s="248"/>
      <c r="BC59" s="248"/>
      <c r="BD59" s="248"/>
      <c r="BE59" s="185">
        <v>80695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10.3772702991453</v>
      </c>
      <c r="D60" s="187">
        <v>96.950854700854705</v>
      </c>
      <c r="E60" s="187"/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>
        <v>5.34</v>
      </c>
      <c r="V60" s="221"/>
      <c r="W60" s="221"/>
      <c r="X60" s="221"/>
      <c r="Y60" s="221">
        <v>2.17</v>
      </c>
      <c r="Z60" s="221"/>
      <c r="AA60" s="221"/>
      <c r="AB60" s="221">
        <v>9.8000000000000007</v>
      </c>
      <c r="AC60" s="221">
        <v>20.09</v>
      </c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13.43</v>
      </c>
      <c r="AZ60" s="221"/>
      <c r="BA60" s="221"/>
      <c r="BB60" s="221"/>
      <c r="BC60" s="221"/>
      <c r="BD60" s="221">
        <v>3.98</v>
      </c>
      <c r="BE60" s="221"/>
      <c r="BF60" s="221">
        <v>12.62</v>
      </c>
      <c r="BG60" s="221"/>
      <c r="BH60" s="221"/>
      <c r="BI60" s="221">
        <v>4.5</v>
      </c>
      <c r="BJ60" s="221">
        <v>3.15</v>
      </c>
      <c r="BK60" s="221"/>
      <c r="BL60" s="221">
        <v>6.95</v>
      </c>
      <c r="BM60" s="221"/>
      <c r="BN60" s="221">
        <v>8.1999999999999993</v>
      </c>
      <c r="BO60" s="221"/>
      <c r="BP60" s="221"/>
      <c r="BQ60" s="221"/>
      <c r="BR60" s="221"/>
      <c r="BS60" s="221"/>
      <c r="BT60" s="221"/>
      <c r="BU60" s="221"/>
      <c r="BV60" s="221">
        <v>1.87</v>
      </c>
      <c r="BW60" s="221"/>
      <c r="BX60" s="221">
        <v>6.32</v>
      </c>
      <c r="BY60" s="221">
        <v>15.18</v>
      </c>
      <c r="BZ60" s="221"/>
      <c r="CA60" s="221">
        <v>2.31</v>
      </c>
      <c r="CB60" s="221"/>
      <c r="CC60" s="221">
        <v>1.01</v>
      </c>
      <c r="CD60" s="249" t="s">
        <v>221</v>
      </c>
      <c r="CE60" s="251">
        <f t="shared" ref="CE60:CE70" si="0">SUM(C60:CD60)</f>
        <v>224.24812499999999</v>
      </c>
    </row>
    <row r="61" spans="1:84" ht="12.6" customHeight="1" x14ac:dyDescent="0.25">
      <c r="A61" s="171" t="s">
        <v>235</v>
      </c>
      <c r="B61" s="175"/>
      <c r="C61" s="184">
        <f>62839.83+41632+298778.62+253779.38+3109</f>
        <v>660138.83000000007</v>
      </c>
      <c r="D61" s="184">
        <f>589.09+903320.59+2080766.85+316+20951.52+6906.11+2535966.42+69680.11+83857.27+420164.94+257.42+2582.39+459312.91+7548.5+5342+893059+2720</f>
        <v>7493341.1200000001</v>
      </c>
      <c r="E61" s="184"/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>
        <f>255512.68+62577.79+24079.76+8083.44+5548</f>
        <v>355801.67</v>
      </c>
      <c r="V61" s="185"/>
      <c r="W61" s="185"/>
      <c r="X61" s="185"/>
      <c r="Y61" s="185">
        <f>137468.6+67463.27+10886.07+4399.56</f>
        <v>220217.5</v>
      </c>
      <c r="Z61" s="185"/>
      <c r="AA61" s="185"/>
      <c r="AB61" s="185">
        <f>528557.65+31932.59+501395.22+47996.09</f>
        <v>1109881.55</v>
      </c>
      <c r="AC61" s="185">
        <f>608771.01+572081.68+85396.05+88113.04+1584</f>
        <v>1355945.78</v>
      </c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596701.80999999994</v>
      </c>
      <c r="AZ61" s="185"/>
      <c r="BA61" s="185"/>
      <c r="BB61" s="185"/>
      <c r="BC61" s="185"/>
      <c r="BD61" s="185">
        <f>96416.96+74653.54+9602.02+9178.51</f>
        <v>189851.03</v>
      </c>
      <c r="BE61" s="185"/>
      <c r="BF61" s="185">
        <f>304529.65+148972.36+31968.97+12766.56</f>
        <v>498237.54</v>
      </c>
      <c r="BG61" s="185"/>
      <c r="BH61" s="185"/>
      <c r="BI61" s="185">
        <f>119544.96+46342.45+16625.41+3146.5</f>
        <v>185659.32</v>
      </c>
      <c r="BJ61" s="185">
        <f>126258.33+80796.43+14102.64+9899</f>
        <v>231056.40000000002</v>
      </c>
      <c r="BK61" s="185"/>
      <c r="BL61" s="185">
        <f>452678.35+52016.34+365464.15+34063.16+35139.85+3757.82+27664.56+2461.28</f>
        <v>973245.51</v>
      </c>
      <c r="BM61" s="185"/>
      <c r="BN61" s="185">
        <f>97054.37+24897.77+781364.69+615580.46</f>
        <v>1518897.29</v>
      </c>
      <c r="BO61" s="185"/>
      <c r="BP61" s="185"/>
      <c r="BQ61" s="185"/>
      <c r="BR61" s="185"/>
      <c r="BS61" s="185"/>
      <c r="BT61" s="185"/>
      <c r="BU61" s="185"/>
      <c r="BV61" s="185">
        <f>63398.8+8785.85+46397.86+3268.99</f>
        <v>121851.50000000001</v>
      </c>
      <c r="BW61" s="185"/>
      <c r="BX61" s="185">
        <f>262778.62+21321.59+247724.31+27716.67</f>
        <v>559541.19000000006</v>
      </c>
      <c r="BY61" s="185">
        <f>568198.86+56876.24+932767.05+113062.28</f>
        <v>1670904.43</v>
      </c>
      <c r="BZ61" s="185"/>
      <c r="CA61" s="185">
        <f>146048.91+21931.15+67983.1+6135.66</f>
        <v>242098.82</v>
      </c>
      <c r="CB61" s="185"/>
      <c r="CC61" s="185">
        <f>415954.52+314+11481</f>
        <v>427749.52</v>
      </c>
      <c r="CD61" s="249" t="s">
        <v>221</v>
      </c>
      <c r="CE61" s="195">
        <f t="shared" si="0"/>
        <v>18411120.810000002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75509</v>
      </c>
      <c r="D62" s="195">
        <f t="shared" si="1"/>
        <v>792563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46660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25255</v>
      </c>
      <c r="Z62" s="195">
        <f t="shared" si="1"/>
        <v>0</v>
      </c>
      <c r="AA62" s="195">
        <f t="shared" si="1"/>
        <v>0</v>
      </c>
      <c r="AB62" s="195">
        <f t="shared" si="1"/>
        <v>118345</v>
      </c>
      <c r="AC62" s="195">
        <f t="shared" si="1"/>
        <v>172021</v>
      </c>
      <c r="AD62" s="195">
        <f t="shared" si="1"/>
        <v>0</v>
      </c>
      <c r="AE62" s="195">
        <f t="shared" si="1"/>
        <v>37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89793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26216</v>
      </c>
      <c r="BE62" s="195">
        <f t="shared" si="1"/>
        <v>0</v>
      </c>
      <c r="BF62" s="195">
        <f t="shared" si="1"/>
        <v>74652</v>
      </c>
      <c r="BG62" s="195">
        <f t="shared" si="1"/>
        <v>0</v>
      </c>
      <c r="BH62" s="195">
        <f t="shared" si="1"/>
        <v>0</v>
      </c>
      <c r="BI62" s="195">
        <f t="shared" si="1"/>
        <v>21683</v>
      </c>
      <c r="BJ62" s="195">
        <f t="shared" si="1"/>
        <v>31423</v>
      </c>
      <c r="BK62" s="195">
        <f t="shared" si="1"/>
        <v>0</v>
      </c>
      <c r="BL62" s="195">
        <f t="shared" si="1"/>
        <v>120371</v>
      </c>
      <c r="BM62" s="195">
        <f t="shared" si="1"/>
        <v>0</v>
      </c>
      <c r="BN62" s="195">
        <f t="shared" si="1"/>
        <v>670786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261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21781</v>
      </c>
      <c r="BW62" s="195">
        <f t="shared" si="2"/>
        <v>0</v>
      </c>
      <c r="BX62" s="195">
        <f t="shared" si="2"/>
        <v>58158</v>
      </c>
      <c r="BY62" s="195">
        <f t="shared" si="2"/>
        <v>180754</v>
      </c>
      <c r="BZ62" s="195">
        <f t="shared" si="2"/>
        <v>0</v>
      </c>
      <c r="CA62" s="195">
        <f t="shared" si="2"/>
        <v>35120</v>
      </c>
      <c r="CB62" s="195">
        <f t="shared" si="2"/>
        <v>0</v>
      </c>
      <c r="CC62" s="195">
        <f t="shared" si="2"/>
        <v>47945</v>
      </c>
      <c r="CD62" s="249" t="s">
        <v>221</v>
      </c>
      <c r="CE62" s="195">
        <f t="shared" si="0"/>
        <v>2609333</v>
      </c>
      <c r="CF62" s="252"/>
    </row>
    <row r="63" spans="1:84" ht="12.6" customHeight="1" x14ac:dyDescent="0.25">
      <c r="A63" s="171" t="s">
        <v>236</v>
      </c>
      <c r="B63" s="175"/>
      <c r="C63" s="184"/>
      <c r="D63" s="184">
        <f>33647+363831+156402</f>
        <v>553880</v>
      </c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>
        <v>32375</v>
      </c>
      <c r="V63" s="185"/>
      <c r="W63" s="185"/>
      <c r="X63" s="185"/>
      <c r="Y63" s="185">
        <v>50106</v>
      </c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>
        <v>62618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>
        <f>1543+12507</f>
        <v>14050</v>
      </c>
      <c r="CD63" s="249" t="s">
        <v>221</v>
      </c>
      <c r="CE63" s="195">
        <f t="shared" si="0"/>
        <v>713029</v>
      </c>
      <c r="CF63" s="252"/>
    </row>
    <row r="64" spans="1:84" ht="12.6" customHeight="1" x14ac:dyDescent="0.25">
      <c r="A64" s="171" t="s">
        <v>237</v>
      </c>
      <c r="B64" s="175"/>
      <c r="C64" s="184">
        <v>3601</v>
      </c>
      <c r="D64" s="184">
        <f>855788+324-5990+158277</f>
        <v>1008399</v>
      </c>
      <c r="E64" s="185"/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>
        <v>113982</v>
      </c>
      <c r="V64" s="185"/>
      <c r="W64" s="185"/>
      <c r="X64" s="185"/>
      <c r="Y64" s="185">
        <v>2587</v>
      </c>
      <c r="Z64" s="185"/>
      <c r="AA64" s="185"/>
      <c r="AB64" s="185">
        <v>33992</v>
      </c>
      <c r="AC64" s="185">
        <v>178064</v>
      </c>
      <c r="AD64" s="185">
        <v>549</v>
      </c>
      <c r="AE64" s="185">
        <v>10874</v>
      </c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f>285509+11</f>
        <v>285520</v>
      </c>
      <c r="AZ64" s="185"/>
      <c r="BA64" s="185"/>
      <c r="BB64" s="185"/>
      <c r="BC64" s="185"/>
      <c r="BD64" s="185">
        <f>91610</f>
        <v>91610</v>
      </c>
      <c r="BE64" s="185">
        <f>635+39078+7955</f>
        <v>47668</v>
      </c>
      <c r="BF64" s="185">
        <f>172405+4478</f>
        <v>176883</v>
      </c>
      <c r="BG64" s="185"/>
      <c r="BH64" s="185"/>
      <c r="BI64" s="185">
        <f>1200</f>
        <v>1200</v>
      </c>
      <c r="BJ64" s="185">
        <v>196</v>
      </c>
      <c r="BK64" s="185"/>
      <c r="BL64" s="185">
        <v>3737</v>
      </c>
      <c r="BM64" s="185"/>
      <c r="BN64" s="185">
        <v>50168</v>
      </c>
      <c r="BO64" s="185"/>
      <c r="BP64" s="185"/>
      <c r="BQ64" s="185"/>
      <c r="BR64" s="185">
        <v>1000</v>
      </c>
      <c r="BS64" s="185"/>
      <c r="BT64" s="185"/>
      <c r="BU64" s="185"/>
      <c r="BV64" s="185">
        <v>888</v>
      </c>
      <c r="BW64" s="185"/>
      <c r="BX64" s="185"/>
      <c r="BY64" s="185">
        <v>22475</v>
      </c>
      <c r="BZ64" s="185"/>
      <c r="CA64" s="185">
        <v>1452</v>
      </c>
      <c r="CB64" s="185"/>
      <c r="CC64" s="185">
        <v>6909</v>
      </c>
      <c r="CD64" s="249" t="s">
        <v>221</v>
      </c>
      <c r="CE64" s="195">
        <f t="shared" si="0"/>
        <v>2041754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>
        <v>56</v>
      </c>
      <c r="V65" s="185"/>
      <c r="W65" s="185"/>
      <c r="X65" s="185"/>
      <c r="Y65" s="185"/>
      <c r="Z65" s="185"/>
      <c r="AA65" s="185"/>
      <c r="AB65" s="185"/>
      <c r="AC65" s="185">
        <v>35</v>
      </c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484867</v>
      </c>
      <c r="BF65" s="185"/>
      <c r="BG65" s="185"/>
      <c r="BH65" s="185"/>
      <c r="BI65" s="185"/>
      <c r="BJ65" s="185">
        <v>92</v>
      </c>
      <c r="BK65" s="185"/>
      <c r="BL65" s="185">
        <v>3230</v>
      </c>
      <c r="BM65" s="185"/>
      <c r="BN65" s="185">
        <v>78672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f>28426+700+16216</f>
        <v>45342</v>
      </c>
      <c r="CD65" s="249" t="s">
        <v>221</v>
      </c>
      <c r="CE65" s="195">
        <f t="shared" si="0"/>
        <v>612294</v>
      </c>
      <c r="CF65" s="252"/>
    </row>
    <row r="66" spans="1:84" ht="12.6" customHeight="1" x14ac:dyDescent="0.25">
      <c r="A66" s="171" t="s">
        <v>239</v>
      </c>
      <c r="B66" s="175"/>
      <c r="C66" s="184"/>
      <c r="D66" s="184">
        <f>-17973+538669+39848</f>
        <v>560544</v>
      </c>
      <c r="E66" s="184"/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f>221341+274454</f>
        <v>495795</v>
      </c>
      <c r="V66" s="185">
        <f>727+10122</f>
        <v>10849</v>
      </c>
      <c r="W66" s="185">
        <v>12159</v>
      </c>
      <c r="X66" s="185">
        <f>352619-13980</f>
        <v>338639</v>
      </c>
      <c r="Y66" s="185">
        <f>245+5058+80927</f>
        <v>86230</v>
      </c>
      <c r="Z66" s="185"/>
      <c r="AA66" s="185"/>
      <c r="AB66" s="185">
        <f>150914+1567456</f>
        <v>1718370</v>
      </c>
      <c r="AC66" s="185">
        <f>124</f>
        <v>124</v>
      </c>
      <c r="AD66" s="185">
        <v>1183535</v>
      </c>
      <c r="AE66" s="185">
        <v>664384</v>
      </c>
      <c r="AF66" s="185"/>
      <c r="AG66" s="185"/>
      <c r="AH66" s="185">
        <v>2232</v>
      </c>
      <c r="AI66" s="185"/>
      <c r="AJ66" s="185"/>
      <c r="AK66" s="185">
        <v>450569</v>
      </c>
      <c r="AL66" s="185">
        <v>209082</v>
      </c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>
        <v>48</v>
      </c>
      <c r="BB66" s="185"/>
      <c r="BC66" s="185"/>
      <c r="BD66" s="185">
        <v>4104</v>
      </c>
      <c r="BE66" s="185">
        <f>-37583+512043+340+263532</f>
        <v>738332</v>
      </c>
      <c r="BF66" s="185">
        <v>7904</v>
      </c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  <c r="BV66" s="185">
        <f>690+12340</f>
        <v>13030</v>
      </c>
      <c r="BW66" s="185"/>
      <c r="BX66" s="185">
        <v>449</v>
      </c>
      <c r="BY66" s="185">
        <v>152</v>
      </c>
      <c r="BZ66" s="185"/>
      <c r="CA66" s="185">
        <v>5119</v>
      </c>
      <c r="CB66" s="185"/>
      <c r="CC66" s="185">
        <f>4018+7582+18050</f>
        <v>29650</v>
      </c>
      <c r="CD66" s="249" t="s">
        <v>221</v>
      </c>
      <c r="CE66" s="195">
        <f t="shared" si="0"/>
        <v>6531300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121828</v>
      </c>
      <c r="D67" s="195">
        <f>ROUND(D51+D52,0)</f>
        <v>573198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48536</v>
      </c>
      <c r="T67" s="195">
        <f t="shared" si="3"/>
        <v>0</v>
      </c>
      <c r="U67" s="195">
        <f t="shared" si="3"/>
        <v>16660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14611</v>
      </c>
      <c r="Z67" s="195">
        <f t="shared" si="3"/>
        <v>0</v>
      </c>
      <c r="AA67" s="195">
        <f t="shared" si="3"/>
        <v>0</v>
      </c>
      <c r="AB67" s="195">
        <f t="shared" si="3"/>
        <v>50988</v>
      </c>
      <c r="AC67" s="195">
        <f t="shared" si="3"/>
        <v>28819</v>
      </c>
      <c r="AD67" s="195">
        <f t="shared" si="3"/>
        <v>0</v>
      </c>
      <c r="AE67" s="195">
        <f t="shared" si="3"/>
        <v>145239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148128</v>
      </c>
      <c r="AZ67" s="195">
        <f>ROUND(AZ51+AZ52,0)</f>
        <v>0</v>
      </c>
      <c r="BA67" s="195">
        <f>ROUND(BA51+BA52,0)</f>
        <v>20724</v>
      </c>
      <c r="BB67" s="195">
        <f t="shared" si="3"/>
        <v>0</v>
      </c>
      <c r="BC67" s="195">
        <f t="shared" si="3"/>
        <v>0</v>
      </c>
      <c r="BD67" s="195">
        <f t="shared" si="3"/>
        <v>59486</v>
      </c>
      <c r="BE67" s="195">
        <f t="shared" si="3"/>
        <v>265488</v>
      </c>
      <c r="BF67" s="195">
        <f t="shared" si="3"/>
        <v>113430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14914</v>
      </c>
      <c r="BK67" s="195">
        <f t="shared" si="3"/>
        <v>0</v>
      </c>
      <c r="BL67" s="195">
        <f t="shared" si="3"/>
        <v>454024</v>
      </c>
      <c r="BM67" s="195">
        <f t="shared" si="3"/>
        <v>0</v>
      </c>
      <c r="BN67" s="195">
        <f t="shared" si="3"/>
        <v>475890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13234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32178</v>
      </c>
      <c r="BW67" s="195">
        <f t="shared" si="4"/>
        <v>4568</v>
      </c>
      <c r="BX67" s="195">
        <f t="shared" si="4"/>
        <v>9439</v>
      </c>
      <c r="BY67" s="195">
        <f t="shared" si="4"/>
        <v>46319</v>
      </c>
      <c r="BZ67" s="195">
        <f t="shared" si="4"/>
        <v>0</v>
      </c>
      <c r="CA67" s="195">
        <f t="shared" si="4"/>
        <v>25796</v>
      </c>
      <c r="CB67" s="195">
        <f t="shared" si="4"/>
        <v>0</v>
      </c>
      <c r="CC67" s="195">
        <f t="shared" si="4"/>
        <v>26972</v>
      </c>
      <c r="CD67" s="249" t="s">
        <v>221</v>
      </c>
      <c r="CE67" s="195">
        <f t="shared" si="0"/>
        <v>2710469</v>
      </c>
      <c r="CF67" s="252"/>
    </row>
    <row r="68" spans="1:84" ht="12.6" customHeight="1" x14ac:dyDescent="0.25">
      <c r="A68" s="171" t="s">
        <v>240</v>
      </c>
      <c r="B68" s="175"/>
      <c r="C68" s="184"/>
      <c r="D68" s="184">
        <v>207955</v>
      </c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>
        <v>82073</v>
      </c>
      <c r="AD68" s="185"/>
      <c r="AE68" s="185">
        <v>4282</v>
      </c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>
        <v>476</v>
      </c>
      <c r="AZ68" s="185"/>
      <c r="BA68" s="185"/>
      <c r="BB68" s="185"/>
      <c r="BC68" s="185"/>
      <c r="BD68" s="185">
        <f>7794+77342</f>
        <v>85136</v>
      </c>
      <c r="BE68" s="185">
        <v>2571</v>
      </c>
      <c r="BF68" s="185">
        <v>3755</v>
      </c>
      <c r="BG68" s="185"/>
      <c r="BH68" s="185"/>
      <c r="BI68" s="185"/>
      <c r="BJ68" s="185"/>
      <c r="BK68" s="185"/>
      <c r="BL68" s="185"/>
      <c r="BM68" s="185"/>
      <c r="BN68" s="185">
        <v>5839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392087</v>
      </c>
      <c r="CF68" s="252"/>
    </row>
    <row r="69" spans="1:84" ht="12.6" customHeight="1" x14ac:dyDescent="0.25">
      <c r="A69" s="171" t="s">
        <v>241</v>
      </c>
      <c r="B69" s="175"/>
      <c r="C69" s="184">
        <v>220</v>
      </c>
      <c r="D69" s="184">
        <f>5413+94+7644+11753</f>
        <v>24904</v>
      </c>
      <c r="E69" s="185"/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>
        <v>72549</v>
      </c>
      <c r="V69" s="185"/>
      <c r="W69" s="184">
        <v>1988</v>
      </c>
      <c r="X69" s="185"/>
      <c r="Y69" s="185">
        <v>1027</v>
      </c>
      <c r="Z69" s="185"/>
      <c r="AA69" s="185"/>
      <c r="AB69" s="185">
        <v>17978</v>
      </c>
      <c r="AC69" s="185">
        <v>3297</v>
      </c>
      <c r="AD69" s="185"/>
      <c r="AE69" s="185">
        <v>756</v>
      </c>
      <c r="AF69" s="185"/>
      <c r="AG69" s="185"/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f>1734+70</f>
        <v>1804</v>
      </c>
      <c r="AZ69" s="185"/>
      <c r="BA69" s="185">
        <v>161124</v>
      </c>
      <c r="BB69" s="185"/>
      <c r="BC69" s="185"/>
      <c r="BD69" s="185">
        <v>6774</v>
      </c>
      <c r="BE69" s="185">
        <f>146606+16+73</f>
        <v>146695</v>
      </c>
      <c r="BF69" s="185">
        <f>820+927</f>
        <v>1747</v>
      </c>
      <c r="BG69" s="185"/>
      <c r="BH69" s="224"/>
      <c r="BI69" s="185">
        <v>337</v>
      </c>
      <c r="BJ69" s="185">
        <v>18515</v>
      </c>
      <c r="BK69" s="185"/>
      <c r="BL69" s="185">
        <f>59657+1328</f>
        <v>60985</v>
      </c>
      <c r="BM69" s="185"/>
      <c r="BN69" s="185">
        <f>551910+2523452+129708</f>
        <v>3205070</v>
      </c>
      <c r="BO69" s="185"/>
      <c r="BP69" s="185"/>
      <c r="BQ69" s="185"/>
      <c r="BR69" s="185">
        <v>97</v>
      </c>
      <c r="BS69" s="185"/>
      <c r="BT69" s="185"/>
      <c r="BU69" s="185"/>
      <c r="BV69" s="185">
        <v>14</v>
      </c>
      <c r="BW69" s="185"/>
      <c r="BX69" s="185">
        <v>1349</v>
      </c>
      <c r="BY69" s="185">
        <v>6324</v>
      </c>
      <c r="BZ69" s="185"/>
      <c r="CA69" s="185">
        <v>17606</v>
      </c>
      <c r="CB69" s="185"/>
      <c r="CC69" s="185">
        <f>94633+36400+11783+9662+553+45997+38699+15408+3157</f>
        <v>256292</v>
      </c>
      <c r="CD69" s="188">
        <f>1312881+4453</f>
        <v>1317334</v>
      </c>
      <c r="CE69" s="195">
        <f t="shared" si="0"/>
        <v>5324786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861296.83000000007</v>
      </c>
      <c r="D71" s="195">
        <f t="shared" ref="D71:AI71" si="5">SUM(D61:D69)-D70</f>
        <v>11214784.120000001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48536</v>
      </c>
      <c r="T71" s="195">
        <f t="shared" si="5"/>
        <v>0</v>
      </c>
      <c r="U71" s="195">
        <f t="shared" si="5"/>
        <v>1133878.67</v>
      </c>
      <c r="V71" s="195">
        <f t="shared" si="5"/>
        <v>10849</v>
      </c>
      <c r="W71" s="195">
        <f t="shared" si="5"/>
        <v>14147</v>
      </c>
      <c r="X71" s="195">
        <f t="shared" si="5"/>
        <v>338639</v>
      </c>
      <c r="Y71" s="195">
        <f t="shared" si="5"/>
        <v>400033.5</v>
      </c>
      <c r="Z71" s="195">
        <f t="shared" si="5"/>
        <v>0</v>
      </c>
      <c r="AA71" s="195">
        <f t="shared" si="5"/>
        <v>0</v>
      </c>
      <c r="AB71" s="195">
        <f t="shared" si="5"/>
        <v>3049554.55</v>
      </c>
      <c r="AC71" s="195">
        <f t="shared" si="5"/>
        <v>1820378.78</v>
      </c>
      <c r="AD71" s="195">
        <f t="shared" si="5"/>
        <v>1184084</v>
      </c>
      <c r="AE71" s="195">
        <f t="shared" si="5"/>
        <v>825572</v>
      </c>
      <c r="AF71" s="195">
        <f t="shared" si="5"/>
        <v>0</v>
      </c>
      <c r="AG71" s="195">
        <f t="shared" si="5"/>
        <v>0</v>
      </c>
      <c r="AH71" s="195">
        <f t="shared" si="5"/>
        <v>2232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450569</v>
      </c>
      <c r="AL71" s="195">
        <f t="shared" si="6"/>
        <v>209082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>SUM(AY61:AY69)-AY70</f>
        <v>1122422.81</v>
      </c>
      <c r="AZ71" s="195">
        <f t="shared" si="6"/>
        <v>0</v>
      </c>
      <c r="BA71" s="195">
        <f t="shared" si="6"/>
        <v>181896</v>
      </c>
      <c r="BB71" s="195">
        <f t="shared" si="6"/>
        <v>0</v>
      </c>
      <c r="BC71" s="195">
        <f t="shared" si="6"/>
        <v>0</v>
      </c>
      <c r="BD71" s="195">
        <f t="shared" si="6"/>
        <v>463177.03</v>
      </c>
      <c r="BE71" s="195">
        <f t="shared" si="6"/>
        <v>1685621</v>
      </c>
      <c r="BF71" s="195">
        <f t="shared" si="6"/>
        <v>876608.54</v>
      </c>
      <c r="BG71" s="195">
        <f t="shared" si="6"/>
        <v>0</v>
      </c>
      <c r="BH71" s="195">
        <f t="shared" si="6"/>
        <v>0</v>
      </c>
      <c r="BI71" s="195">
        <f t="shared" si="6"/>
        <v>208879.32</v>
      </c>
      <c r="BJ71" s="195">
        <f t="shared" si="6"/>
        <v>296196.40000000002</v>
      </c>
      <c r="BK71" s="195">
        <f t="shared" si="6"/>
        <v>0</v>
      </c>
      <c r="BL71" s="195">
        <f t="shared" si="6"/>
        <v>1615592.51</v>
      </c>
      <c r="BM71" s="195">
        <f t="shared" si="6"/>
        <v>0</v>
      </c>
      <c r="BN71" s="195">
        <f t="shared" si="6"/>
        <v>6067940.29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14592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189742.5</v>
      </c>
      <c r="BW71" s="195">
        <f t="shared" si="7"/>
        <v>4568</v>
      </c>
      <c r="BX71" s="195">
        <f t="shared" si="7"/>
        <v>628936.19000000006</v>
      </c>
      <c r="BY71" s="195">
        <f t="shared" si="7"/>
        <v>1926928.43</v>
      </c>
      <c r="BZ71" s="195">
        <f t="shared" si="7"/>
        <v>0</v>
      </c>
      <c r="CA71" s="195">
        <f t="shared" si="7"/>
        <v>327191.82</v>
      </c>
      <c r="CB71" s="195">
        <f t="shared" si="7"/>
        <v>0</v>
      </c>
      <c r="CC71" s="195">
        <f t="shared" si="7"/>
        <v>854909.52</v>
      </c>
      <c r="CD71" s="245">
        <f>CD69-CD70</f>
        <v>1317334</v>
      </c>
      <c r="CE71" s="195">
        <f>SUM(CE61:CE69)-CE70</f>
        <v>39346172.810000002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5899846</v>
      </c>
      <c r="D73" s="184">
        <f>68624442+1461037+747525+80283</f>
        <v>70913287</v>
      </c>
      <c r="E73" s="185"/>
      <c r="F73" s="185"/>
      <c r="G73" s="184"/>
      <c r="H73" s="184"/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>
        <f>6758914+2838621+650304</f>
        <v>10247839</v>
      </c>
      <c r="V73" s="185">
        <f>3448+129925</f>
        <v>133373</v>
      </c>
      <c r="W73" s="185">
        <v>63223</v>
      </c>
      <c r="X73" s="185">
        <f>4954+1188812+277556</f>
        <v>1471322</v>
      </c>
      <c r="Y73" s="185">
        <v>749978</v>
      </c>
      <c r="Z73" s="185"/>
      <c r="AA73" s="185"/>
      <c r="AB73" s="185">
        <v>20272198</v>
      </c>
      <c r="AC73" s="185">
        <f>17660582+1907</f>
        <v>17662489</v>
      </c>
      <c r="AD73" s="185">
        <v>3745209</v>
      </c>
      <c r="AE73" s="185">
        <v>1924440</v>
      </c>
      <c r="AF73" s="185"/>
      <c r="AG73" s="185"/>
      <c r="AH73" s="185"/>
      <c r="AI73" s="185"/>
      <c r="AJ73" s="185"/>
      <c r="AK73" s="185">
        <v>1284565</v>
      </c>
      <c r="AL73" s="185">
        <v>697328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135065097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0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5899846</v>
      </c>
      <c r="D75" s="195">
        <f t="shared" si="9"/>
        <v>70913287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10247839</v>
      </c>
      <c r="V75" s="195">
        <f t="shared" si="9"/>
        <v>133373</v>
      </c>
      <c r="W75" s="195">
        <f t="shared" si="9"/>
        <v>63223</v>
      </c>
      <c r="X75" s="195">
        <f t="shared" si="9"/>
        <v>1471322</v>
      </c>
      <c r="Y75" s="195">
        <f t="shared" si="9"/>
        <v>749978</v>
      </c>
      <c r="Z75" s="195">
        <f t="shared" si="9"/>
        <v>0</v>
      </c>
      <c r="AA75" s="195">
        <f t="shared" si="9"/>
        <v>0</v>
      </c>
      <c r="AB75" s="195">
        <f t="shared" si="9"/>
        <v>20272198</v>
      </c>
      <c r="AC75" s="195">
        <f t="shared" si="9"/>
        <v>17662489</v>
      </c>
      <c r="AD75" s="195">
        <f t="shared" si="9"/>
        <v>3745209</v>
      </c>
      <c r="AE75" s="195">
        <f t="shared" si="9"/>
        <v>1924440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1284565</v>
      </c>
      <c r="AL75" s="195">
        <f t="shared" si="9"/>
        <v>697328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135065097</v>
      </c>
      <c r="CF75" s="252"/>
    </row>
    <row r="76" spans="1:84" ht="12.6" customHeight="1" x14ac:dyDescent="0.25">
      <c r="A76" s="171" t="s">
        <v>248</v>
      </c>
      <c r="B76" s="175"/>
      <c r="C76" s="184">
        <v>3627</v>
      </c>
      <c r="D76" s="184">
        <v>17065</v>
      </c>
      <c r="E76" s="185"/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>
        <v>1445</v>
      </c>
      <c r="T76" s="185"/>
      <c r="U76" s="185">
        <v>496</v>
      </c>
      <c r="V76" s="185"/>
      <c r="W76" s="185"/>
      <c r="X76" s="185"/>
      <c r="Y76" s="185">
        <v>435</v>
      </c>
      <c r="Z76" s="185"/>
      <c r="AA76" s="185"/>
      <c r="AB76" s="185">
        <v>1518</v>
      </c>
      <c r="AC76" s="185">
        <v>858</v>
      </c>
      <c r="AD76" s="185"/>
      <c r="AE76" s="185">
        <v>4324</v>
      </c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4410</v>
      </c>
      <c r="AZ76" s="185"/>
      <c r="BA76" s="185">
        <v>617</v>
      </c>
      <c r="BB76" s="185"/>
      <c r="BC76" s="185"/>
      <c r="BD76" s="185">
        <v>1771</v>
      </c>
      <c r="BE76" s="185">
        <v>7904</v>
      </c>
      <c r="BF76" s="185">
        <v>3377</v>
      </c>
      <c r="BG76" s="185"/>
      <c r="BH76" s="185"/>
      <c r="BI76" s="185"/>
      <c r="BJ76" s="185">
        <v>444</v>
      </c>
      <c r="BK76" s="185"/>
      <c r="BL76" s="185">
        <v>13517</v>
      </c>
      <c r="BM76" s="185"/>
      <c r="BN76" s="185">
        <v>14168</v>
      </c>
      <c r="BO76" s="185"/>
      <c r="BP76" s="185"/>
      <c r="BQ76" s="185"/>
      <c r="BR76" s="185">
        <v>394</v>
      </c>
      <c r="BS76" s="185"/>
      <c r="BT76" s="185"/>
      <c r="BU76" s="185"/>
      <c r="BV76" s="185">
        <v>958</v>
      </c>
      <c r="BW76" s="185">
        <v>136</v>
      </c>
      <c r="BX76" s="185">
        <v>281</v>
      </c>
      <c r="BY76" s="185">
        <v>1379</v>
      </c>
      <c r="BZ76" s="185"/>
      <c r="CA76" s="185">
        <v>768</v>
      </c>
      <c r="CB76" s="185"/>
      <c r="CC76" s="185">
        <v>803</v>
      </c>
      <c r="CD76" s="249" t="s">
        <v>221</v>
      </c>
      <c r="CE76" s="195">
        <f t="shared" si="8"/>
        <v>80695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 t="s">
        <v>1265</v>
      </c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0</v>
      </c>
      <c r="CF77" s="195">
        <f>AY59-CE77</f>
        <v>42524</v>
      </c>
    </row>
    <row r="78" spans="1:84" ht="12.6" customHeight="1" x14ac:dyDescent="0.25">
      <c r="A78" s="171" t="s">
        <v>250</v>
      </c>
      <c r="B78" s="175"/>
      <c r="C78" s="184">
        <v>1373.14</v>
      </c>
      <c r="D78" s="184">
        <v>24874.16</v>
      </c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26247.3</v>
      </c>
      <c r="CF78" s="195"/>
    </row>
    <row r="79" spans="1:84" ht="12.6" customHeight="1" x14ac:dyDescent="0.25">
      <c r="A79" s="171" t="s">
        <v>251</v>
      </c>
      <c r="B79" s="175"/>
      <c r="C79" s="225">
        <v>47992.85</v>
      </c>
      <c r="D79" s="225">
        <v>128619.92</v>
      </c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>
        <v>1919.83</v>
      </c>
      <c r="T79" s="184"/>
      <c r="U79" s="184">
        <v>1919.83</v>
      </c>
      <c r="V79" s="184"/>
      <c r="W79" s="184"/>
      <c r="X79" s="184"/>
      <c r="Y79" s="184">
        <v>1919.83</v>
      </c>
      <c r="Z79" s="184"/>
      <c r="AA79" s="184"/>
      <c r="AB79" s="184"/>
      <c r="AC79" s="184">
        <v>9598.43</v>
      </c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191970.68999999994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10.38</v>
      </c>
      <c r="D80" s="187">
        <v>96.950854700854705</v>
      </c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107.3308547008547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1278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1266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1267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1268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1268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1271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1272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1273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1274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1275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463</v>
      </c>
      <c r="D111" s="174">
        <v>19822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70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80</v>
      </c>
    </row>
    <row r="128" spans="1:5" ht="12.6" customHeight="1" x14ac:dyDescent="0.25">
      <c r="A128" s="173" t="s">
        <v>292</v>
      </c>
      <c r="B128" s="172" t="s">
        <v>256</v>
      </c>
      <c r="C128" s="189">
        <v>80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221</v>
      </c>
      <c r="C138" s="189">
        <v>9</v>
      </c>
      <c r="D138" s="174">
        <v>233</v>
      </c>
      <c r="E138" s="175">
        <f>SUM(B138:D138)</f>
        <v>463</v>
      </c>
    </row>
    <row r="139" spans="1:6" ht="12.6" customHeight="1" x14ac:dyDescent="0.25">
      <c r="A139" s="173" t="s">
        <v>215</v>
      </c>
      <c r="B139" s="174">
        <v>7921</v>
      </c>
      <c r="C139" s="189">
        <v>532</v>
      </c>
      <c r="D139" s="174">
        <v>11369</v>
      </c>
      <c r="E139" s="175">
        <f>SUM(B139:D139)</f>
        <v>19822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60055883</v>
      </c>
      <c r="C141" s="189">
        <v>3328092</v>
      </c>
      <c r="D141" s="174">
        <v>71681123</v>
      </c>
      <c r="E141" s="175">
        <f>SUM(B141:D141)</f>
        <v>135065098</v>
      </c>
      <c r="F141" s="199"/>
    </row>
    <row r="142" spans="1:6" ht="12.6" customHeight="1" x14ac:dyDescent="0.25">
      <c r="A142" s="173" t="s">
        <v>246</v>
      </c>
      <c r="B142" s="174"/>
      <c r="C142" s="189"/>
      <c r="D142" s="174"/>
      <c r="E142" s="175">
        <f>SUM(B142:D142)</f>
        <v>0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1217319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f>58961+16576</f>
        <v>75537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330579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746304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67712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16118</f>
        <v>16118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155766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2609335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392088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392088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120920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85585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206505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23250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1083127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1106377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4453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4453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3225342.16</v>
      </c>
      <c r="C195" s="189">
        <v>3225879.87</v>
      </c>
      <c r="D195" s="174"/>
      <c r="E195" s="175">
        <f t="shared" ref="E195:E203" si="10">SUM(B195:C195)-D195</f>
        <v>6451222.0300000003</v>
      </c>
    </row>
    <row r="196" spans="1:8" ht="12.6" customHeight="1" x14ac:dyDescent="0.2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" customHeight="1" x14ac:dyDescent="0.25">
      <c r="A197" s="173" t="s">
        <v>334</v>
      </c>
      <c r="B197" s="174">
        <v>41895357.659999996</v>
      </c>
      <c r="C197" s="189"/>
      <c r="D197" s="174">
        <v>33996608.899999999</v>
      </c>
      <c r="E197" s="175">
        <f t="shared" si="10"/>
        <v>7898748.7599999979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f>3024325.07+2103544</f>
        <v>5127869.07</v>
      </c>
      <c r="C200" s="189"/>
      <c r="D200" s="174">
        <f>2427551.69+1783957.89</f>
        <v>4211509.58</v>
      </c>
      <c r="E200" s="175">
        <f t="shared" si="10"/>
        <v>916359.49000000022</v>
      </c>
    </row>
    <row r="201" spans="1:8" ht="12.6" customHeight="1" x14ac:dyDescent="0.25">
      <c r="A201" s="173" t="s">
        <v>338</v>
      </c>
      <c r="B201" s="174">
        <f>500246.49+402112.97+572074.42+15146.13</f>
        <v>1489580.0099999998</v>
      </c>
      <c r="C201" s="189"/>
      <c r="D201" s="174">
        <f>448458.64+396504.32+539462.24+13966.83</f>
        <v>1398392.03</v>
      </c>
      <c r="E201" s="175">
        <f t="shared" si="10"/>
        <v>91187.979999999749</v>
      </c>
    </row>
    <row r="202" spans="1:8" ht="12.6" customHeight="1" x14ac:dyDescent="0.25">
      <c r="A202" s="173" t="s">
        <v>339</v>
      </c>
      <c r="B202" s="174">
        <v>354226.99</v>
      </c>
      <c r="C202" s="189"/>
      <c r="D202" s="174">
        <v>339234.02</v>
      </c>
      <c r="E202" s="175">
        <f t="shared" si="10"/>
        <v>14992.969999999972</v>
      </c>
    </row>
    <row r="203" spans="1:8" ht="12.6" customHeight="1" x14ac:dyDescent="0.25">
      <c r="A203" s="173" t="s">
        <v>340</v>
      </c>
      <c r="B203" s="174"/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52092375.889999993</v>
      </c>
      <c r="C204" s="191">
        <f>SUM(C195:C203)</f>
        <v>3225879.87</v>
      </c>
      <c r="D204" s="175">
        <f>SUM(D195:D203)</f>
        <v>39945744.530000001</v>
      </c>
      <c r="E204" s="175">
        <f>SUM(E195:E203)</f>
        <v>15372511.23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f>28373.45+116127.23</f>
        <v>144500.68</v>
      </c>
      <c r="C209" s="189"/>
      <c r="D209" s="174">
        <f>28015.86+113626.64</f>
        <v>141642.5</v>
      </c>
      <c r="E209" s="175">
        <f t="shared" ref="E209:E216" si="11">SUM(B209:C209)-D209</f>
        <v>2858.179999999993</v>
      </c>
      <c r="H209" s="259"/>
    </row>
    <row r="210" spans="1:8" ht="12.6" customHeight="1" x14ac:dyDescent="0.25">
      <c r="A210" s="173" t="s">
        <v>334</v>
      </c>
      <c r="B210" s="174">
        <f>10437104.91+9510.21+1790671.95+5152368.89</f>
        <v>17389655.960000001</v>
      </c>
      <c r="C210" s="189"/>
      <c r="D210" s="174">
        <f>10354528.54+9510.21+1722207.6+5152065.42</f>
        <v>17238311.77</v>
      </c>
      <c r="E210" s="175">
        <f t="shared" si="11"/>
        <v>151344.19000000134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f>1914131.87+1792567.08</f>
        <v>3706698.95</v>
      </c>
      <c r="C213" s="189"/>
      <c r="D213" s="174">
        <f>1849011.95+1756702.66</f>
        <v>3605714.61</v>
      </c>
      <c r="E213" s="175">
        <f t="shared" si="11"/>
        <v>100984.34000000032</v>
      </c>
      <c r="H213" s="259"/>
    </row>
    <row r="214" spans="1:8" ht="12.6" customHeight="1" x14ac:dyDescent="0.25">
      <c r="A214" s="173" t="s">
        <v>338</v>
      </c>
      <c r="B214" s="174">
        <f>339237.17+394548.61+465274.29+12462.03</f>
        <v>1211522.1000000001</v>
      </c>
      <c r="C214" s="189"/>
      <c r="D214" s="174">
        <f>333580.57+393147.53+460077.69+12170.99</f>
        <v>1198976.78</v>
      </c>
      <c r="E214" s="175">
        <f t="shared" si="11"/>
        <v>12545.320000000065</v>
      </c>
      <c r="H214" s="259"/>
    </row>
    <row r="215" spans="1:8" ht="12.6" customHeight="1" x14ac:dyDescent="0.25">
      <c r="A215" s="173" t="s">
        <v>339</v>
      </c>
      <c r="B215" s="174">
        <f>15026.11+41177.27</f>
        <v>56203.38</v>
      </c>
      <c r="C215" s="189"/>
      <c r="D215" s="174">
        <f>12259.79+40377.65</f>
        <v>52637.440000000002</v>
      </c>
      <c r="E215" s="175">
        <f t="shared" si="11"/>
        <v>3565.9399999999951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22508581.07</v>
      </c>
      <c r="C217" s="191">
        <f>SUM(C208:C216)</f>
        <v>0</v>
      </c>
      <c r="D217" s="175">
        <f>SUM(D208:D216)</f>
        <v>22237283.100000001</v>
      </c>
      <c r="E217" s="175">
        <f>SUM(E208:E216)</f>
        <v>271297.97000000172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3182256</v>
      </c>
      <c r="D221" s="172">
        <f>C221</f>
        <v>3182256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44908612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2498772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46639512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94046896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/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0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97229152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-69626.429999999993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16121648.73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5434985.2199999997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5851.26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387805.43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10800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11021493.770000001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6451222.0300000003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/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7898748.7599999998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1007547.47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14992.97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15372511.23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271297.96999999997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15101213.26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-3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-3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26122704.030000001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1440120.52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1055444.3400000001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1866978.13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4362542.99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22524091.010000002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22524091.010000002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22524091.010000002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-763929.97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26122704.030000001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26122704.030000001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f>70608897+64456201</f>
        <v>135065098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0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135065098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3182256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94046896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/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97229152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37835946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78014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78014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37913960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18411120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2609335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713029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2041752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612295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3639809+1324035+1567456</f>
        <v>6531300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2710471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392088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206505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1106377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4453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5324786-1312881-4453</f>
        <v>4007452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39346177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-1432217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-1432217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-1432217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Kindred Hospital Seattle Northgate/First Hill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463</v>
      </c>
      <c r="C414" s="194">
        <f>E138</f>
        <v>463</v>
      </c>
      <c r="D414" s="179"/>
    </row>
    <row r="415" spans="1:5" ht="12.6" customHeight="1" x14ac:dyDescent="0.25">
      <c r="A415" s="179" t="s">
        <v>464</v>
      </c>
      <c r="B415" s="179">
        <f>D111</f>
        <v>19822</v>
      </c>
      <c r="C415" s="179">
        <f>E139</f>
        <v>19822</v>
      </c>
      <c r="D415" s="194">
        <f>SUM(C59:H59)+N59</f>
        <v>19822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18411120</v>
      </c>
      <c r="C427" s="179">
        <f t="shared" ref="C427:C434" si="13">CE61</f>
        <v>18411120.810000002</v>
      </c>
      <c r="D427" s="179"/>
    </row>
    <row r="428" spans="1:7" ht="12.6" customHeight="1" x14ac:dyDescent="0.25">
      <c r="A428" s="179" t="s">
        <v>3</v>
      </c>
      <c r="B428" s="179">
        <f t="shared" si="12"/>
        <v>2609335</v>
      </c>
      <c r="C428" s="179">
        <f t="shared" si="13"/>
        <v>2609333</v>
      </c>
      <c r="D428" s="179">
        <f>D173</f>
        <v>2609335</v>
      </c>
    </row>
    <row r="429" spans="1:7" ht="12.6" customHeight="1" x14ac:dyDescent="0.25">
      <c r="A429" s="179" t="s">
        <v>236</v>
      </c>
      <c r="B429" s="179">
        <f t="shared" si="12"/>
        <v>713029</v>
      </c>
      <c r="C429" s="179">
        <f t="shared" si="13"/>
        <v>713029</v>
      </c>
      <c r="D429" s="179"/>
    </row>
    <row r="430" spans="1:7" ht="12.6" customHeight="1" x14ac:dyDescent="0.25">
      <c r="A430" s="179" t="s">
        <v>237</v>
      </c>
      <c r="B430" s="179">
        <f t="shared" si="12"/>
        <v>2041752</v>
      </c>
      <c r="C430" s="179">
        <f t="shared" si="13"/>
        <v>2041754</v>
      </c>
      <c r="D430" s="179"/>
    </row>
    <row r="431" spans="1:7" ht="12.6" customHeight="1" x14ac:dyDescent="0.25">
      <c r="A431" s="179" t="s">
        <v>444</v>
      </c>
      <c r="B431" s="179">
        <f t="shared" si="12"/>
        <v>612295</v>
      </c>
      <c r="C431" s="179">
        <f t="shared" si="13"/>
        <v>612294</v>
      </c>
      <c r="D431" s="179"/>
    </row>
    <row r="432" spans="1:7" ht="12.6" customHeight="1" x14ac:dyDescent="0.25">
      <c r="A432" s="179" t="s">
        <v>445</v>
      </c>
      <c r="B432" s="179">
        <f t="shared" si="12"/>
        <v>6531300</v>
      </c>
      <c r="C432" s="179">
        <f t="shared" si="13"/>
        <v>6531300</v>
      </c>
      <c r="D432" s="179"/>
    </row>
    <row r="433" spans="1:7" ht="12.6" customHeight="1" x14ac:dyDescent="0.25">
      <c r="A433" s="179" t="s">
        <v>6</v>
      </c>
      <c r="B433" s="179">
        <f t="shared" si="12"/>
        <v>2710471</v>
      </c>
      <c r="C433" s="179">
        <f t="shared" si="13"/>
        <v>2710469</v>
      </c>
      <c r="D433" s="179">
        <f>C217</f>
        <v>0</v>
      </c>
    </row>
    <row r="434" spans="1:7" ht="12.6" customHeight="1" x14ac:dyDescent="0.25">
      <c r="A434" s="179" t="s">
        <v>474</v>
      </c>
      <c r="B434" s="179">
        <f t="shared" si="12"/>
        <v>392088</v>
      </c>
      <c r="C434" s="179">
        <f t="shared" si="13"/>
        <v>392087</v>
      </c>
      <c r="D434" s="179">
        <f>D177</f>
        <v>392088</v>
      </c>
    </row>
    <row r="435" spans="1:7" ht="12.6" customHeight="1" x14ac:dyDescent="0.25">
      <c r="A435" s="179" t="s">
        <v>447</v>
      </c>
      <c r="B435" s="179">
        <f t="shared" si="12"/>
        <v>206505</v>
      </c>
      <c r="C435" s="179"/>
      <c r="D435" s="179">
        <f>D181</f>
        <v>206505</v>
      </c>
    </row>
    <row r="436" spans="1:7" ht="12.6" customHeight="1" x14ac:dyDescent="0.25">
      <c r="A436" s="179" t="s">
        <v>475</v>
      </c>
      <c r="B436" s="179">
        <f t="shared" si="12"/>
        <v>1106377</v>
      </c>
      <c r="C436" s="179"/>
      <c r="D436" s="179">
        <f>D186</f>
        <v>1106377</v>
      </c>
    </row>
    <row r="437" spans="1:7" ht="12.6" customHeight="1" x14ac:dyDescent="0.25">
      <c r="A437" s="194" t="s">
        <v>449</v>
      </c>
      <c r="B437" s="194">
        <f t="shared" si="12"/>
        <v>4453</v>
      </c>
      <c r="C437" s="194"/>
      <c r="D437" s="194">
        <f>D190</f>
        <v>4453</v>
      </c>
    </row>
    <row r="438" spans="1:7" ht="12.6" customHeight="1" x14ac:dyDescent="0.25">
      <c r="A438" s="194" t="s">
        <v>476</v>
      </c>
      <c r="B438" s="194">
        <f>C386+C387+C388</f>
        <v>1317335</v>
      </c>
      <c r="C438" s="194">
        <f>CD69</f>
        <v>1317334</v>
      </c>
      <c r="D438" s="194">
        <f>D181+D186+D190</f>
        <v>1317335</v>
      </c>
    </row>
    <row r="439" spans="1:7" ht="12.6" customHeight="1" x14ac:dyDescent="0.25">
      <c r="A439" s="179" t="s">
        <v>451</v>
      </c>
      <c r="B439" s="194">
        <f>C389</f>
        <v>4007452</v>
      </c>
      <c r="C439" s="194">
        <f>SUM(C69:CC69)</f>
        <v>4007452</v>
      </c>
      <c r="D439" s="179"/>
    </row>
    <row r="440" spans="1:7" ht="12.6" customHeight="1" x14ac:dyDescent="0.25">
      <c r="A440" s="179" t="s">
        <v>477</v>
      </c>
      <c r="B440" s="194">
        <f>B438+B439</f>
        <v>5324787</v>
      </c>
      <c r="C440" s="194">
        <f>CE69</f>
        <v>5324786</v>
      </c>
      <c r="D440" s="179"/>
    </row>
    <row r="441" spans="1:7" ht="12.6" customHeight="1" x14ac:dyDescent="0.25">
      <c r="A441" s="179" t="s">
        <v>478</v>
      </c>
      <c r="B441" s="179">
        <f>D390</f>
        <v>39346177</v>
      </c>
      <c r="C441" s="179">
        <f>SUM(C427:C437)+C440</f>
        <v>39346172.810000002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3182256</v>
      </c>
      <c r="C444" s="179">
        <f>C363</f>
        <v>3182256</v>
      </c>
      <c r="D444" s="179"/>
    </row>
    <row r="445" spans="1:7" ht="12.6" customHeight="1" x14ac:dyDescent="0.25">
      <c r="A445" s="179" t="s">
        <v>343</v>
      </c>
      <c r="B445" s="179">
        <f>D229</f>
        <v>94046896</v>
      </c>
      <c r="C445" s="179">
        <f>C364</f>
        <v>94046896</v>
      </c>
      <c r="D445" s="179"/>
    </row>
    <row r="446" spans="1:7" ht="12.6" customHeight="1" x14ac:dyDescent="0.25">
      <c r="A446" s="179" t="s">
        <v>351</v>
      </c>
      <c r="B446" s="179">
        <f>D236</f>
        <v>0</v>
      </c>
      <c r="C446" s="179">
        <f>C365</f>
        <v>0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97229152</v>
      </c>
      <c r="C448" s="179">
        <f>D367</f>
        <v>97229152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78014</v>
      </c>
      <c r="C458" s="194">
        <f>CE70</f>
        <v>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135065098</v>
      </c>
      <c r="C463" s="194">
        <f>CE73</f>
        <v>135065097</v>
      </c>
      <c r="D463" s="194">
        <f>E141+E147+E153</f>
        <v>135065098</v>
      </c>
    </row>
    <row r="464" spans="1:7" ht="12.6" customHeight="1" x14ac:dyDescent="0.25">
      <c r="A464" s="179" t="s">
        <v>246</v>
      </c>
      <c r="B464" s="194">
        <f>C360</f>
        <v>0</v>
      </c>
      <c r="C464" s="194">
        <f>CE74</f>
        <v>0</v>
      </c>
      <c r="D464" s="194">
        <f>E142+E148+E154</f>
        <v>0</v>
      </c>
    </row>
    <row r="465" spans="1:7" ht="12.6" customHeight="1" x14ac:dyDescent="0.25">
      <c r="A465" s="179" t="s">
        <v>247</v>
      </c>
      <c r="B465" s="194">
        <f>D361</f>
        <v>135065098</v>
      </c>
      <c r="C465" s="194">
        <f>CE75</f>
        <v>135065097</v>
      </c>
      <c r="D465" s="194">
        <f>D463+D464</f>
        <v>135065098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6451222.0300000003</v>
      </c>
      <c r="C468" s="179">
        <f>E195</f>
        <v>6451222.0300000003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7898748.7599999998</v>
      </c>
      <c r="C470" s="179">
        <f>E197</f>
        <v>7898748.7599999979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1007547.47</v>
      </c>
      <c r="C473" s="179">
        <f>SUM(E200:E201)</f>
        <v>1007547.47</v>
      </c>
      <c r="D473" s="179"/>
    </row>
    <row r="474" spans="1:7" ht="12.6" customHeight="1" x14ac:dyDescent="0.25">
      <c r="A474" s="179" t="s">
        <v>339</v>
      </c>
      <c r="B474" s="179">
        <f t="shared" si="14"/>
        <v>14992.97</v>
      </c>
      <c r="C474" s="179">
        <f>E202</f>
        <v>14992.969999999972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15372511.23</v>
      </c>
      <c r="C476" s="179">
        <f>E204</f>
        <v>15372511.23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271297.96999999997</v>
      </c>
      <c r="C478" s="179">
        <f>E217</f>
        <v>271297.97000000172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26122704.030000001</v>
      </c>
    </row>
    <row r="482" spans="1:12" ht="12.6" customHeight="1" x14ac:dyDescent="0.25">
      <c r="A482" s="180" t="s">
        <v>499</v>
      </c>
      <c r="C482" s="180">
        <f>D339</f>
        <v>26122704.030000001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148</v>
      </c>
      <c r="B493" s="261" t="s">
        <v>1279</v>
      </c>
      <c r="C493" s="261" t="str">
        <f>RIGHT(C82,4)</f>
        <v>2018</v>
      </c>
      <c r="D493" s="261" t="s">
        <v>1279</v>
      </c>
      <c r="E493" s="261" t="str">
        <f>RIGHT(C82,4)</f>
        <v>2018</v>
      </c>
      <c r="F493" s="261" t="s">
        <v>1279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1495704.7199999997</v>
      </c>
      <c r="C496" s="240">
        <f>C71</f>
        <v>861296.83000000007</v>
      </c>
      <c r="D496" s="240">
        <v>1191</v>
      </c>
      <c r="E496" s="180">
        <f>C59</f>
        <v>1037</v>
      </c>
      <c r="F496" s="263">
        <f t="shared" ref="F496:G511" si="15">IF(B496=0,"",IF(D496=0,"",B496/D496))</f>
        <v>1255.8393954659948</v>
      </c>
      <c r="G496" s="264">
        <f t="shared" si="15"/>
        <v>830.5658919961428</v>
      </c>
      <c r="H496" s="265">
        <f>IF(B496=0,"",IF(C496=0,"",IF(D496=0,"",IF(E496=0,"",IF(G496/F496-1&lt;-0.25,G496/F496-1,IF(G496/F496-1&gt;0.25,G496/F496-1,""))))))</f>
        <v>-0.33863685516255759</v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11214784.120000001</v>
      </c>
      <c r="D497" s="240">
        <v>0</v>
      </c>
      <c r="E497" s="180">
        <f>D59</f>
        <v>18785</v>
      </c>
      <c r="F497" s="263" t="str">
        <f t="shared" si="15"/>
        <v/>
      </c>
      <c r="G497" s="263">
        <f t="shared" si="15"/>
        <v>597.00740590896999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10962527.67</v>
      </c>
      <c r="C498" s="240">
        <f>E71</f>
        <v>0</v>
      </c>
      <c r="D498" s="240">
        <v>19466</v>
      </c>
      <c r="E498" s="180">
        <f>E59</f>
        <v>0</v>
      </c>
      <c r="F498" s="263">
        <f t="shared" si="15"/>
        <v>563.16283109010578</v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317788.06</v>
      </c>
      <c r="C509" s="240">
        <f>P71</f>
        <v>0</v>
      </c>
      <c r="D509" s="240"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0</v>
      </c>
      <c r="C511" s="240">
        <f>R71</f>
        <v>0</v>
      </c>
      <c r="D511" s="240"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48629</v>
      </c>
      <c r="C512" s="240">
        <f>S71</f>
        <v>48536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1270582.6600000001</v>
      </c>
      <c r="C514" s="240">
        <f>U71</f>
        <v>1133878.67</v>
      </c>
      <c r="D514" s="240">
        <v>120533</v>
      </c>
      <c r="E514" s="180">
        <f>U59</f>
        <v>118083</v>
      </c>
      <c r="F514" s="263">
        <f t="shared" si="17"/>
        <v>10.541367592277634</v>
      </c>
      <c r="G514" s="263">
        <f t="shared" si="17"/>
        <v>9.6023870497870139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0</v>
      </c>
      <c r="C515" s="240">
        <f>V71</f>
        <v>10849</v>
      </c>
      <c r="D515" s="240">
        <v>0</v>
      </c>
      <c r="E515" s="180">
        <f>V59</f>
        <v>525</v>
      </c>
      <c r="F515" s="263" t="str">
        <f t="shared" si="17"/>
        <v/>
      </c>
      <c r="G515" s="263">
        <f t="shared" si="17"/>
        <v>20.664761904761903</v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0</v>
      </c>
      <c r="C516" s="240">
        <f>W71</f>
        <v>14147</v>
      </c>
      <c r="D516" s="240"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330172.60000000003</v>
      </c>
      <c r="C517" s="240">
        <f>X71</f>
        <v>338639</v>
      </c>
      <c r="D517" s="240">
        <v>366</v>
      </c>
      <c r="E517" s="180">
        <f>X59</f>
        <v>0</v>
      </c>
      <c r="F517" s="263">
        <f t="shared" si="17"/>
        <v>902.11092896174875</v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449498.18</v>
      </c>
      <c r="C518" s="240">
        <f>Y71</f>
        <v>400033.5</v>
      </c>
      <c r="D518" s="240">
        <v>2803</v>
      </c>
      <c r="E518" s="180">
        <f>Y59</f>
        <v>3362</v>
      </c>
      <c r="F518" s="263">
        <f t="shared" si="17"/>
        <v>160.36324652158402</v>
      </c>
      <c r="G518" s="263">
        <f t="shared" si="17"/>
        <v>118.98676383105294</v>
      </c>
      <c r="H518" s="265">
        <f t="shared" si="16"/>
        <v>-0.25801724265392711</v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0</v>
      </c>
      <c r="C520" s="240">
        <f>AA71</f>
        <v>0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3291079.3000000003</v>
      </c>
      <c r="C521" s="240">
        <f>AB71</f>
        <v>3049554.55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1796515.8400000001</v>
      </c>
      <c r="C522" s="240">
        <f>AC71</f>
        <v>1820378.78</v>
      </c>
      <c r="D522" s="240">
        <v>55049</v>
      </c>
      <c r="E522" s="180">
        <f>AC59</f>
        <v>58351</v>
      </c>
      <c r="F522" s="263">
        <f t="shared" si="17"/>
        <v>32.634849679376558</v>
      </c>
      <c r="G522" s="263">
        <f t="shared" si="17"/>
        <v>31.19704512347689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1050579.1800000002</v>
      </c>
      <c r="C523" s="240">
        <f>AD71</f>
        <v>1184084</v>
      </c>
      <c r="D523" s="240">
        <v>1864</v>
      </c>
      <c r="E523" s="180">
        <f>AD59</f>
        <v>2373</v>
      </c>
      <c r="F523" s="263">
        <f t="shared" si="17"/>
        <v>563.61543991416318</v>
      </c>
      <c r="G523" s="263">
        <f t="shared" si="17"/>
        <v>498.9818794774547</v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1541703.05</v>
      </c>
      <c r="C524" s="240">
        <f>AE71</f>
        <v>825572</v>
      </c>
      <c r="D524" s="240">
        <v>16734</v>
      </c>
      <c r="E524" s="180">
        <f>AE59</f>
        <v>13944</v>
      </c>
      <c r="F524" s="263">
        <f t="shared" si="17"/>
        <v>92.129977889327122</v>
      </c>
      <c r="G524" s="263">
        <f t="shared" si="17"/>
        <v>59.206253585771655</v>
      </c>
      <c r="H524" s="265">
        <f t="shared" si="16"/>
        <v>-0.35736168680194103</v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0</v>
      </c>
      <c r="C526" s="240">
        <f>AG71</f>
        <v>0</v>
      </c>
      <c r="D526" s="240"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2232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0</v>
      </c>
      <c r="C529" s="240">
        <f>AJ71</f>
        <v>0</v>
      </c>
      <c r="D529" s="240"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0</v>
      </c>
      <c r="C530" s="240">
        <f>AK71</f>
        <v>450569</v>
      </c>
      <c r="D530" s="240">
        <v>10515</v>
      </c>
      <c r="E530" s="180">
        <f>AK59</f>
        <v>8818</v>
      </c>
      <c r="F530" s="263" t="str">
        <f t="shared" si="18"/>
        <v/>
      </c>
      <c r="G530" s="263">
        <f t="shared" si="18"/>
        <v>51.096507144477208</v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0</v>
      </c>
      <c r="C531" s="240">
        <f>AL71</f>
        <v>209082</v>
      </c>
      <c r="D531" s="240">
        <v>4053</v>
      </c>
      <c r="E531" s="180">
        <f>AL59</f>
        <v>4649</v>
      </c>
      <c r="F531" s="263" t="str">
        <f t="shared" si="18"/>
        <v/>
      </c>
      <c r="G531" s="263">
        <f t="shared" si="18"/>
        <v>44.973542697354269</v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1137424.2900000003</v>
      </c>
      <c r="C544" s="240">
        <f>AY71</f>
        <v>1122422.81</v>
      </c>
      <c r="D544" s="240">
        <v>48373</v>
      </c>
      <c r="E544" s="180">
        <f>AY59</f>
        <v>42524</v>
      </c>
      <c r="F544" s="263">
        <f t="shared" ref="F544:G550" si="19">IF(B544=0,"",IF(D544=0,"",B544/D544))</f>
        <v>23.513618960990641</v>
      </c>
      <c r="G544" s="263">
        <f t="shared" si="19"/>
        <v>26.395043034521684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206987.36</v>
      </c>
      <c r="C546" s="240">
        <f>BA71</f>
        <v>181896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628802.79</v>
      </c>
      <c r="C549" s="240">
        <f>BD71</f>
        <v>463177.03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1750526.5799999998</v>
      </c>
      <c r="C550" s="240">
        <f>BE71</f>
        <v>1685621</v>
      </c>
      <c r="D550" s="240">
        <v>80695</v>
      </c>
      <c r="E550" s="180">
        <f>BE59</f>
        <v>80695</v>
      </c>
      <c r="F550" s="263">
        <f t="shared" si="19"/>
        <v>21.693123241836542</v>
      </c>
      <c r="G550" s="263">
        <f t="shared" si="19"/>
        <v>20.888791127083461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899918.19</v>
      </c>
      <c r="C551" s="240">
        <f>BF71</f>
        <v>876608.54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225164.77</v>
      </c>
      <c r="C554" s="240">
        <f>BI71</f>
        <v>208879.32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212427.91</v>
      </c>
      <c r="C555" s="240">
        <f>BJ71</f>
        <v>296196.40000000002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1550932.53</v>
      </c>
      <c r="C557" s="240">
        <f>BL71</f>
        <v>1615592.51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6267338.7800000003</v>
      </c>
      <c r="C559" s="240">
        <f>BN71</f>
        <v>6067940.29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39256.679999999993</v>
      </c>
      <c r="C563" s="240">
        <f>BR71</f>
        <v>14592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194951.36</v>
      </c>
      <c r="C567" s="240">
        <f>BV71</f>
        <v>189742.5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82924</v>
      </c>
      <c r="C568" s="240">
        <f>BW71</f>
        <v>4568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774205</v>
      </c>
      <c r="C569" s="240">
        <f>BX71</f>
        <v>628936.19000000006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1756486.0499999998</v>
      </c>
      <c r="C570" s="240">
        <f>BY71</f>
        <v>1926928.43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300133.28000000003</v>
      </c>
      <c r="C572" s="240">
        <f>CA71</f>
        <v>327191.82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784082.7200000002</v>
      </c>
      <c r="C574" s="240">
        <f>CC71</f>
        <v>854909.52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1321185</v>
      </c>
      <c r="C575" s="240">
        <f>CD71</f>
        <v>1317334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72791</v>
      </c>
      <c r="E612" s="180">
        <f>SUM(C624:D647)+SUM(C668:D713)</f>
        <v>31491188.759813718</v>
      </c>
      <c r="F612" s="180">
        <f>CE64-(AX64+BD64+BE64+BG64+BJ64+BN64+BP64+BQ64+CB64+CC64+CD64)</f>
        <v>1845203</v>
      </c>
      <c r="G612" s="180">
        <f>CE77-(AX77+AY77+BD77+BE77+BG77+BJ77+BN77+BP77+BQ77+CB77+CC77+CD77)</f>
        <v>0</v>
      </c>
      <c r="H612" s="197">
        <f>CE60-(AX60+AY60+AZ60+BD60+BE60+BG60+BJ60+BN60+BO60+BP60+BQ60+BR60+CB60+CC60+CD60)</f>
        <v>194.47812499999998</v>
      </c>
      <c r="I612" s="180">
        <f>CE78-(AX78+AY78+AZ78+BD78+BE78+BF78+BG78+BJ78+BN78+BO78+BP78+BQ78+BR78+CB78+CC78+CD78)</f>
        <v>26247.3</v>
      </c>
      <c r="J612" s="180">
        <f>CE79-(AX79+AY79+AZ79+BA79+BD79+BE79+BF79+BG79+BJ79+BN79+BO79+BP79+BQ79+BR79+CB79+CC79+CD79)</f>
        <v>191970.68999999994</v>
      </c>
      <c r="K612" s="180">
        <f>CE75-(AW75+AX75+AY75+AZ75+BA75+BB75+BC75+BD75+BE75+BF75+BG75+BH75+BI75+BJ75+BK75+BL75+BM75+BN75+BO75+BP75+BQ75+BR75+BS75+BT75+BU75+BV75+BW75+BX75+CB75+CC75+CD75)</f>
        <v>135065097</v>
      </c>
      <c r="L612" s="197">
        <f>CE80-(AW80+AX80+AY80+AZ80+BA80+BB80+BC80+BD80+BE80+BF80+BG80+BH80+BI80+BJ80+BK80+BL80+BM80+BN80+BO80+BP80+BQ80+BR80+BS80+BT80+BU80+BV80+BW80+BX80+BY80+BZ80+CA80+CB80+CC80+CD80)</f>
        <v>107.3308547008547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1685621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1317334</v>
      </c>
      <c r="D615" s="266">
        <f>SUM(C614:C615)</f>
        <v>3002955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296196.40000000002</v>
      </c>
      <c r="D617" s="180">
        <f>(D615/D612)*BJ76</f>
        <v>18316.990012501545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6067940.29</v>
      </c>
      <c r="D619" s="180">
        <f>(D615/D612)*BN76</f>
        <v>584493.50111964392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854909.52</v>
      </c>
      <c r="D620" s="180">
        <f>(D615/D612)*CC76</f>
        <v>33127.349054141312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7854984.0501862857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463177.03</v>
      </c>
      <c r="D624" s="180">
        <f>(D615/D612)*BD76</f>
        <v>73061.687639955489</v>
      </c>
      <c r="E624" s="180">
        <f>(E623/E612)*SUM(C624:D624)</f>
        <v>133756.3534447886</v>
      </c>
      <c r="F624" s="180">
        <f>SUM(C624:E624)</f>
        <v>669995.07108474406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1122422.81</v>
      </c>
      <c r="D625" s="180">
        <f>(D615/D612)*AY76</f>
        <v>181932.2656647113</v>
      </c>
      <c r="E625" s="180">
        <f>(E623/E612)*SUM(C625:D625)</f>
        <v>325350.95430250891</v>
      </c>
      <c r="F625" s="180">
        <f>(F624/F612)*AY64</f>
        <v>103672.60008579875</v>
      </c>
      <c r="G625" s="180">
        <f>SUM(C625:F625)</f>
        <v>1733378.6300530189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14592</v>
      </c>
      <c r="D626" s="180">
        <f>(D615/D612)*BR76</f>
        <v>16254.265911994615</v>
      </c>
      <c r="E626" s="180">
        <f>(E623/E612)*SUM(C626:D626)</f>
        <v>7694.118141888649</v>
      </c>
      <c r="F626" s="180">
        <f>(F624/F612)*BR64</f>
        <v>363.10100898640638</v>
      </c>
      <c r="G626" s="180" t="e">
        <f>(G625/G612)*BR77</f>
        <v>#DIV/0!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 t="e">
        <f>(G625/G612)*BO77</f>
        <v>#DIV/0!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 t="e">
        <f>(G625/G612)*AZ77</f>
        <v>#DIV/0!</v>
      </c>
      <c r="H628" s="180" t="e">
        <f>SUM(C626:G628)</f>
        <v>#DIV/0!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876608.54</v>
      </c>
      <c r="D629" s="180">
        <f>(D615/D612)*BF76</f>
        <v>139316.3857482381</v>
      </c>
      <c r="E629" s="180">
        <f>(E623/E612)*SUM(C629:D629)</f>
        <v>253406.56870097469</v>
      </c>
      <c r="F629" s="180">
        <f>(F624/F612)*BF64</f>
        <v>64226.395772542521</v>
      </c>
      <c r="G629" s="180" t="e">
        <f>(G625/G612)*BF77</f>
        <v>#DIV/0!</v>
      </c>
      <c r="H629" s="180" t="e">
        <f>(H628/H612)*BF60</f>
        <v>#DIV/0!</v>
      </c>
      <c r="I629" s="180" t="e">
        <f>SUM(C629:H629)</f>
        <v>#DIV/0!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181896</v>
      </c>
      <c r="D630" s="180">
        <f>(D615/D612)*BA76</f>
        <v>25454.015400255525</v>
      </c>
      <c r="E630" s="180">
        <f>(E623/E612)*SUM(C630:D630)</f>
        <v>51720.215333799373</v>
      </c>
      <c r="F630" s="180">
        <f>(F624/F612)*BA64</f>
        <v>0</v>
      </c>
      <c r="G630" s="180" t="e">
        <f>(G625/G612)*BA77</f>
        <v>#DIV/0!</v>
      </c>
      <c r="H630" s="180" t="e">
        <f>(H628/H612)*BA60</f>
        <v>#DIV/0!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 t="e">
        <f>(G625/G612)*AW77</f>
        <v>#DIV/0!</v>
      </c>
      <c r="H631" s="180" t="e">
        <f>(H628/H612)*AW60</f>
        <v>#DIV/0!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 t="e">
        <f>(G625/G612)*BB77</f>
        <v>#DIV/0!</v>
      </c>
      <c r="H632" s="180" t="e">
        <f>(H628/H612)*BB60</f>
        <v>#DIV/0!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 t="e">
        <f>(G625/G612)*BC77</f>
        <v>#DIV/0!</v>
      </c>
      <c r="H633" s="180" t="e">
        <f>(H628/H612)*BC60</f>
        <v>#DIV/0!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208879.32</v>
      </c>
      <c r="D634" s="180">
        <f>(D615/D612)*BI76</f>
        <v>0</v>
      </c>
      <c r="E634" s="180">
        <f>(E623/E612)*SUM(C634:D634)</f>
        <v>52101.676425360289</v>
      </c>
      <c r="F634" s="180">
        <f>(F624/F612)*BI64</f>
        <v>435.7212107836877</v>
      </c>
      <c r="G634" s="180" t="e">
        <f>(G625/G612)*BI77</f>
        <v>#DIV/0!</v>
      </c>
      <c r="H634" s="180" t="e">
        <f>(H628/H612)*BI60</f>
        <v>#DIV/0!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 t="e">
        <f>(G625/G612)*BK77</f>
        <v>#DIV/0!</v>
      </c>
      <c r="H635" s="180" t="e">
        <f>(H628/H612)*BK60</f>
        <v>#DIV/0!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 t="e">
        <f>(G625/G612)*BH77</f>
        <v>#DIV/0!</v>
      </c>
      <c r="H636" s="180" t="e">
        <f>(H628/H612)*BH60</f>
        <v>#DIV/0!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1615592.51</v>
      </c>
      <c r="D637" s="180">
        <f>(D615/D612)*BL76</f>
        <v>557636.83333104372</v>
      </c>
      <c r="E637" s="180">
        <f>(E623/E612)*SUM(C637:D637)</f>
        <v>542078.03838279564</v>
      </c>
      <c r="F637" s="180">
        <f>(F624/F612)*BL64</f>
        <v>1356.9084705822008</v>
      </c>
      <c r="G637" s="180" t="e">
        <f>(G625/G612)*BL77</f>
        <v>#DIV/0!</v>
      </c>
      <c r="H637" s="180" t="e">
        <f>(H628/H612)*BL60</f>
        <v>#DIV/0!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 t="e">
        <f>(G625/G612)*BM77</f>
        <v>#DIV/0!</v>
      </c>
      <c r="H638" s="180" t="e">
        <f>(H628/H612)*BM60</f>
        <v>#DIV/0!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 t="e">
        <f>(G625/G612)*BS77</f>
        <v>#DIV/0!</v>
      </c>
      <c r="H639" s="180" t="e">
        <f>(H628/H612)*BS60</f>
        <v>#DIV/0!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 t="e">
        <f>(G625/G612)*BT77</f>
        <v>#DIV/0!</v>
      </c>
      <c r="H640" s="180" t="e">
        <f>(H628/H612)*BT60</f>
        <v>#DIV/0!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 t="e">
        <f>(G625/G612)*BU77</f>
        <v>#DIV/0!</v>
      </c>
      <c r="H641" s="180" t="e">
        <f>(H628/H612)*BU60</f>
        <v>#DIV/0!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189742.5</v>
      </c>
      <c r="D642" s="180">
        <f>(D615/D612)*BV76</f>
        <v>39521.793765712791</v>
      </c>
      <c r="E642" s="180">
        <f>(E623/E612)*SUM(C642:D642)</f>
        <v>57186.389010027</v>
      </c>
      <c r="F642" s="180">
        <f>(F624/F612)*BV64</f>
        <v>322.43369597992887</v>
      </c>
      <c r="G642" s="180" t="e">
        <f>(G625/G612)*BV77</f>
        <v>#DIV/0!</v>
      </c>
      <c r="H642" s="180" t="e">
        <f>(H628/H612)*BV60</f>
        <v>#DIV/0!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4568</v>
      </c>
      <c r="D643" s="180">
        <f>(D615/D612)*BW76</f>
        <v>5610.6095533788521</v>
      </c>
      <c r="E643" s="180">
        <f>(E623/E612)*SUM(C643:D643)</f>
        <v>2538.894809740983</v>
      </c>
      <c r="F643" s="180">
        <f>(F624/F612)*BW64</f>
        <v>0</v>
      </c>
      <c r="G643" s="180" t="e">
        <f>(G625/G612)*BW77</f>
        <v>#DIV/0!</v>
      </c>
      <c r="H643" s="180" t="e">
        <f>(H628/H612)*BW60</f>
        <v>#DIV/0!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628936.19000000006</v>
      </c>
      <c r="D644" s="180">
        <f>(D615/D612)*BX76</f>
        <v>11592.509444848951</v>
      </c>
      <c r="E644" s="180">
        <f>(E623/E612)*SUM(C644:D644)</f>
        <v>159769.85677487066</v>
      </c>
      <c r="F644" s="180">
        <f>(F624/F612)*BX64</f>
        <v>0</v>
      </c>
      <c r="G644" s="180" t="e">
        <f>(G625/G612)*BX77</f>
        <v>#DIV/0!</v>
      </c>
      <c r="H644" s="180" t="e">
        <f>(H628/H612)*BX60</f>
        <v>#DIV/0!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1926928.43</v>
      </c>
      <c r="D645" s="180">
        <f>(D615/D612)*BY76</f>
        <v>56889.93069198115</v>
      </c>
      <c r="E645" s="180">
        <f>(E623/E612)*SUM(C645:D645)</f>
        <v>494832.43394062319</v>
      </c>
      <c r="F645" s="180">
        <f>(F624/F612)*BY64</f>
        <v>8160.6951769694842</v>
      </c>
      <c r="G645" s="180" t="e">
        <f>(G625/G612)*BY77</f>
        <v>#DIV/0!</v>
      </c>
      <c r="H645" s="180" t="e">
        <f>(H628/H612)*BY60</f>
        <v>#DIV/0!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 t="e">
        <f>(G625/G612)*BZ77</f>
        <v>#DIV/0!</v>
      </c>
      <c r="H646" s="180" t="e">
        <f>(H628/H612)*BZ60</f>
        <v>#DIV/0!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327191.82</v>
      </c>
      <c r="D647" s="180">
        <f>(D615/D612)*CA76</f>
        <v>31683.442183786457</v>
      </c>
      <c r="E647" s="180">
        <f>(E623/E612)*SUM(C647:D647)</f>
        <v>89515.816057645061</v>
      </c>
      <c r="F647" s="180">
        <f>(F624/F612)*CA64</f>
        <v>527.22266504826212</v>
      </c>
      <c r="G647" s="180" t="e">
        <f>(G625/G612)*CA77</f>
        <v>#DIV/0!</v>
      </c>
      <c r="H647" s="180" t="e">
        <f>(H628/H612)*CA60</f>
        <v>#DIV/0!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17782536.359999999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861296.83000000007</v>
      </c>
      <c r="D668" s="180">
        <f>(D615/D612)*C76</f>
        <v>149630.00625077277</v>
      </c>
      <c r="E668" s="180">
        <f>(E623/E612)*SUM(C668:D668)</f>
        <v>252159.87351955642</v>
      </c>
      <c r="F668" s="180">
        <f>(F624/F612)*C64</f>
        <v>1307.5267333600495</v>
      </c>
      <c r="G668" s="180" t="e">
        <f>(G625/G612)*C77</f>
        <v>#DIV/0!</v>
      </c>
      <c r="H668" s="180" t="e">
        <f>(H628/H612)*C60</f>
        <v>#DIV/0!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11214784.120000001</v>
      </c>
      <c r="D669" s="180">
        <f>(D615/D612)*D76</f>
        <v>704007.73550301546</v>
      </c>
      <c r="E669" s="180">
        <f>(E623/E612)*SUM(C669:D669)</f>
        <v>2972956.0429277429</v>
      </c>
      <c r="F669" s="180">
        <f>(F624/F612)*D64</f>
        <v>366150.69436088321</v>
      </c>
      <c r="G669" s="180" t="e">
        <f>(G625/G612)*D77</f>
        <v>#DIV/0!</v>
      </c>
      <c r="H669" s="180" t="e">
        <f>(H628/H612)*D60</f>
        <v>#DIV/0!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 t="e">
        <f>(G625/G612)*E77</f>
        <v>#DIV/0!</v>
      </c>
      <c r="H670" s="180" t="e">
        <f>(H628/H612)*E60</f>
        <v>#DIV/0!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 t="e">
        <f>(G625/G612)*F77</f>
        <v>#DIV/0!</v>
      </c>
      <c r="H671" s="180" t="e">
        <f>(H628/H612)*F60</f>
        <v>#DIV/0!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 t="e">
        <f>(G625/G612)*G77</f>
        <v>#DIV/0!</v>
      </c>
      <c r="H672" s="180" t="e">
        <f>(H628/H612)*G60</f>
        <v>#DIV/0!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 t="e">
        <f>(G625/G612)*H77</f>
        <v>#DIV/0!</v>
      </c>
      <c r="H673" s="180" t="e">
        <f>(H628/H612)*H60</f>
        <v>#DIV/0!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 t="e">
        <f>(G625/G612)*I77</f>
        <v>#DIV/0!</v>
      </c>
      <c r="H674" s="180" t="e">
        <f>(H628/H612)*I60</f>
        <v>#DIV/0!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 t="e">
        <f>(G625/G612)*J77</f>
        <v>#DIV/0!</v>
      </c>
      <c r="H675" s="180" t="e">
        <f>(H628/H612)*J60</f>
        <v>#DIV/0!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 t="e">
        <f>(G625/G612)*K77</f>
        <v>#DIV/0!</v>
      </c>
      <c r="H676" s="180" t="e">
        <f>(H628/H612)*K60</f>
        <v>#DIV/0!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 t="e">
        <f>(G625/G612)*L77</f>
        <v>#DIV/0!</v>
      </c>
      <c r="H677" s="180" t="e">
        <f>(H628/H612)*L60</f>
        <v>#DIV/0!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 t="e">
        <f>(G625/G612)*M77</f>
        <v>#DIV/0!</v>
      </c>
      <c r="H678" s="180" t="e">
        <f>(H628/H612)*M60</f>
        <v>#DIV/0!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 t="e">
        <f>(G625/G612)*N77</f>
        <v>#DIV/0!</v>
      </c>
      <c r="H679" s="180" t="e">
        <f>(H628/H612)*N60</f>
        <v>#DIV/0!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 t="e">
        <f>(G625/G612)*O77</f>
        <v>#DIV/0!</v>
      </c>
      <c r="H680" s="180" t="e">
        <f>(H628/H612)*O60</f>
        <v>#DIV/0!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 t="e">
        <f>(G625/G612)*P77</f>
        <v>#DIV/0!</v>
      </c>
      <c r="H681" s="180" t="e">
        <f>(H628/H612)*P60</f>
        <v>#DIV/0!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 t="e">
        <f>(G625/G612)*Q77</f>
        <v>#DIV/0!</v>
      </c>
      <c r="H682" s="180" t="e">
        <f>(H628/H612)*Q60</f>
        <v>#DIV/0!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 t="e">
        <f>(G625/G612)*R77</f>
        <v>#DIV/0!</v>
      </c>
      <c r="H683" s="180" t="e">
        <f>(H628/H612)*R60</f>
        <v>#DIV/0!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48536</v>
      </c>
      <c r="D684" s="180">
        <f>(D615/D612)*S76</f>
        <v>59612.726504650302</v>
      </c>
      <c r="E684" s="180">
        <f>(E623/E612)*SUM(C684:D684)</f>
        <v>26976.00678784322</v>
      </c>
      <c r="F684" s="180">
        <f>(F624/F612)*S64</f>
        <v>0</v>
      </c>
      <c r="G684" s="180" t="e">
        <f>(G625/G612)*S77</f>
        <v>#DIV/0!</v>
      </c>
      <c r="H684" s="180" t="e">
        <f>(H628/H612)*S60</f>
        <v>#DIV/0!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 t="e">
        <f>(G625/G612)*T77</f>
        <v>#DIV/0!</v>
      </c>
      <c r="H685" s="180" t="e">
        <f>(H628/H612)*T60</f>
        <v>#DIV/0!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1133878.67</v>
      </c>
      <c r="D686" s="180">
        <f>(D615/D612)*U76</f>
        <v>20462.223077028753</v>
      </c>
      <c r="E686" s="180">
        <f>(E623/E612)*SUM(C686:D686)</f>
        <v>287932.26488702075</v>
      </c>
      <c r="F686" s="180">
        <f>(F624/F612)*U64</f>
        <v>41386.979206288575</v>
      </c>
      <c r="G686" s="180" t="e">
        <f>(G625/G612)*U77</f>
        <v>#DIV/0!</v>
      </c>
      <c r="H686" s="180" t="e">
        <f>(H628/H612)*U60</f>
        <v>#DIV/0!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10849</v>
      </c>
      <c r="D687" s="180">
        <f>(D615/D612)*V76</f>
        <v>0</v>
      </c>
      <c r="E687" s="180">
        <f>(E623/E612)*SUM(C687:D687)</f>
        <v>2706.113211871495</v>
      </c>
      <c r="F687" s="180">
        <f>(F624/F612)*V64</f>
        <v>0</v>
      </c>
      <c r="G687" s="180" t="e">
        <f>(G625/G612)*V77</f>
        <v>#DIV/0!</v>
      </c>
      <c r="H687" s="180" t="e">
        <f>(H628/H612)*V60</f>
        <v>#DIV/0!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14147</v>
      </c>
      <c r="D688" s="180">
        <f>(D615/D612)*W76</f>
        <v>0</v>
      </c>
      <c r="E688" s="180">
        <f>(E623/E612)*SUM(C688:D688)</f>
        <v>3528.7476825832828</v>
      </c>
      <c r="F688" s="180">
        <f>(F624/F612)*W64</f>
        <v>0</v>
      </c>
      <c r="G688" s="180" t="e">
        <f>(G625/G612)*W77</f>
        <v>#DIV/0!</v>
      </c>
      <c r="H688" s="180" t="e">
        <f>(H628/H612)*W60</f>
        <v>#DIV/0!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338639</v>
      </c>
      <c r="D689" s="180">
        <f>(D615/D612)*X76</f>
        <v>0</v>
      </c>
      <c r="E689" s="180">
        <f>(E623/E612)*SUM(C689:D689)</f>
        <v>84468.197249050703</v>
      </c>
      <c r="F689" s="180">
        <f>(F624/F612)*X64</f>
        <v>0</v>
      </c>
      <c r="G689" s="180" t="e">
        <f>(G625/G612)*X77</f>
        <v>#DIV/0!</v>
      </c>
      <c r="H689" s="180" t="e">
        <f>(H628/H612)*X60</f>
        <v>#DIV/0!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400033.5</v>
      </c>
      <c r="D690" s="180">
        <f>(D615/D612)*Y76</f>
        <v>17945.699674410298</v>
      </c>
      <c r="E690" s="180">
        <f>(E623/E612)*SUM(C690:D690)</f>
        <v>104258.36800870083</v>
      </c>
      <c r="F690" s="180">
        <f>(F624/F612)*Y64</f>
        <v>939.34231024783332</v>
      </c>
      <c r="G690" s="180" t="e">
        <f>(G625/G612)*Y77</f>
        <v>#DIV/0!</v>
      </c>
      <c r="H690" s="180" t="e">
        <f>(H628/H612)*Y60</f>
        <v>#DIV/0!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 t="e">
        <f>(G625/G612)*Z77</f>
        <v>#DIV/0!</v>
      </c>
      <c r="H691" s="180" t="e">
        <f>(H628/H612)*Z60</f>
        <v>#DIV/0!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 t="e">
        <f>(G625/G612)*AA77</f>
        <v>#DIV/0!</v>
      </c>
      <c r="H692" s="180" t="e">
        <f>(H628/H612)*AA60</f>
        <v>#DIV/0!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3049554.55</v>
      </c>
      <c r="D693" s="180">
        <f>(D615/D612)*AB76</f>
        <v>62624.303691390422</v>
      </c>
      <c r="E693" s="180">
        <f>(E623/E612)*SUM(C693:D693)</f>
        <v>776284.29474434094</v>
      </c>
      <c r="F693" s="180">
        <f>(F624/F612)*AB64</f>
        <v>12342.529497465926</v>
      </c>
      <c r="G693" s="180" t="e">
        <f>(G625/G612)*AB77</f>
        <v>#DIV/0!</v>
      </c>
      <c r="H693" s="180" t="e">
        <f>(H628/H612)*AB60</f>
        <v>#DIV/0!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1820378.78</v>
      </c>
      <c r="D694" s="180">
        <f>(D615/D612)*AC76</f>
        <v>35396.345564698931</v>
      </c>
      <c r="E694" s="180">
        <f>(E623/E612)*SUM(C694:D694)</f>
        <v>462894.05341995705</v>
      </c>
      <c r="F694" s="180">
        <f>(F624/F612)*AC64</f>
        <v>64655.218064155473</v>
      </c>
      <c r="G694" s="180" t="e">
        <f>(G625/G612)*AC77</f>
        <v>#DIV/0!</v>
      </c>
      <c r="H694" s="180" t="e">
        <f>(H628/H612)*AC60</f>
        <v>#DIV/0!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1184084</v>
      </c>
      <c r="D695" s="180">
        <f>(D615/D612)*AD76</f>
        <v>0</v>
      </c>
      <c r="E695" s="180">
        <f>(E623/E612)*SUM(C695:D695)</f>
        <v>295351.21728874982</v>
      </c>
      <c r="F695" s="180">
        <f>(F624/F612)*AD64</f>
        <v>199.34245393353712</v>
      </c>
      <c r="G695" s="180" t="e">
        <f>(G625/G612)*AD77</f>
        <v>#DIV/0!</v>
      </c>
      <c r="H695" s="180" t="e">
        <f>(H628/H612)*AD60</f>
        <v>#DIV/0!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825572</v>
      </c>
      <c r="D696" s="180">
        <f>(D615/D612)*AE76</f>
        <v>178384.38021183937</v>
      </c>
      <c r="E696" s="180">
        <f>(E623/E612)*SUM(C696:D696)</f>
        <v>250421.20238122778</v>
      </c>
      <c r="F696" s="180">
        <f>(F624/F612)*AE64</f>
        <v>3948.3603717181832</v>
      </c>
      <c r="G696" s="180" t="e">
        <f>(G625/G612)*AE77</f>
        <v>#DIV/0!</v>
      </c>
      <c r="H696" s="180" t="e">
        <f>(H628/H612)*AE60</f>
        <v>#DIV/0!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 t="e">
        <f>(G625/G612)*AF77</f>
        <v>#DIV/0!</v>
      </c>
      <c r="H697" s="180" t="e">
        <f>(H628/H612)*AF60</f>
        <v>#DIV/0!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 t="e">
        <f>(G625/G612)*AG77</f>
        <v>#DIV/0!</v>
      </c>
      <c r="H698" s="180" t="e">
        <f>(H628/H612)*AG60</f>
        <v>#DIV/0!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2232</v>
      </c>
      <c r="D699" s="180">
        <f>(D615/D612)*AH76</f>
        <v>0</v>
      </c>
      <c r="E699" s="180">
        <f>(E623/E612)*SUM(C699:D699)</f>
        <v>556.73745865030662</v>
      </c>
      <c r="F699" s="180">
        <f>(F624/F612)*AH64</f>
        <v>0</v>
      </c>
      <c r="G699" s="180" t="e">
        <f>(G625/G612)*AH77</f>
        <v>#DIV/0!</v>
      </c>
      <c r="H699" s="180" t="e">
        <f>(H628/H612)*AH60</f>
        <v>#DIV/0!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 t="e">
        <f>(G625/G612)*AI77</f>
        <v>#DIV/0!</v>
      </c>
      <c r="H700" s="180" t="e">
        <f>(H628/H612)*AI60</f>
        <v>#DIV/0!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 t="e">
        <f>(G625/G612)*AJ77</f>
        <v>#DIV/0!</v>
      </c>
      <c r="H701" s="180" t="e">
        <f>(H628/H612)*AJ60</f>
        <v>#DIV/0!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450569</v>
      </c>
      <c r="D702" s="180">
        <f>(D615/D612)*AK76</f>
        <v>0</v>
      </c>
      <c r="E702" s="180">
        <f>(E623/E612)*SUM(C702:D702)</f>
        <v>112387.38351550627</v>
      </c>
      <c r="F702" s="180">
        <f>(F624/F612)*AK64</f>
        <v>0</v>
      </c>
      <c r="G702" s="180" t="e">
        <f>(G625/G612)*AK77</f>
        <v>#DIV/0!</v>
      </c>
      <c r="H702" s="180" t="e">
        <f>(H628/H612)*AK60</f>
        <v>#DIV/0!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209082</v>
      </c>
      <c r="D703" s="180">
        <f>(D615/D612)*AL76</f>
        <v>0</v>
      </c>
      <c r="E703" s="180">
        <f>(E623/E612)*SUM(C703:D703)</f>
        <v>52152.231778460307</v>
      </c>
      <c r="F703" s="180">
        <f>(F624/F612)*AL64</f>
        <v>0</v>
      </c>
      <c r="G703" s="180" t="e">
        <f>(G625/G612)*AL77</f>
        <v>#DIV/0!</v>
      </c>
      <c r="H703" s="180" t="e">
        <f>(H628/H612)*AL60</f>
        <v>#DIV/0!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 t="e">
        <f>(G625/G612)*AM77</f>
        <v>#DIV/0!</v>
      </c>
      <c r="H704" s="180" t="e">
        <f>(H628/H612)*AM60</f>
        <v>#DIV/0!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 t="e">
        <f>(G625/G612)*AN77</f>
        <v>#DIV/0!</v>
      </c>
      <c r="H705" s="180" t="e">
        <f>(H628/H612)*AN60</f>
        <v>#DIV/0!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 t="e">
        <f>(G625/G612)*AO77</f>
        <v>#DIV/0!</v>
      </c>
      <c r="H706" s="180" t="e">
        <f>(H628/H612)*AO60</f>
        <v>#DIV/0!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 t="e">
        <f>(G625/G612)*AP77</f>
        <v>#DIV/0!</v>
      </c>
      <c r="H707" s="180" t="e">
        <f>(H628/H612)*AP60</f>
        <v>#DIV/0!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 t="e">
        <f>(G625/G612)*AQ77</f>
        <v>#DIV/0!</v>
      </c>
      <c r="H708" s="180" t="e">
        <f>(H628/H612)*AQ60</f>
        <v>#DIV/0!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 t="e">
        <f>(G625/G612)*AR77</f>
        <v>#DIV/0!</v>
      </c>
      <c r="H709" s="180" t="e">
        <f>(H628/H612)*AR60</f>
        <v>#DIV/0!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 t="e">
        <f>(G625/G612)*AS77</f>
        <v>#DIV/0!</v>
      </c>
      <c r="H710" s="180" t="e">
        <f>(H628/H612)*AS60</f>
        <v>#DIV/0!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 t="e">
        <f>(G625/G612)*AT77</f>
        <v>#DIV/0!</v>
      </c>
      <c r="H711" s="180" t="e">
        <f>(H628/H612)*AT60</f>
        <v>#DIV/0!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 t="e">
        <f>(G625/G612)*AU77</f>
        <v>#DIV/0!</v>
      </c>
      <c r="H712" s="180" t="e">
        <f>(H628/H612)*AU60</f>
        <v>#DIV/0!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 t="e">
        <f>(G625/G612)*AV77</f>
        <v>#DIV/0!</v>
      </c>
      <c r="H713" s="180" t="e">
        <f>(H628/H612)*AV60</f>
        <v>#DIV/0!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" customHeight="1" x14ac:dyDescent="0.25">
      <c r="C715" s="180">
        <f>SUM(C614:C647)+SUM(C668:C713)</f>
        <v>39346172.810000002</v>
      </c>
      <c r="D715" s="180">
        <f>SUM(D616:D647)+SUM(D668:D713)</f>
        <v>3002955</v>
      </c>
      <c r="E715" s="180">
        <f>SUM(E624:E647)+SUM(E668:E713)</f>
        <v>7854984.0501862857</v>
      </c>
      <c r="F715" s="180">
        <f>SUM(F625:F648)+SUM(F668:F713)</f>
        <v>669995.07108474406</v>
      </c>
      <c r="G715" s="180" t="e">
        <f>SUM(G626:G647)+SUM(G668:G713)</f>
        <v>#DIV/0!</v>
      </c>
      <c r="H715" s="180" t="e">
        <f>SUM(H629:H647)+SUM(H668:H713)</f>
        <v>#DIV/0!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" customHeight="1" x14ac:dyDescent="0.25">
      <c r="C716" s="180">
        <f>CE71</f>
        <v>39346172.810000002</v>
      </c>
      <c r="D716" s="180">
        <f>D615</f>
        <v>3002955</v>
      </c>
      <c r="E716" s="180">
        <f>E623</f>
        <v>7854984.0501862857</v>
      </c>
      <c r="F716" s="180">
        <f>F624</f>
        <v>669995.07108474406</v>
      </c>
      <c r="G716" s="180">
        <f>G625</f>
        <v>1733378.6300530189</v>
      </c>
      <c r="H716" s="180" t="e">
        <f>H628</f>
        <v>#DIV/0!</v>
      </c>
      <c r="I716" s="180" t="e">
        <f>I629</f>
        <v>#DIV/0!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17782536.359999999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148*2018*A</v>
      </c>
      <c r="B722" s="276">
        <f>ROUND(C165,0)</f>
        <v>1217319</v>
      </c>
      <c r="C722" s="276">
        <f>ROUND(C166,0)</f>
        <v>75537</v>
      </c>
      <c r="D722" s="276">
        <f>ROUND(C167,0)</f>
        <v>330579</v>
      </c>
      <c r="E722" s="276">
        <f>ROUND(C168,0)</f>
        <v>746304</v>
      </c>
      <c r="F722" s="276">
        <f>ROUND(C169,0)</f>
        <v>67712</v>
      </c>
      <c r="G722" s="276">
        <f>ROUND(C170,0)</f>
        <v>16118</v>
      </c>
      <c r="H722" s="276">
        <f>ROUND(C171+C172,0)</f>
        <v>155766</v>
      </c>
      <c r="I722" s="276">
        <f>ROUND(C175,0)</f>
        <v>0</v>
      </c>
      <c r="J722" s="276">
        <f>ROUND(C176,0)</f>
        <v>392088</v>
      </c>
      <c r="K722" s="276">
        <f>ROUND(C179,0)</f>
        <v>120920</v>
      </c>
      <c r="L722" s="276">
        <f>ROUND(C180,0)</f>
        <v>85585</v>
      </c>
      <c r="M722" s="276">
        <f>ROUND(C183,0)</f>
        <v>23250</v>
      </c>
      <c r="N722" s="276">
        <f>ROUND(C184,0)</f>
        <v>1083127</v>
      </c>
      <c r="O722" s="276">
        <f>ROUND(C185,0)</f>
        <v>0</v>
      </c>
      <c r="P722" s="276">
        <f>ROUND(C188,0)</f>
        <v>0</v>
      </c>
      <c r="Q722" s="276">
        <f>ROUND(C189,0)</f>
        <v>4453</v>
      </c>
      <c r="R722" s="276">
        <f>ROUND(B195,0)</f>
        <v>3225342</v>
      </c>
      <c r="S722" s="276">
        <f>ROUND(C195,0)</f>
        <v>3225880</v>
      </c>
      <c r="T722" s="276">
        <f>ROUND(D195,0)</f>
        <v>0</v>
      </c>
      <c r="U722" s="276">
        <f>ROUND(B196,0)</f>
        <v>0</v>
      </c>
      <c r="V722" s="276">
        <f>ROUND(C196,0)</f>
        <v>0</v>
      </c>
      <c r="W722" s="276">
        <f>ROUND(D196,0)</f>
        <v>0</v>
      </c>
      <c r="X722" s="276">
        <f>ROUND(B197,0)</f>
        <v>41895358</v>
      </c>
      <c r="Y722" s="276">
        <f>ROUND(C197,0)</f>
        <v>0</v>
      </c>
      <c r="Z722" s="276">
        <f>ROUND(D197,0)</f>
        <v>33996609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5127869</v>
      </c>
      <c r="AH722" s="276">
        <f>ROUND(C200,0)</f>
        <v>0</v>
      </c>
      <c r="AI722" s="276">
        <f>ROUND(D200,0)</f>
        <v>4211510</v>
      </c>
      <c r="AJ722" s="276">
        <f>ROUND(B201,0)</f>
        <v>1489580</v>
      </c>
      <c r="AK722" s="276">
        <f>ROUND(C201,0)</f>
        <v>0</v>
      </c>
      <c r="AL722" s="276">
        <f>ROUND(D201,0)</f>
        <v>1398392</v>
      </c>
      <c r="AM722" s="276">
        <f>ROUND(B202,0)</f>
        <v>354227</v>
      </c>
      <c r="AN722" s="276">
        <f>ROUND(C202,0)</f>
        <v>0</v>
      </c>
      <c r="AO722" s="276">
        <f>ROUND(D202,0)</f>
        <v>339234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144501</v>
      </c>
      <c r="AW722" s="276">
        <f>ROUND(C209,0)</f>
        <v>0</v>
      </c>
      <c r="AX722" s="276">
        <f>ROUND(D209,0)</f>
        <v>141643</v>
      </c>
      <c r="AY722" s="276">
        <f>ROUND(B210,0)</f>
        <v>17389656</v>
      </c>
      <c r="AZ722" s="276">
        <f>ROUND(C210,0)</f>
        <v>0</v>
      </c>
      <c r="BA722" s="276">
        <f>ROUND(D210,0)</f>
        <v>17238312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3706699</v>
      </c>
      <c r="BI722" s="276">
        <f>ROUND(C213,0)</f>
        <v>0</v>
      </c>
      <c r="BJ722" s="276">
        <f>ROUND(D213,0)</f>
        <v>3605715</v>
      </c>
      <c r="BK722" s="276">
        <f>ROUND(B214,0)</f>
        <v>1211522</v>
      </c>
      <c r="BL722" s="276">
        <f>ROUND(C214,0)</f>
        <v>0</v>
      </c>
      <c r="BM722" s="276">
        <f>ROUND(D214,0)</f>
        <v>1198977</v>
      </c>
      <c r="BN722" s="276">
        <f>ROUND(B215,0)</f>
        <v>56203</v>
      </c>
      <c r="BO722" s="276">
        <f>ROUND(C215,0)</f>
        <v>0</v>
      </c>
      <c r="BP722" s="276">
        <f>ROUND(D215,0)</f>
        <v>52637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44908612</v>
      </c>
      <c r="BU722" s="276">
        <f>ROUND(C224,0)</f>
        <v>2498772</v>
      </c>
      <c r="BV722" s="276">
        <f>ROUND(C225,0)</f>
        <v>0</v>
      </c>
      <c r="BW722" s="276">
        <f>ROUND(C226,0)</f>
        <v>0</v>
      </c>
      <c r="BX722" s="276">
        <f>ROUND(C227,0)</f>
        <v>0</v>
      </c>
      <c r="BY722" s="276">
        <f>ROUND(C228,0)</f>
        <v>46639512</v>
      </c>
      <c r="BZ722" s="276">
        <f>ROUND(C231,0)</f>
        <v>0</v>
      </c>
      <c r="CA722" s="276">
        <f>ROUND(C233,0)</f>
        <v>0</v>
      </c>
      <c r="CB722" s="276">
        <f>ROUND(C234,0)</f>
        <v>0</v>
      </c>
      <c r="CC722" s="276">
        <f>ROUND(C238+C239,0)</f>
        <v>0</v>
      </c>
      <c r="CD722" s="276">
        <f>D221</f>
        <v>3182256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148*2018*A</v>
      </c>
      <c r="B726" s="276">
        <f>ROUND(C111,0)</f>
        <v>463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19822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10</v>
      </c>
      <c r="K726" s="276">
        <f>ROUND(C117,0)</f>
        <v>70</v>
      </c>
      <c r="L726" s="276">
        <f>ROUND(C118,0)</f>
        <v>0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80</v>
      </c>
      <c r="W726" s="276">
        <f>ROUND(C129,0)</f>
        <v>0</v>
      </c>
      <c r="X726" s="276">
        <f>ROUND(B138,0)</f>
        <v>221</v>
      </c>
      <c r="Y726" s="276">
        <f>ROUND(B139,0)</f>
        <v>7921</v>
      </c>
      <c r="Z726" s="276">
        <f>ROUND(B140,0)</f>
        <v>0</v>
      </c>
      <c r="AA726" s="276">
        <f>ROUND(B141,0)</f>
        <v>60055883</v>
      </c>
      <c r="AB726" s="276">
        <f>ROUND(B142,0)</f>
        <v>0</v>
      </c>
      <c r="AC726" s="276">
        <f>ROUND(C138,0)</f>
        <v>9</v>
      </c>
      <c r="AD726" s="276">
        <f>ROUND(C139,0)</f>
        <v>532</v>
      </c>
      <c r="AE726" s="276">
        <f>ROUND(C140,0)</f>
        <v>0</v>
      </c>
      <c r="AF726" s="276">
        <f>ROUND(C141,0)</f>
        <v>3328092</v>
      </c>
      <c r="AG726" s="276">
        <f>ROUND(C142,0)</f>
        <v>0</v>
      </c>
      <c r="AH726" s="276">
        <f>ROUND(D138,0)</f>
        <v>233</v>
      </c>
      <c r="AI726" s="276">
        <f>ROUND(D139,0)</f>
        <v>11369</v>
      </c>
      <c r="AJ726" s="276">
        <f>ROUND(D140,0)</f>
        <v>0</v>
      </c>
      <c r="AK726" s="276">
        <f>ROUND(D141,0)</f>
        <v>71681123</v>
      </c>
      <c r="AL726" s="276">
        <f>ROUND(D142,0)</f>
        <v>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148*2018*A</v>
      </c>
      <c r="B730" s="276">
        <f>ROUND(C250,0)</f>
        <v>-69626</v>
      </c>
      <c r="C730" s="276">
        <f>ROUND(C251,0)</f>
        <v>0</v>
      </c>
      <c r="D730" s="276">
        <f>ROUND(C252,0)</f>
        <v>16121649</v>
      </c>
      <c r="E730" s="276">
        <f>ROUND(C253,0)</f>
        <v>5434985</v>
      </c>
      <c r="F730" s="276">
        <f>ROUND(C254,0)</f>
        <v>0</v>
      </c>
      <c r="G730" s="276">
        <f>ROUND(C255,0)</f>
        <v>5851</v>
      </c>
      <c r="H730" s="276">
        <f>ROUND(C256,0)</f>
        <v>0</v>
      </c>
      <c r="I730" s="276">
        <f>ROUND(C257,0)</f>
        <v>387805</v>
      </c>
      <c r="J730" s="276">
        <f>ROUND(C258,0)</f>
        <v>10800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6451222</v>
      </c>
      <c r="P730" s="276">
        <f>ROUND(C268,0)</f>
        <v>0</v>
      </c>
      <c r="Q730" s="276">
        <f>ROUND(C269,0)</f>
        <v>7898749</v>
      </c>
      <c r="R730" s="276">
        <f>ROUND(C270,0)</f>
        <v>0</v>
      </c>
      <c r="S730" s="276">
        <f>ROUND(C271,0)</f>
        <v>0</v>
      </c>
      <c r="T730" s="276">
        <f>ROUND(C272,0)</f>
        <v>1007547</v>
      </c>
      <c r="U730" s="276">
        <f>ROUND(C273,0)</f>
        <v>14993</v>
      </c>
      <c r="V730" s="276">
        <f>ROUND(C274,0)</f>
        <v>0</v>
      </c>
      <c r="W730" s="276">
        <f>ROUND(C275,0)</f>
        <v>0</v>
      </c>
      <c r="X730" s="276">
        <f>ROUND(C276,0)</f>
        <v>271298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-3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1440121</v>
      </c>
      <c r="AI730" s="276">
        <f>ROUND(C306,0)</f>
        <v>1055444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1866978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22524091</v>
      </c>
      <c r="AZ730" s="276">
        <f>ROUND(C327,0)</f>
        <v>0</v>
      </c>
      <c r="BA730" s="276">
        <f>ROUND(C328,0)</f>
        <v>0</v>
      </c>
      <c r="BB730" s="276">
        <f>ROUND(C332,0)</f>
        <v>0</v>
      </c>
      <c r="BC730" s="276"/>
      <c r="BD730" s="276"/>
      <c r="BE730" s="276">
        <f>ROUND(C337,0)</f>
        <v>-763930</v>
      </c>
      <c r="BF730" s="276">
        <f>ROUND(C336,0)</f>
        <v>0</v>
      </c>
      <c r="BG730" s="276"/>
      <c r="BH730" s="276"/>
      <c r="BI730" s="276">
        <f>ROUND(CE60,2)</f>
        <v>224.25</v>
      </c>
      <c r="BJ730" s="276">
        <f>ROUND(C359,0)</f>
        <v>135065098</v>
      </c>
      <c r="BK730" s="276">
        <f>ROUND(C360,0)</f>
        <v>0</v>
      </c>
      <c r="BL730" s="276">
        <f>ROUND(C364,0)</f>
        <v>94046896</v>
      </c>
      <c r="BM730" s="276">
        <f>ROUND(C365,0)</f>
        <v>0</v>
      </c>
      <c r="BN730" s="276">
        <f>ROUND(C366,0)</f>
        <v>0</v>
      </c>
      <c r="BO730" s="276">
        <f>ROUND(C370,0)</f>
        <v>78014</v>
      </c>
      <c r="BP730" s="276">
        <f>ROUND(C371,0)</f>
        <v>0</v>
      </c>
      <c r="BQ730" s="276">
        <f>ROUND(C378,0)</f>
        <v>18411120</v>
      </c>
      <c r="BR730" s="276">
        <f>ROUND(C379,0)</f>
        <v>2609335</v>
      </c>
      <c r="BS730" s="276">
        <f>ROUND(C380,0)</f>
        <v>713029</v>
      </c>
      <c r="BT730" s="276">
        <f>ROUND(C381,0)</f>
        <v>2041752</v>
      </c>
      <c r="BU730" s="276">
        <f>ROUND(C382,0)</f>
        <v>612295</v>
      </c>
      <c r="BV730" s="276">
        <f>ROUND(C383,0)</f>
        <v>6531300</v>
      </c>
      <c r="BW730" s="276">
        <f>ROUND(C384,0)</f>
        <v>2710471</v>
      </c>
      <c r="BX730" s="276">
        <f>ROUND(C385,0)</f>
        <v>392088</v>
      </c>
      <c r="BY730" s="276">
        <f>ROUND(C386,0)</f>
        <v>206505</v>
      </c>
      <c r="BZ730" s="276">
        <f>ROUND(C387,0)</f>
        <v>1106377</v>
      </c>
      <c r="CA730" s="276">
        <f>ROUND(C388,0)</f>
        <v>4453</v>
      </c>
      <c r="CB730" s="276">
        <f>C363</f>
        <v>3182256</v>
      </c>
      <c r="CC730" s="276">
        <f>ROUND(C389,0)</f>
        <v>4007452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148*2018*6010*A</v>
      </c>
      <c r="B734" s="276">
        <f>ROUND(C59,0)</f>
        <v>1037</v>
      </c>
      <c r="C734" s="276">
        <f>ROUND(C60,2)</f>
        <v>10.38</v>
      </c>
      <c r="D734" s="276">
        <f>ROUND(C61,0)</f>
        <v>660139</v>
      </c>
      <c r="E734" s="276">
        <f>ROUND(C62,0)</f>
        <v>75509</v>
      </c>
      <c r="F734" s="276">
        <f>ROUND(C63,0)</f>
        <v>0</v>
      </c>
      <c r="G734" s="276">
        <f>ROUND(C64,0)</f>
        <v>3601</v>
      </c>
      <c r="H734" s="276">
        <f>ROUND(C65,0)</f>
        <v>0</v>
      </c>
      <c r="I734" s="276">
        <f>ROUND(C66,0)</f>
        <v>0</v>
      </c>
      <c r="J734" s="276">
        <f>ROUND(C67,0)</f>
        <v>121828</v>
      </c>
      <c r="K734" s="276">
        <f>ROUND(C68,0)</f>
        <v>0</v>
      </c>
      <c r="L734" s="276">
        <f>ROUND(C69,0)</f>
        <v>220</v>
      </c>
      <c r="M734" s="276">
        <f>ROUND(C70,0)</f>
        <v>0</v>
      </c>
      <c r="N734" s="276">
        <f>ROUND(C75,0)</f>
        <v>5899846</v>
      </c>
      <c r="O734" s="276">
        <f>ROUND(C73,0)</f>
        <v>5899846</v>
      </c>
      <c r="P734" s="276">
        <f>IF(C76&gt;0,ROUND(C76,0),0)</f>
        <v>3627</v>
      </c>
      <c r="Q734" s="276">
        <f>IF(C77&gt;0,ROUND(C77,0),0)</f>
        <v>0</v>
      </c>
      <c r="R734" s="276">
        <f>IF(C78&gt;0,ROUND(C78,0),0)</f>
        <v>1373</v>
      </c>
      <c r="S734" s="276">
        <f>IF(C79&gt;0,ROUND(C79,0),0)</f>
        <v>47993</v>
      </c>
      <c r="T734" s="276">
        <f>IF(C80&gt;0,ROUND(C80,2),0)</f>
        <v>10.38</v>
      </c>
      <c r="U734" s="276"/>
      <c r="V734" s="276"/>
      <c r="W734" s="276"/>
      <c r="X734" s="276"/>
      <c r="Y734" s="276" t="e">
        <f>IF(M668&lt;&gt;0,ROUND(M668,0),0)</f>
        <v>#DIV/0!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148*2018*6030*A</v>
      </c>
      <c r="B735" s="276">
        <f>ROUND(D59,0)</f>
        <v>18785</v>
      </c>
      <c r="C735" s="278">
        <f>ROUND(D60,2)</f>
        <v>96.95</v>
      </c>
      <c r="D735" s="276">
        <f>ROUND(D61,0)</f>
        <v>7493341</v>
      </c>
      <c r="E735" s="276">
        <f>ROUND(D62,0)</f>
        <v>792563</v>
      </c>
      <c r="F735" s="276">
        <f>ROUND(D63,0)</f>
        <v>553880</v>
      </c>
      <c r="G735" s="276">
        <f>ROUND(D64,0)</f>
        <v>1008399</v>
      </c>
      <c r="H735" s="276">
        <f>ROUND(D65,0)</f>
        <v>0</v>
      </c>
      <c r="I735" s="276">
        <f>ROUND(D66,0)</f>
        <v>560544</v>
      </c>
      <c r="J735" s="276">
        <f>ROUND(D67,0)</f>
        <v>573198</v>
      </c>
      <c r="K735" s="276">
        <f>ROUND(D68,0)</f>
        <v>207955</v>
      </c>
      <c r="L735" s="276">
        <f>ROUND(D69,0)</f>
        <v>24904</v>
      </c>
      <c r="M735" s="276">
        <f>ROUND(D70,0)</f>
        <v>0</v>
      </c>
      <c r="N735" s="276">
        <f>ROUND(D75,0)</f>
        <v>70913287</v>
      </c>
      <c r="O735" s="276">
        <f>ROUND(D73,0)</f>
        <v>70913287</v>
      </c>
      <c r="P735" s="276">
        <f>IF(D76&gt;0,ROUND(D76,0),0)</f>
        <v>17065</v>
      </c>
      <c r="Q735" s="276">
        <f>IF(D77&gt;0,ROUND(D77,0),0)</f>
        <v>0</v>
      </c>
      <c r="R735" s="276">
        <f>IF(D78&gt;0,ROUND(D78,0),0)</f>
        <v>24874</v>
      </c>
      <c r="S735" s="276">
        <f>IF(D79&gt;0,ROUND(D79,0),0)</f>
        <v>128620</v>
      </c>
      <c r="T735" s="278">
        <f>IF(D80&gt;0,ROUND(D80,2),0)</f>
        <v>96.95</v>
      </c>
      <c r="U735" s="276"/>
      <c r="V735" s="277"/>
      <c r="W735" s="276"/>
      <c r="X735" s="276"/>
      <c r="Y735" s="276" t="e">
        <f t="shared" ref="Y735:Y779" si="21">IF(M669&lt;&gt;0,ROUND(M669,0),0)</f>
        <v>#DIV/0!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148*2018*6070*A</v>
      </c>
      <c r="B736" s="276">
        <f>ROUND(E59,0)</f>
        <v>0</v>
      </c>
      <c r="C736" s="278">
        <f>ROUND(E60,2)</f>
        <v>0</v>
      </c>
      <c r="D736" s="276">
        <f>ROUND(E61,0)</f>
        <v>0</v>
      </c>
      <c r="E736" s="276">
        <f>ROUND(E62,0)</f>
        <v>0</v>
      </c>
      <c r="F736" s="276">
        <f>ROUND(E63,0)</f>
        <v>0</v>
      </c>
      <c r="G736" s="276">
        <f>ROUND(E64,0)</f>
        <v>0</v>
      </c>
      <c r="H736" s="276">
        <f>ROUND(E65,0)</f>
        <v>0</v>
      </c>
      <c r="I736" s="276">
        <f>ROUND(E66,0)</f>
        <v>0</v>
      </c>
      <c r="J736" s="276">
        <f>ROUND(E67,0)</f>
        <v>0</v>
      </c>
      <c r="K736" s="276">
        <f>ROUND(E68,0)</f>
        <v>0</v>
      </c>
      <c r="L736" s="276">
        <f>ROUND(E69,0)</f>
        <v>0</v>
      </c>
      <c r="M736" s="276">
        <f>ROUND(E70,0)</f>
        <v>0</v>
      </c>
      <c r="N736" s="276">
        <f>ROUND(E75,0)</f>
        <v>0</v>
      </c>
      <c r="O736" s="276">
        <f>ROUND(E73,0)</f>
        <v>0</v>
      </c>
      <c r="P736" s="276">
        <f>IF(E76&gt;0,ROUND(E76,0),0)</f>
        <v>0</v>
      </c>
      <c r="Q736" s="276">
        <f>IF(E77&gt;0,ROUND(E77,0),0)</f>
        <v>0</v>
      </c>
      <c r="R736" s="276">
        <f>IF(E78&gt;0,ROUND(E78,0),0)</f>
        <v>0</v>
      </c>
      <c r="S736" s="276">
        <f>IF(E79&gt;0,ROUND(E79,0),0)</f>
        <v>0</v>
      </c>
      <c r="T736" s="278">
        <f>IF(E80&gt;0,ROUND(E80,2),0)</f>
        <v>0</v>
      </c>
      <c r="U736" s="276"/>
      <c r="V736" s="277"/>
      <c r="W736" s="276"/>
      <c r="X736" s="276"/>
      <c r="Y736" s="276" t="e">
        <f t="shared" si="21"/>
        <v>#DIV/0!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148*2018*6100*A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 t="e">
        <f t="shared" si="21"/>
        <v>#DIV/0!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148*2018*6120*A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 t="e">
        <f t="shared" si="21"/>
        <v>#DIV/0!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148*2018*6140*A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 t="e">
        <f t="shared" si="21"/>
        <v>#DIV/0!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148*2018*6150*A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 t="e">
        <f t="shared" si="21"/>
        <v>#DIV/0!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148*2018*6170*A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 t="e">
        <f t="shared" si="21"/>
        <v>#DIV/0!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148*2018*6200*A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 t="e">
        <f t="shared" si="21"/>
        <v>#DIV/0!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148*2018*6210*A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 t="e">
        <f t="shared" si="21"/>
        <v>#DIV/0!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148*2018*6330*A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 t="e">
        <f t="shared" si="21"/>
        <v>#DIV/0!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148*2018*6400*A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 t="e">
        <f t="shared" si="21"/>
        <v>#DIV/0!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148*2018*7010*A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 t="e">
        <f t="shared" si="21"/>
        <v>#DIV/0!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148*2018*7020*A</v>
      </c>
      <c r="B747" s="276">
        <f>ROUND(P59,0)</f>
        <v>0</v>
      </c>
      <c r="C747" s="278">
        <f>ROUND(P60,2)</f>
        <v>0</v>
      </c>
      <c r="D747" s="276">
        <f>ROUND(P61,0)</f>
        <v>0</v>
      </c>
      <c r="E747" s="276">
        <f>ROUND(P62,0)</f>
        <v>0</v>
      </c>
      <c r="F747" s="276">
        <f>ROUND(P63,0)</f>
        <v>0</v>
      </c>
      <c r="G747" s="276">
        <f>ROUND(P64,0)</f>
        <v>0</v>
      </c>
      <c r="H747" s="276">
        <f>ROUND(P65,0)</f>
        <v>0</v>
      </c>
      <c r="I747" s="276">
        <f>ROUND(P66,0)</f>
        <v>0</v>
      </c>
      <c r="J747" s="276">
        <f>ROUND(P67,0)</f>
        <v>0</v>
      </c>
      <c r="K747" s="276">
        <f>ROUND(P68,0)</f>
        <v>0</v>
      </c>
      <c r="L747" s="276">
        <f>ROUND(P69,0)</f>
        <v>0</v>
      </c>
      <c r="M747" s="276">
        <f>ROUND(P70,0)</f>
        <v>0</v>
      </c>
      <c r="N747" s="276">
        <f>ROUND(P75,0)</f>
        <v>0</v>
      </c>
      <c r="O747" s="276">
        <f>ROUND(P73,0)</f>
        <v>0</v>
      </c>
      <c r="P747" s="276">
        <f>IF(P76&gt;0,ROUND(P76,0),0)</f>
        <v>0</v>
      </c>
      <c r="Q747" s="276">
        <f>IF(P77&gt;0,ROUND(P77,0),0)</f>
        <v>0</v>
      </c>
      <c r="R747" s="276">
        <f>IF(P78&gt;0,ROUND(P78,0),0)</f>
        <v>0</v>
      </c>
      <c r="S747" s="276">
        <f>IF(P79&gt;0,ROUND(P79,0),0)</f>
        <v>0</v>
      </c>
      <c r="T747" s="278">
        <f>IF(P80&gt;0,ROUND(P80,2),0)</f>
        <v>0</v>
      </c>
      <c r="U747" s="276"/>
      <c r="V747" s="277"/>
      <c r="W747" s="276"/>
      <c r="X747" s="276"/>
      <c r="Y747" s="276" t="e">
        <f t="shared" si="21"/>
        <v>#DIV/0!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148*2018*7030*A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 t="e">
        <f t="shared" si="21"/>
        <v>#DIV/0!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148*2018*7040*A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 t="e">
        <f t="shared" si="21"/>
        <v>#DIV/0!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148*2018*7050*A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0</v>
      </c>
      <c r="H750" s="276">
        <f>ROUND(S65,0)</f>
        <v>0</v>
      </c>
      <c r="I750" s="276">
        <f>ROUND(S66,0)</f>
        <v>0</v>
      </c>
      <c r="J750" s="276">
        <f>ROUND(S67,0)</f>
        <v>48536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1445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1920</v>
      </c>
      <c r="T750" s="278">
        <f>IF(S80&gt;0,ROUND(S80,2),0)</f>
        <v>0</v>
      </c>
      <c r="U750" s="276"/>
      <c r="V750" s="277"/>
      <c r="W750" s="276"/>
      <c r="X750" s="276"/>
      <c r="Y750" s="276" t="e">
        <f t="shared" si="21"/>
        <v>#DIV/0!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148*2018*7060*A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 t="e">
        <f t="shared" si="21"/>
        <v>#DIV/0!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148*2018*7070*A</v>
      </c>
      <c r="B752" s="276">
        <f>ROUND(U59,0)</f>
        <v>118083</v>
      </c>
      <c r="C752" s="278">
        <f>ROUND(U60,2)</f>
        <v>5.34</v>
      </c>
      <c r="D752" s="276">
        <f>ROUND(U61,0)</f>
        <v>355802</v>
      </c>
      <c r="E752" s="276">
        <f>ROUND(U62,0)</f>
        <v>46660</v>
      </c>
      <c r="F752" s="276">
        <f>ROUND(U63,0)</f>
        <v>32375</v>
      </c>
      <c r="G752" s="276">
        <f>ROUND(U64,0)</f>
        <v>113982</v>
      </c>
      <c r="H752" s="276">
        <f>ROUND(U65,0)</f>
        <v>56</v>
      </c>
      <c r="I752" s="276">
        <f>ROUND(U66,0)</f>
        <v>495795</v>
      </c>
      <c r="J752" s="276">
        <f>ROUND(U67,0)</f>
        <v>16660</v>
      </c>
      <c r="K752" s="276">
        <f>ROUND(U68,0)</f>
        <v>0</v>
      </c>
      <c r="L752" s="276">
        <f>ROUND(U69,0)</f>
        <v>72549</v>
      </c>
      <c r="M752" s="276">
        <f>ROUND(U70,0)</f>
        <v>0</v>
      </c>
      <c r="N752" s="276">
        <f>ROUND(U75,0)</f>
        <v>10247839</v>
      </c>
      <c r="O752" s="276">
        <f>ROUND(U73,0)</f>
        <v>10247839</v>
      </c>
      <c r="P752" s="276">
        <f>IF(U76&gt;0,ROUND(U76,0),0)</f>
        <v>496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1920</v>
      </c>
      <c r="T752" s="278">
        <f>IF(U80&gt;0,ROUND(U80,2),0)</f>
        <v>0</v>
      </c>
      <c r="U752" s="276"/>
      <c r="V752" s="277"/>
      <c r="W752" s="276"/>
      <c r="X752" s="276"/>
      <c r="Y752" s="276" t="e">
        <f t="shared" si="21"/>
        <v>#DIV/0!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148*2018*7110*A</v>
      </c>
      <c r="B753" s="276">
        <f>ROUND(V59,0)</f>
        <v>525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10849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133373</v>
      </c>
      <c r="O753" s="276">
        <f>ROUND(V73,0)</f>
        <v>133373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 t="e">
        <f t="shared" si="21"/>
        <v>#DIV/0!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148*2018*7120*A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12159</v>
      </c>
      <c r="J754" s="276">
        <f>ROUND(W67,0)</f>
        <v>0</v>
      </c>
      <c r="K754" s="276">
        <f>ROUND(W68,0)</f>
        <v>0</v>
      </c>
      <c r="L754" s="276">
        <f>ROUND(W69,0)</f>
        <v>1988</v>
      </c>
      <c r="M754" s="276">
        <f>ROUND(W70,0)</f>
        <v>0</v>
      </c>
      <c r="N754" s="276">
        <f>ROUND(W75,0)</f>
        <v>63223</v>
      </c>
      <c r="O754" s="276">
        <f>ROUND(W73,0)</f>
        <v>63223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 t="e">
        <f t="shared" si="21"/>
        <v>#DIV/0!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148*2018*7130*A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338639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1471322</v>
      </c>
      <c r="O755" s="276">
        <f>ROUND(X73,0)</f>
        <v>1471322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 t="e">
        <f t="shared" si="21"/>
        <v>#DIV/0!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148*2018*7140*A</v>
      </c>
      <c r="B756" s="276">
        <f>ROUND(Y59,0)</f>
        <v>3362</v>
      </c>
      <c r="C756" s="278">
        <f>ROUND(Y60,2)</f>
        <v>2.17</v>
      </c>
      <c r="D756" s="276">
        <f>ROUND(Y61,0)</f>
        <v>220218</v>
      </c>
      <c r="E756" s="276">
        <f>ROUND(Y62,0)</f>
        <v>25255</v>
      </c>
      <c r="F756" s="276">
        <f>ROUND(Y63,0)</f>
        <v>50106</v>
      </c>
      <c r="G756" s="276">
        <f>ROUND(Y64,0)</f>
        <v>2587</v>
      </c>
      <c r="H756" s="276">
        <f>ROUND(Y65,0)</f>
        <v>0</v>
      </c>
      <c r="I756" s="276">
        <f>ROUND(Y66,0)</f>
        <v>86230</v>
      </c>
      <c r="J756" s="276">
        <f>ROUND(Y67,0)</f>
        <v>14611</v>
      </c>
      <c r="K756" s="276">
        <f>ROUND(Y68,0)</f>
        <v>0</v>
      </c>
      <c r="L756" s="276">
        <f>ROUND(Y69,0)</f>
        <v>1027</v>
      </c>
      <c r="M756" s="276">
        <f>ROUND(Y70,0)</f>
        <v>0</v>
      </c>
      <c r="N756" s="276">
        <f>ROUND(Y75,0)</f>
        <v>749978</v>
      </c>
      <c r="O756" s="276">
        <f>ROUND(Y73,0)</f>
        <v>749978</v>
      </c>
      <c r="P756" s="276">
        <f>IF(Y76&gt;0,ROUND(Y76,0),0)</f>
        <v>435</v>
      </c>
      <c r="Q756" s="276">
        <f>IF(Y77&gt;0,ROUND(Y77,0),0)</f>
        <v>0</v>
      </c>
      <c r="R756" s="276">
        <f>IF(Y78&gt;0,ROUND(Y78,0),0)</f>
        <v>0</v>
      </c>
      <c r="S756" s="276">
        <f>IF(Y79&gt;0,ROUND(Y79,0),0)</f>
        <v>1920</v>
      </c>
      <c r="T756" s="278">
        <f>IF(Y80&gt;0,ROUND(Y80,2),0)</f>
        <v>0</v>
      </c>
      <c r="U756" s="276"/>
      <c r="V756" s="277"/>
      <c r="W756" s="276"/>
      <c r="X756" s="276"/>
      <c r="Y756" s="276" t="e">
        <f t="shared" si="21"/>
        <v>#DIV/0!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148*2018*7150*A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 t="e">
        <f t="shared" si="21"/>
        <v>#DIV/0!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148*2018*7160*A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 t="e">
        <f t="shared" si="21"/>
        <v>#DIV/0!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148*2018*7170*A</v>
      </c>
      <c r="B759" s="276"/>
      <c r="C759" s="278">
        <f>ROUND(AB60,2)</f>
        <v>9.8000000000000007</v>
      </c>
      <c r="D759" s="276">
        <f>ROUND(AB61,0)</f>
        <v>1109882</v>
      </c>
      <c r="E759" s="276">
        <f>ROUND(AB62,0)</f>
        <v>118345</v>
      </c>
      <c r="F759" s="276">
        <f>ROUND(AB63,0)</f>
        <v>0</v>
      </c>
      <c r="G759" s="276">
        <f>ROUND(AB64,0)</f>
        <v>33992</v>
      </c>
      <c r="H759" s="276">
        <f>ROUND(AB65,0)</f>
        <v>0</v>
      </c>
      <c r="I759" s="276">
        <f>ROUND(AB66,0)</f>
        <v>1718370</v>
      </c>
      <c r="J759" s="276">
        <f>ROUND(AB67,0)</f>
        <v>50988</v>
      </c>
      <c r="K759" s="276">
        <f>ROUND(AB68,0)</f>
        <v>0</v>
      </c>
      <c r="L759" s="276">
        <f>ROUND(AB69,0)</f>
        <v>17978</v>
      </c>
      <c r="M759" s="276">
        <f>ROUND(AB70,0)</f>
        <v>0</v>
      </c>
      <c r="N759" s="276">
        <f>ROUND(AB75,0)</f>
        <v>20272198</v>
      </c>
      <c r="O759" s="276">
        <f>ROUND(AB73,0)</f>
        <v>20272198</v>
      </c>
      <c r="P759" s="276">
        <f>IF(AB76&gt;0,ROUND(AB76,0),0)</f>
        <v>1518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 t="e">
        <f t="shared" si="21"/>
        <v>#DIV/0!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148*2018*7180*A</v>
      </c>
      <c r="B760" s="276">
        <f>ROUND(AC59,0)</f>
        <v>58351</v>
      </c>
      <c r="C760" s="278">
        <f>ROUND(AC60,2)</f>
        <v>20.09</v>
      </c>
      <c r="D760" s="276">
        <f>ROUND(AC61,0)</f>
        <v>1355946</v>
      </c>
      <c r="E760" s="276">
        <f>ROUND(AC62,0)</f>
        <v>172021</v>
      </c>
      <c r="F760" s="276">
        <f>ROUND(AC63,0)</f>
        <v>0</v>
      </c>
      <c r="G760" s="276">
        <f>ROUND(AC64,0)</f>
        <v>178064</v>
      </c>
      <c r="H760" s="276">
        <f>ROUND(AC65,0)</f>
        <v>35</v>
      </c>
      <c r="I760" s="276">
        <f>ROUND(AC66,0)</f>
        <v>124</v>
      </c>
      <c r="J760" s="276">
        <f>ROUND(AC67,0)</f>
        <v>28819</v>
      </c>
      <c r="K760" s="276">
        <f>ROUND(AC68,0)</f>
        <v>82073</v>
      </c>
      <c r="L760" s="276">
        <f>ROUND(AC69,0)</f>
        <v>3297</v>
      </c>
      <c r="M760" s="276">
        <f>ROUND(AC70,0)</f>
        <v>0</v>
      </c>
      <c r="N760" s="276">
        <f>ROUND(AC75,0)</f>
        <v>17662489</v>
      </c>
      <c r="O760" s="276">
        <f>ROUND(AC73,0)</f>
        <v>17662489</v>
      </c>
      <c r="P760" s="276">
        <f>IF(AC76&gt;0,ROUND(AC76,0),0)</f>
        <v>858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9598</v>
      </c>
      <c r="T760" s="278">
        <f>IF(AC80&gt;0,ROUND(AC80,2),0)</f>
        <v>0</v>
      </c>
      <c r="U760" s="276"/>
      <c r="V760" s="277"/>
      <c r="W760" s="276"/>
      <c r="X760" s="276"/>
      <c r="Y760" s="276" t="e">
        <f t="shared" si="21"/>
        <v>#DIV/0!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148*2018*7190*A</v>
      </c>
      <c r="B761" s="276">
        <f>ROUND(AD59,0)</f>
        <v>2373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549</v>
      </c>
      <c r="H761" s="276">
        <f>ROUND(AD65,0)</f>
        <v>0</v>
      </c>
      <c r="I761" s="276">
        <f>ROUND(AD66,0)</f>
        <v>1183535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3745209</v>
      </c>
      <c r="O761" s="276">
        <f>ROUND(AD73,0)</f>
        <v>3745209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 t="e">
        <f t="shared" si="21"/>
        <v>#DIV/0!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148*2018*7200*A</v>
      </c>
      <c r="B762" s="276">
        <f>ROUND(AE59,0)</f>
        <v>13944</v>
      </c>
      <c r="C762" s="278">
        <f>ROUND(AE60,2)</f>
        <v>0</v>
      </c>
      <c r="D762" s="276">
        <f>ROUND(AE61,0)</f>
        <v>0</v>
      </c>
      <c r="E762" s="276">
        <f>ROUND(AE62,0)</f>
        <v>37</v>
      </c>
      <c r="F762" s="276">
        <f>ROUND(AE63,0)</f>
        <v>0</v>
      </c>
      <c r="G762" s="276">
        <f>ROUND(AE64,0)</f>
        <v>10874</v>
      </c>
      <c r="H762" s="276">
        <f>ROUND(AE65,0)</f>
        <v>0</v>
      </c>
      <c r="I762" s="276">
        <f>ROUND(AE66,0)</f>
        <v>664384</v>
      </c>
      <c r="J762" s="276">
        <f>ROUND(AE67,0)</f>
        <v>145239</v>
      </c>
      <c r="K762" s="276">
        <f>ROUND(AE68,0)</f>
        <v>4282</v>
      </c>
      <c r="L762" s="276">
        <f>ROUND(AE69,0)</f>
        <v>756</v>
      </c>
      <c r="M762" s="276">
        <f>ROUND(AE70,0)</f>
        <v>0</v>
      </c>
      <c r="N762" s="276">
        <f>ROUND(AE75,0)</f>
        <v>1924440</v>
      </c>
      <c r="O762" s="276">
        <f>ROUND(AE73,0)</f>
        <v>1924440</v>
      </c>
      <c r="P762" s="276">
        <f>IF(AE76&gt;0,ROUND(AE76,0),0)</f>
        <v>4324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 t="e">
        <f t="shared" si="21"/>
        <v>#DIV/0!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148*2018*7220*A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 t="e">
        <f t="shared" si="21"/>
        <v>#DIV/0!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148*2018*7230*A</v>
      </c>
      <c r="B764" s="276">
        <f>ROUND(AG59,0)</f>
        <v>0</v>
      </c>
      <c r="C764" s="278">
        <f>ROUND(AG60,2)</f>
        <v>0</v>
      </c>
      <c r="D764" s="276">
        <f>ROUND(AG61,0)</f>
        <v>0</v>
      </c>
      <c r="E764" s="276">
        <f>ROUND(AG62,0)</f>
        <v>0</v>
      </c>
      <c r="F764" s="276">
        <f>ROUND(AG63,0)</f>
        <v>0</v>
      </c>
      <c r="G764" s="276">
        <f>ROUND(AG64,0)</f>
        <v>0</v>
      </c>
      <c r="H764" s="276">
        <f>ROUND(AG65,0)</f>
        <v>0</v>
      </c>
      <c r="I764" s="276">
        <f>ROUND(AG66,0)</f>
        <v>0</v>
      </c>
      <c r="J764" s="276">
        <f>ROUND(AG67,0)</f>
        <v>0</v>
      </c>
      <c r="K764" s="276">
        <f>ROUND(AG68,0)</f>
        <v>0</v>
      </c>
      <c r="L764" s="276">
        <f>ROUND(AG69,0)</f>
        <v>0</v>
      </c>
      <c r="M764" s="276">
        <f>ROUND(AG70,0)</f>
        <v>0</v>
      </c>
      <c r="N764" s="276">
        <f>ROUND(AG75,0)</f>
        <v>0</v>
      </c>
      <c r="O764" s="276">
        <f>ROUND(AG73,0)</f>
        <v>0</v>
      </c>
      <c r="P764" s="276">
        <f>IF(AG76&gt;0,ROUND(AG76,0),0)</f>
        <v>0</v>
      </c>
      <c r="Q764" s="276">
        <f>IF(AG77&gt;0,ROUND(AG77,0),0)</f>
        <v>0</v>
      </c>
      <c r="R764" s="276">
        <f>IF(AG78&gt;0,ROUND(AG78,0),0)</f>
        <v>0</v>
      </c>
      <c r="S764" s="276">
        <f>IF(AG79&gt;0,ROUND(AG79,0),0)</f>
        <v>0</v>
      </c>
      <c r="T764" s="278">
        <f>IF(AG80&gt;0,ROUND(AG80,2),0)</f>
        <v>0</v>
      </c>
      <c r="U764" s="276"/>
      <c r="V764" s="277"/>
      <c r="W764" s="276"/>
      <c r="X764" s="276"/>
      <c r="Y764" s="276" t="e">
        <f t="shared" si="21"/>
        <v>#DIV/0!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148*2018*7240*A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2232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 t="e">
        <f t="shared" si="21"/>
        <v>#DIV/0!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148*2018*7250*A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 t="e">
        <f t="shared" si="21"/>
        <v>#DIV/0!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148*2018*7260*A</v>
      </c>
      <c r="B767" s="276">
        <f>ROUND(AJ59,0)</f>
        <v>0</v>
      </c>
      <c r="C767" s="278">
        <f>ROUND(AJ60,2)</f>
        <v>0</v>
      </c>
      <c r="D767" s="276">
        <f>ROUND(AJ61,0)</f>
        <v>0</v>
      </c>
      <c r="E767" s="276">
        <f>ROUND(AJ62,0)</f>
        <v>0</v>
      </c>
      <c r="F767" s="276">
        <f>ROUND(AJ63,0)</f>
        <v>0</v>
      </c>
      <c r="G767" s="276">
        <f>ROUND(AJ64,0)</f>
        <v>0</v>
      </c>
      <c r="H767" s="276">
        <f>ROUND(AJ65,0)</f>
        <v>0</v>
      </c>
      <c r="I767" s="276">
        <f>ROUND(AJ66,0)</f>
        <v>0</v>
      </c>
      <c r="J767" s="276">
        <f>ROUND(AJ67,0)</f>
        <v>0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0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 t="e">
        <f t="shared" si="21"/>
        <v>#DIV/0!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148*2018*7310*A</v>
      </c>
      <c r="B768" s="276">
        <f>ROUND(AK59,0)</f>
        <v>8818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450569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1284565</v>
      </c>
      <c r="O768" s="276">
        <f>ROUND(AK73,0)</f>
        <v>1284565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 t="e">
        <f t="shared" si="21"/>
        <v>#DIV/0!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148*2018*7320*A</v>
      </c>
      <c r="B769" s="276">
        <f>ROUND(AL59,0)</f>
        <v>4649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209082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697328</v>
      </c>
      <c r="O769" s="276">
        <f>ROUND(AL73,0)</f>
        <v>697328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 t="e">
        <f t="shared" si="21"/>
        <v>#DIV/0!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148*2018*7330*A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 t="e">
        <f t="shared" si="21"/>
        <v>#DIV/0!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148*2018*7340*A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 t="e">
        <f t="shared" si="21"/>
        <v>#DIV/0!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148*2018*7350*A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 t="e">
        <f t="shared" si="21"/>
        <v>#DIV/0!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148*2018*7380*A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 t="e">
        <f t="shared" si="21"/>
        <v>#DIV/0!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148*2018*7390*A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 t="e">
        <f t="shared" si="21"/>
        <v>#DIV/0!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148*2018*7400*A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 t="e">
        <f t="shared" si="21"/>
        <v>#DIV/0!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148*2018*7410*A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 t="e">
        <f t="shared" si="21"/>
        <v>#DIV/0!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148*2018*7420*A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 t="e">
        <f t="shared" si="21"/>
        <v>#DIV/0!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148*2018*7430*A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 t="e">
        <f t="shared" si="21"/>
        <v>#DIV/0!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148*2018*7490*A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 t="e">
        <f t="shared" si="21"/>
        <v>#DIV/0!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148*2018*8200*A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148*2018*8310*A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148*2018*8320*A</v>
      </c>
      <c r="B782" s="276">
        <f>ROUND(AY59,0)</f>
        <v>42524</v>
      </c>
      <c r="C782" s="278">
        <f>ROUND(AY60,2)</f>
        <v>13.43</v>
      </c>
      <c r="D782" s="276">
        <f>ROUND(AY61,0)</f>
        <v>596702</v>
      </c>
      <c r="E782" s="276">
        <f>ROUND(AY62,0)</f>
        <v>89793</v>
      </c>
      <c r="F782" s="276">
        <f>ROUND(AY63,0)</f>
        <v>0</v>
      </c>
      <c r="G782" s="276">
        <f>ROUND(AY64,0)</f>
        <v>285520</v>
      </c>
      <c r="H782" s="276">
        <f>ROUND(AY65,0)</f>
        <v>0</v>
      </c>
      <c r="I782" s="276">
        <f>ROUND(AY66,0)</f>
        <v>0</v>
      </c>
      <c r="J782" s="276">
        <f>ROUND(AY67,0)</f>
        <v>148128</v>
      </c>
      <c r="K782" s="276">
        <f>ROUND(AY68,0)</f>
        <v>476</v>
      </c>
      <c r="L782" s="276">
        <f>ROUND(AY69,0)</f>
        <v>1804</v>
      </c>
      <c r="M782" s="276">
        <f>ROUND(AY70,0)</f>
        <v>0</v>
      </c>
      <c r="N782" s="276"/>
      <c r="O782" s="276"/>
      <c r="P782" s="276">
        <f>IF(AY76&gt;0,ROUND(AY76,0),0)</f>
        <v>4410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148*2018*8330*A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148*2018*8350*A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48</v>
      </c>
      <c r="J784" s="276">
        <f>ROUND(BA67,0)</f>
        <v>20724</v>
      </c>
      <c r="K784" s="276">
        <f>ROUND(BA68,0)</f>
        <v>0</v>
      </c>
      <c r="L784" s="276">
        <f>ROUND(BA69,0)</f>
        <v>161124</v>
      </c>
      <c r="M784" s="276">
        <f>ROUND(BA70,0)</f>
        <v>0</v>
      </c>
      <c r="N784" s="276"/>
      <c r="O784" s="276"/>
      <c r="P784" s="276">
        <f>IF(BA76&gt;0,ROUND(BA76,0),0)</f>
        <v>617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148*2018*8360*A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148*2018*8370*A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148*2018*8420*A</v>
      </c>
      <c r="B787" s="276"/>
      <c r="C787" s="278">
        <f>ROUND(BD60,2)</f>
        <v>3.98</v>
      </c>
      <c r="D787" s="276">
        <f>ROUND(BD61,0)</f>
        <v>189851</v>
      </c>
      <c r="E787" s="276">
        <f>ROUND(BD62,0)</f>
        <v>26216</v>
      </c>
      <c r="F787" s="276">
        <f>ROUND(BD63,0)</f>
        <v>0</v>
      </c>
      <c r="G787" s="276">
        <f>ROUND(BD64,0)</f>
        <v>91610</v>
      </c>
      <c r="H787" s="276">
        <f>ROUND(BD65,0)</f>
        <v>0</v>
      </c>
      <c r="I787" s="276">
        <f>ROUND(BD66,0)</f>
        <v>4104</v>
      </c>
      <c r="J787" s="276">
        <f>ROUND(BD67,0)</f>
        <v>59486</v>
      </c>
      <c r="K787" s="276">
        <f>ROUND(BD68,0)</f>
        <v>85136</v>
      </c>
      <c r="L787" s="276">
        <f>ROUND(BD69,0)</f>
        <v>6774</v>
      </c>
      <c r="M787" s="276">
        <f>ROUND(BD70,0)</f>
        <v>0</v>
      </c>
      <c r="N787" s="276"/>
      <c r="O787" s="276"/>
      <c r="P787" s="276">
        <f>IF(BD76&gt;0,ROUND(BD76,0),0)</f>
        <v>1771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148*2018*8430*A</v>
      </c>
      <c r="B788" s="276">
        <f>ROUND(BE59,0)</f>
        <v>80695</v>
      </c>
      <c r="C788" s="278">
        <f>ROUND(BE60,2)</f>
        <v>0</v>
      </c>
      <c r="D788" s="276">
        <f>ROUND(BE61,0)</f>
        <v>0</v>
      </c>
      <c r="E788" s="276">
        <f>ROUND(BE62,0)</f>
        <v>0</v>
      </c>
      <c r="F788" s="276">
        <f>ROUND(BE63,0)</f>
        <v>0</v>
      </c>
      <c r="G788" s="276">
        <f>ROUND(BE64,0)</f>
        <v>47668</v>
      </c>
      <c r="H788" s="276">
        <f>ROUND(BE65,0)</f>
        <v>484867</v>
      </c>
      <c r="I788" s="276">
        <f>ROUND(BE66,0)</f>
        <v>738332</v>
      </c>
      <c r="J788" s="276">
        <f>ROUND(BE67,0)</f>
        <v>265488</v>
      </c>
      <c r="K788" s="276">
        <f>ROUND(BE68,0)</f>
        <v>2571</v>
      </c>
      <c r="L788" s="276">
        <f>ROUND(BE69,0)</f>
        <v>146695</v>
      </c>
      <c r="M788" s="276">
        <f>ROUND(BE70,0)</f>
        <v>0</v>
      </c>
      <c r="N788" s="276"/>
      <c r="O788" s="276"/>
      <c r="P788" s="276">
        <f>IF(BE76&gt;0,ROUND(BE76,0),0)</f>
        <v>7904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148*2018*8460*A</v>
      </c>
      <c r="B789" s="276"/>
      <c r="C789" s="278">
        <f>ROUND(BF60,2)</f>
        <v>12.62</v>
      </c>
      <c r="D789" s="276">
        <f>ROUND(BF61,0)</f>
        <v>498238</v>
      </c>
      <c r="E789" s="276">
        <f>ROUND(BF62,0)</f>
        <v>74652</v>
      </c>
      <c r="F789" s="276">
        <f>ROUND(BF63,0)</f>
        <v>0</v>
      </c>
      <c r="G789" s="276">
        <f>ROUND(BF64,0)</f>
        <v>176883</v>
      </c>
      <c r="H789" s="276">
        <f>ROUND(BF65,0)</f>
        <v>0</v>
      </c>
      <c r="I789" s="276">
        <f>ROUND(BF66,0)</f>
        <v>7904</v>
      </c>
      <c r="J789" s="276">
        <f>ROUND(BF67,0)</f>
        <v>113430</v>
      </c>
      <c r="K789" s="276">
        <f>ROUND(BF68,0)</f>
        <v>3755</v>
      </c>
      <c r="L789" s="276">
        <f>ROUND(BF69,0)</f>
        <v>1747</v>
      </c>
      <c r="M789" s="276">
        <f>ROUND(BF70,0)</f>
        <v>0</v>
      </c>
      <c r="N789" s="276"/>
      <c r="O789" s="276"/>
      <c r="P789" s="276">
        <f>IF(BF76&gt;0,ROUND(BF76,0),0)</f>
        <v>3377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148*2018*8470*A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148*2018*8480*A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148*2018*8490*A</v>
      </c>
      <c r="B792" s="276"/>
      <c r="C792" s="278">
        <f>ROUND(BI60,2)</f>
        <v>4.5</v>
      </c>
      <c r="D792" s="276">
        <f>ROUND(BI61,0)</f>
        <v>185659</v>
      </c>
      <c r="E792" s="276">
        <f>ROUND(BI62,0)</f>
        <v>21683</v>
      </c>
      <c r="F792" s="276">
        <f>ROUND(BI63,0)</f>
        <v>0</v>
      </c>
      <c r="G792" s="276">
        <f>ROUND(BI64,0)</f>
        <v>1200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337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148*2018*8510*A</v>
      </c>
      <c r="B793" s="276"/>
      <c r="C793" s="278">
        <f>ROUND(BJ60,2)</f>
        <v>3.15</v>
      </c>
      <c r="D793" s="276">
        <f>ROUND(BJ61,0)</f>
        <v>231056</v>
      </c>
      <c r="E793" s="276">
        <f>ROUND(BJ62,0)</f>
        <v>31423</v>
      </c>
      <c r="F793" s="276">
        <f>ROUND(BJ63,0)</f>
        <v>0</v>
      </c>
      <c r="G793" s="276">
        <f>ROUND(BJ64,0)</f>
        <v>196</v>
      </c>
      <c r="H793" s="276">
        <f>ROUND(BJ65,0)</f>
        <v>92</v>
      </c>
      <c r="I793" s="276">
        <f>ROUND(BJ66,0)</f>
        <v>0</v>
      </c>
      <c r="J793" s="276">
        <f>ROUND(BJ67,0)</f>
        <v>14914</v>
      </c>
      <c r="K793" s="276">
        <f>ROUND(BJ68,0)</f>
        <v>0</v>
      </c>
      <c r="L793" s="276">
        <f>ROUND(BJ69,0)</f>
        <v>18515</v>
      </c>
      <c r="M793" s="276">
        <f>ROUND(BJ70,0)</f>
        <v>0</v>
      </c>
      <c r="N793" s="276"/>
      <c r="O793" s="276"/>
      <c r="P793" s="276">
        <f>IF(BJ76&gt;0,ROUND(BJ76,0),0)</f>
        <v>444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148*2018*8530*A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148*2018*8560*A</v>
      </c>
      <c r="B795" s="276"/>
      <c r="C795" s="278">
        <f>ROUND(BL60,2)</f>
        <v>6.95</v>
      </c>
      <c r="D795" s="276">
        <f>ROUND(BL61,0)</f>
        <v>973246</v>
      </c>
      <c r="E795" s="276">
        <f>ROUND(BL62,0)</f>
        <v>120371</v>
      </c>
      <c r="F795" s="276">
        <f>ROUND(BL63,0)</f>
        <v>0</v>
      </c>
      <c r="G795" s="276">
        <f>ROUND(BL64,0)</f>
        <v>3737</v>
      </c>
      <c r="H795" s="276">
        <f>ROUND(BL65,0)</f>
        <v>3230</v>
      </c>
      <c r="I795" s="276">
        <f>ROUND(BL66,0)</f>
        <v>0</v>
      </c>
      <c r="J795" s="276">
        <f>ROUND(BL67,0)</f>
        <v>454024</v>
      </c>
      <c r="K795" s="276">
        <f>ROUND(BL68,0)</f>
        <v>0</v>
      </c>
      <c r="L795" s="276">
        <f>ROUND(BL69,0)</f>
        <v>60985</v>
      </c>
      <c r="M795" s="276">
        <f>ROUND(BL70,0)</f>
        <v>0</v>
      </c>
      <c r="N795" s="276"/>
      <c r="O795" s="276"/>
      <c r="P795" s="276">
        <f>IF(BL76&gt;0,ROUND(BL76,0),0)</f>
        <v>13517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148*2018*8590*A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148*2018*8610*A</v>
      </c>
      <c r="B797" s="276"/>
      <c r="C797" s="278">
        <f>ROUND(BN60,2)</f>
        <v>8.1999999999999993</v>
      </c>
      <c r="D797" s="276">
        <f>ROUND(BN61,0)</f>
        <v>1518897</v>
      </c>
      <c r="E797" s="276">
        <f>ROUND(BN62,0)</f>
        <v>670786</v>
      </c>
      <c r="F797" s="276">
        <f>ROUND(BN63,0)</f>
        <v>62618</v>
      </c>
      <c r="G797" s="276">
        <f>ROUND(BN64,0)</f>
        <v>50168</v>
      </c>
      <c r="H797" s="276">
        <f>ROUND(BN65,0)</f>
        <v>78672</v>
      </c>
      <c r="I797" s="276">
        <f>ROUND(BN66,0)</f>
        <v>0</v>
      </c>
      <c r="J797" s="276">
        <f>ROUND(BN67,0)</f>
        <v>475890</v>
      </c>
      <c r="K797" s="276">
        <f>ROUND(BN68,0)</f>
        <v>5839</v>
      </c>
      <c r="L797" s="276">
        <f>ROUND(BN69,0)</f>
        <v>3205070</v>
      </c>
      <c r="M797" s="276">
        <f>ROUND(BN70,0)</f>
        <v>0</v>
      </c>
      <c r="N797" s="276"/>
      <c r="O797" s="276"/>
      <c r="P797" s="276">
        <f>IF(BN76&gt;0,ROUND(BN76,0),0)</f>
        <v>14168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148*2018*8620*A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148*2018*8630*A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148*2018*8640*A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148*2018*8650*A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261</v>
      </c>
      <c r="F801" s="276">
        <f>ROUND(BR63,0)</f>
        <v>0</v>
      </c>
      <c r="G801" s="276">
        <f>ROUND(BR64,0)</f>
        <v>1000</v>
      </c>
      <c r="H801" s="276">
        <f>ROUND(BR65,0)</f>
        <v>0</v>
      </c>
      <c r="I801" s="276">
        <f>ROUND(BR66,0)</f>
        <v>0</v>
      </c>
      <c r="J801" s="276">
        <f>ROUND(BR67,0)</f>
        <v>13234</v>
      </c>
      <c r="K801" s="276">
        <f>ROUND(BR68,0)</f>
        <v>0</v>
      </c>
      <c r="L801" s="276">
        <f>ROUND(BR69,0)</f>
        <v>97</v>
      </c>
      <c r="M801" s="276">
        <f>ROUND(BR70,0)</f>
        <v>0</v>
      </c>
      <c r="N801" s="276"/>
      <c r="O801" s="276"/>
      <c r="P801" s="276">
        <f>IF(BR76&gt;0,ROUND(BR76,0),0)</f>
        <v>394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148*2018*8660*A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148*2018*8670*A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148*2018*8680*A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148*2018*8690*A</v>
      </c>
      <c r="B805" s="276"/>
      <c r="C805" s="278">
        <f>ROUND(BV60,2)</f>
        <v>1.87</v>
      </c>
      <c r="D805" s="276">
        <f>ROUND(BV61,0)</f>
        <v>121852</v>
      </c>
      <c r="E805" s="276">
        <f>ROUND(BV62,0)</f>
        <v>21781</v>
      </c>
      <c r="F805" s="276">
        <f>ROUND(BV63,0)</f>
        <v>0</v>
      </c>
      <c r="G805" s="276">
        <f>ROUND(BV64,0)</f>
        <v>888</v>
      </c>
      <c r="H805" s="276">
        <f>ROUND(BV65,0)</f>
        <v>0</v>
      </c>
      <c r="I805" s="276">
        <f>ROUND(BV66,0)</f>
        <v>13030</v>
      </c>
      <c r="J805" s="276">
        <f>ROUND(BV67,0)</f>
        <v>32178</v>
      </c>
      <c r="K805" s="276">
        <f>ROUND(BV68,0)</f>
        <v>0</v>
      </c>
      <c r="L805" s="276">
        <f>ROUND(BV69,0)</f>
        <v>14</v>
      </c>
      <c r="M805" s="276">
        <f>ROUND(BV70,0)</f>
        <v>0</v>
      </c>
      <c r="N805" s="276"/>
      <c r="O805" s="276"/>
      <c r="P805" s="276">
        <f>IF(BV76&gt;0,ROUND(BV76,0),0)</f>
        <v>958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148*2018*8700*A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4568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136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148*2018*8710*A</v>
      </c>
      <c r="B807" s="276"/>
      <c r="C807" s="278">
        <f>ROUND(BX60,2)</f>
        <v>6.32</v>
      </c>
      <c r="D807" s="276">
        <f>ROUND(BX61,0)</f>
        <v>559541</v>
      </c>
      <c r="E807" s="276">
        <f>ROUND(BX62,0)</f>
        <v>58158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449</v>
      </c>
      <c r="J807" s="276">
        <f>ROUND(BX67,0)</f>
        <v>9439</v>
      </c>
      <c r="K807" s="276">
        <f>ROUND(BX68,0)</f>
        <v>0</v>
      </c>
      <c r="L807" s="276">
        <f>ROUND(BX69,0)</f>
        <v>1349</v>
      </c>
      <c r="M807" s="276">
        <f>ROUND(BX70,0)</f>
        <v>0</v>
      </c>
      <c r="N807" s="276"/>
      <c r="O807" s="276"/>
      <c r="P807" s="276">
        <f>IF(BX76&gt;0,ROUND(BX76,0),0)</f>
        <v>281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148*2018*8720*A</v>
      </c>
      <c r="B808" s="276"/>
      <c r="C808" s="278">
        <f>ROUND(BY60,2)</f>
        <v>15.18</v>
      </c>
      <c r="D808" s="276">
        <f>ROUND(BY61,0)</f>
        <v>1670904</v>
      </c>
      <c r="E808" s="276">
        <f>ROUND(BY62,0)</f>
        <v>180754</v>
      </c>
      <c r="F808" s="276">
        <f>ROUND(BY63,0)</f>
        <v>0</v>
      </c>
      <c r="G808" s="276">
        <f>ROUND(BY64,0)</f>
        <v>22475</v>
      </c>
      <c r="H808" s="276">
        <f>ROUND(BY65,0)</f>
        <v>0</v>
      </c>
      <c r="I808" s="276">
        <f>ROUND(BY66,0)</f>
        <v>152</v>
      </c>
      <c r="J808" s="276">
        <f>ROUND(BY67,0)</f>
        <v>46319</v>
      </c>
      <c r="K808" s="276">
        <f>ROUND(BY68,0)</f>
        <v>0</v>
      </c>
      <c r="L808" s="276">
        <f>ROUND(BY69,0)</f>
        <v>6324</v>
      </c>
      <c r="M808" s="276">
        <f>ROUND(BY70,0)</f>
        <v>0</v>
      </c>
      <c r="N808" s="276"/>
      <c r="O808" s="276"/>
      <c r="P808" s="276">
        <f>IF(BY76&gt;0,ROUND(BY76,0),0)</f>
        <v>1379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148*2018*8730*A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148*2018*8740*A</v>
      </c>
      <c r="B810" s="276"/>
      <c r="C810" s="278">
        <f>ROUND(CA60,2)</f>
        <v>2.31</v>
      </c>
      <c r="D810" s="276">
        <f>ROUND(CA61,0)</f>
        <v>242099</v>
      </c>
      <c r="E810" s="276">
        <f>ROUND(CA62,0)</f>
        <v>35120</v>
      </c>
      <c r="F810" s="276">
        <f>ROUND(CA63,0)</f>
        <v>0</v>
      </c>
      <c r="G810" s="276">
        <f>ROUND(CA64,0)</f>
        <v>1452</v>
      </c>
      <c r="H810" s="276">
        <f>ROUND(CA65,0)</f>
        <v>0</v>
      </c>
      <c r="I810" s="276">
        <f>ROUND(CA66,0)</f>
        <v>5119</v>
      </c>
      <c r="J810" s="276">
        <f>ROUND(CA67,0)</f>
        <v>25796</v>
      </c>
      <c r="K810" s="276">
        <f>ROUND(CA68,0)</f>
        <v>0</v>
      </c>
      <c r="L810" s="276">
        <f>ROUND(CA69,0)</f>
        <v>17606</v>
      </c>
      <c r="M810" s="276">
        <f>ROUND(CA70,0)</f>
        <v>0</v>
      </c>
      <c r="N810" s="276"/>
      <c r="O810" s="276"/>
      <c r="P810" s="276">
        <f>IF(CA76&gt;0,ROUND(CA76,0),0)</f>
        <v>768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148*2018*8770*A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148*2018*8790*A</v>
      </c>
      <c r="B812" s="276"/>
      <c r="C812" s="278">
        <f>ROUND(CC60,2)</f>
        <v>1.01</v>
      </c>
      <c r="D812" s="276">
        <f>ROUND(CC61,0)</f>
        <v>427750</v>
      </c>
      <c r="E812" s="276">
        <f>ROUND(CC62,0)</f>
        <v>47945</v>
      </c>
      <c r="F812" s="276">
        <f>ROUND(CC63,0)</f>
        <v>14050</v>
      </c>
      <c r="G812" s="276">
        <f>ROUND(CC64,0)</f>
        <v>6909</v>
      </c>
      <c r="H812" s="276">
        <f>ROUND(CC65,0)</f>
        <v>45342</v>
      </c>
      <c r="I812" s="276">
        <f>ROUND(CC66,0)</f>
        <v>29650</v>
      </c>
      <c r="J812" s="276">
        <f>ROUND(CC67,0)</f>
        <v>26972</v>
      </c>
      <c r="K812" s="276">
        <f>ROUND(CC68,0)</f>
        <v>0</v>
      </c>
      <c r="L812" s="276">
        <f>ROUND(CC69,0)</f>
        <v>256292</v>
      </c>
      <c r="M812" s="276">
        <f>ROUND(CC70,0)</f>
        <v>0</v>
      </c>
      <c r="N812" s="276"/>
      <c r="O812" s="276"/>
      <c r="P812" s="276">
        <f>IF(CC76&gt;0,ROUND(CC76,0),0)</f>
        <v>803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148*2018*9000*A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1317334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224.24999999999997</v>
      </c>
      <c r="D815" s="277">
        <f t="shared" si="22"/>
        <v>18411123</v>
      </c>
      <c r="E815" s="277">
        <f t="shared" si="22"/>
        <v>2609333</v>
      </c>
      <c r="F815" s="277">
        <f t="shared" si="22"/>
        <v>713029</v>
      </c>
      <c r="G815" s="277">
        <f t="shared" si="22"/>
        <v>2041754</v>
      </c>
      <c r="H815" s="277">
        <f t="shared" si="22"/>
        <v>612294</v>
      </c>
      <c r="I815" s="277">
        <f t="shared" si="22"/>
        <v>6531300</v>
      </c>
      <c r="J815" s="277">
        <f t="shared" si="22"/>
        <v>2710469</v>
      </c>
      <c r="K815" s="277">
        <f t="shared" si="22"/>
        <v>392087</v>
      </c>
      <c r="L815" s="277">
        <f>SUM(L734:L813)+SUM(U734:U813)</f>
        <v>5324786</v>
      </c>
      <c r="M815" s="277">
        <f>SUM(M734:M813)+SUM(V734:V813)</f>
        <v>0</v>
      </c>
      <c r="N815" s="277">
        <f t="shared" ref="N815:Y815" si="23">SUM(N734:N813)</f>
        <v>135065097</v>
      </c>
      <c r="O815" s="277">
        <f t="shared" si="23"/>
        <v>135065097</v>
      </c>
      <c r="P815" s="277">
        <f t="shared" si="23"/>
        <v>80695</v>
      </c>
      <c r="Q815" s="277">
        <f t="shared" si="23"/>
        <v>0</v>
      </c>
      <c r="R815" s="277">
        <f t="shared" si="23"/>
        <v>26247</v>
      </c>
      <c r="S815" s="277">
        <f t="shared" si="23"/>
        <v>191971</v>
      </c>
      <c r="T815" s="281">
        <f t="shared" si="23"/>
        <v>107.33</v>
      </c>
      <c r="U815" s="277">
        <f t="shared" si="23"/>
        <v>1317334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 t="e">
        <f t="shared" si="23"/>
        <v>#DIV/0!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224.24812499999999</v>
      </c>
      <c r="D816" s="277">
        <f>CE61</f>
        <v>18411120.810000002</v>
      </c>
      <c r="E816" s="277">
        <f>CE62</f>
        <v>2609333</v>
      </c>
      <c r="F816" s="277">
        <f>CE63</f>
        <v>713029</v>
      </c>
      <c r="G816" s="277">
        <f>CE64</f>
        <v>2041754</v>
      </c>
      <c r="H816" s="280">
        <f>CE65</f>
        <v>612294</v>
      </c>
      <c r="I816" s="280">
        <f>CE66</f>
        <v>6531300</v>
      </c>
      <c r="J816" s="280">
        <f>CE67</f>
        <v>2710469</v>
      </c>
      <c r="K816" s="280">
        <f>CE68</f>
        <v>392087</v>
      </c>
      <c r="L816" s="280">
        <f>CE69</f>
        <v>5324786</v>
      </c>
      <c r="M816" s="280">
        <f>CE70</f>
        <v>0</v>
      </c>
      <c r="N816" s="277">
        <f>CE75</f>
        <v>135065097</v>
      </c>
      <c r="O816" s="277">
        <f>CE73</f>
        <v>135065097</v>
      </c>
      <c r="P816" s="277">
        <f>CE76</f>
        <v>80695</v>
      </c>
      <c r="Q816" s="277">
        <f>CE77</f>
        <v>0</v>
      </c>
      <c r="R816" s="277">
        <f>CE78</f>
        <v>26247.3</v>
      </c>
      <c r="S816" s="277">
        <f>CE79</f>
        <v>191970.68999999994</v>
      </c>
      <c r="T816" s="281">
        <f>CE80</f>
        <v>107.3308547008547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17782536.359999999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18411120</v>
      </c>
      <c r="E817" s="180">
        <f>C379</f>
        <v>2609335</v>
      </c>
      <c r="F817" s="180">
        <f>C380</f>
        <v>713029</v>
      </c>
      <c r="G817" s="240">
        <f>C381</f>
        <v>2041752</v>
      </c>
      <c r="H817" s="240">
        <f>C382</f>
        <v>612295</v>
      </c>
      <c r="I817" s="240">
        <f>C383</f>
        <v>6531300</v>
      </c>
      <c r="J817" s="240">
        <f>C384</f>
        <v>2710471</v>
      </c>
      <c r="K817" s="240">
        <f>C385</f>
        <v>392088</v>
      </c>
      <c r="L817" s="240">
        <f>C386+C387+C388+C389</f>
        <v>5324787</v>
      </c>
      <c r="M817" s="240">
        <f>C370</f>
        <v>78014</v>
      </c>
      <c r="N817" s="180">
        <f>D361</f>
        <v>135065098</v>
      </c>
      <c r="O817" s="180">
        <f>C359</f>
        <v>135065098</v>
      </c>
    </row>
  </sheetData>
  <mergeCells count="1">
    <mergeCell ref="B220:C220"/>
  </mergeCells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81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Kindred Hospital Seattle Northgate/First Hill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H-148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10631 8th Avenue NE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10631 8th Avenue NE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Seattle WA 98125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topLeftCell="A26" zoomScale="75" workbookViewId="0">
      <selection activeCell="G49" sqref="G4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H-148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Kindred Hospital Seattle Northgate/First Hill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Minta Albietz (Contract)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Keenan Underwood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Linn Billingsley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206-364-2050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206-361-5722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332</v>
      </c>
      <c r="G23" s="21">
        <f>data!D111</f>
        <v>17421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10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70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80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80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Kindred Hospital Seattle Northgate/First Hill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148</v>
      </c>
      <c r="C7" s="48">
        <f>data!B139</f>
        <v>7228</v>
      </c>
      <c r="D7" s="48">
        <f>data!B140</f>
        <v>0</v>
      </c>
      <c r="E7" s="48">
        <f>data!B141</f>
        <v>33233320.199999999</v>
      </c>
      <c r="F7" s="48">
        <f>data!B142</f>
        <v>0</v>
      </c>
      <c r="G7" s="48">
        <f>data!B141+data!B142</f>
        <v>33233320.199999999</v>
      </c>
    </row>
    <row r="8" spans="1:13" ht="20.100000000000001" customHeight="1" x14ac:dyDescent="0.25">
      <c r="A8" s="23" t="s">
        <v>297</v>
      </c>
      <c r="B8" s="48">
        <f>data!C138</f>
        <v>4</v>
      </c>
      <c r="C8" s="48">
        <f>data!C139</f>
        <v>1613</v>
      </c>
      <c r="D8" s="48">
        <f>data!C140</f>
        <v>0</v>
      </c>
      <c r="E8" s="48">
        <f>data!C141</f>
        <v>3512744.4099999997</v>
      </c>
      <c r="F8" s="48">
        <f>data!C142</f>
        <v>0</v>
      </c>
      <c r="G8" s="48">
        <f>data!C141+data!C142</f>
        <v>3512744.4099999997</v>
      </c>
    </row>
    <row r="9" spans="1:13" ht="20.100000000000001" customHeight="1" x14ac:dyDescent="0.25">
      <c r="A9" s="23" t="s">
        <v>1058</v>
      </c>
      <c r="B9" s="48">
        <f>data!D138</f>
        <v>180</v>
      </c>
      <c r="C9" s="48">
        <f>data!D139</f>
        <v>8580</v>
      </c>
      <c r="D9" s="48">
        <f>data!D140</f>
        <v>0</v>
      </c>
      <c r="E9" s="48">
        <f>data!D141</f>
        <v>57189439.260000005</v>
      </c>
      <c r="F9" s="48">
        <f>data!D142</f>
        <v>0</v>
      </c>
      <c r="G9" s="48">
        <f>data!D141+data!D142</f>
        <v>57189439.260000005</v>
      </c>
    </row>
    <row r="10" spans="1:13" ht="20.100000000000001" customHeight="1" x14ac:dyDescent="0.25">
      <c r="A10" s="111" t="s">
        <v>203</v>
      </c>
      <c r="B10" s="48">
        <f>data!E138</f>
        <v>332</v>
      </c>
      <c r="C10" s="48">
        <f>data!E139</f>
        <v>17421</v>
      </c>
      <c r="D10" s="48">
        <f>data!E140</f>
        <v>0</v>
      </c>
      <c r="E10" s="48">
        <f>data!E141</f>
        <v>93935503.870000005</v>
      </c>
      <c r="F10" s="48">
        <f>data!E142</f>
        <v>0</v>
      </c>
      <c r="G10" s="48">
        <f>data!E141+data!E142</f>
        <v>93935503.870000005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7" sqref="C7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Kindred Hospital Seattle Northgate/First Hill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833564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69917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217211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493765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5807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10670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215364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1846298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210343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326670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537013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126250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55523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181773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32748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592881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625629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0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Kindred Hospital Seattle Northgate/First Hill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4008920.46</v>
      </c>
      <c r="D7" s="21">
        <f>data!C195</f>
        <v>0</v>
      </c>
      <c r="E7" s="21">
        <f>data!D195</f>
        <v>0</v>
      </c>
      <c r="F7" s="21">
        <f>data!E195</f>
        <v>4008920.46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5965.66</v>
      </c>
      <c r="D8" s="21">
        <f>data!C196</f>
        <v>0</v>
      </c>
      <c r="E8" s="21">
        <f>data!D196</f>
        <v>0</v>
      </c>
      <c r="F8" s="21">
        <f>data!E196</f>
        <v>5965.66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5284887.92</v>
      </c>
      <c r="D9" s="21">
        <f>data!C197</f>
        <v>20478.599999999999</v>
      </c>
      <c r="E9" s="21">
        <f>data!D197</f>
        <v>0</v>
      </c>
      <c r="F9" s="21">
        <f>data!E197</f>
        <v>5305366.5199999996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596773.38</v>
      </c>
      <c r="D12" s="21">
        <f>data!C200</f>
        <v>380118.69</v>
      </c>
      <c r="E12" s="21">
        <f>data!D200</f>
        <v>0</v>
      </c>
      <c r="F12" s="21">
        <f>data!E200</f>
        <v>976892.07000000007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57396.5</v>
      </c>
      <c r="D13" s="21">
        <f>data!C201</f>
        <v>84357.51</v>
      </c>
      <c r="E13" s="21">
        <f>data!D201</f>
        <v>0</v>
      </c>
      <c r="F13" s="21">
        <f>data!E201</f>
        <v>141754.01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11794.5</v>
      </c>
      <c r="D14" s="21">
        <f>data!C202</f>
        <v>0</v>
      </c>
      <c r="E14" s="21">
        <f>data!D202</f>
        <v>0</v>
      </c>
      <c r="F14" s="21">
        <f>data!E202</f>
        <v>11794.5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9965738.4199999999</v>
      </c>
      <c r="D16" s="21">
        <f>data!C204</f>
        <v>484954.8</v>
      </c>
      <c r="E16" s="21">
        <f>data!D204</f>
        <v>0</v>
      </c>
      <c r="F16" s="21">
        <f>data!E204</f>
        <v>10450693.220000001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357.59</v>
      </c>
      <c r="D24" s="21">
        <f>data!C209</f>
        <v>715.18</v>
      </c>
      <c r="E24" s="21">
        <f>data!D209</f>
        <v>0</v>
      </c>
      <c r="F24" s="21">
        <f>data!E209</f>
        <v>1072.77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82576.37</v>
      </c>
      <c r="D25" s="21">
        <f>data!C210</f>
        <v>165721.60000000001</v>
      </c>
      <c r="E25" s="21">
        <f>data!D210</f>
        <v>0</v>
      </c>
      <c r="F25" s="21">
        <f>data!E210</f>
        <v>248297.97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65119.92</v>
      </c>
      <c r="D28" s="21">
        <f>data!C213</f>
        <v>170508.49</v>
      </c>
      <c r="E28" s="21">
        <f>data!D213</f>
        <v>0</v>
      </c>
      <c r="F28" s="21">
        <f>data!E213</f>
        <v>235628.40999999997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4255.5200000000004</v>
      </c>
      <c r="D29" s="21">
        <f>data!C214</f>
        <v>28746.06</v>
      </c>
      <c r="E29" s="21">
        <f>data!D214</f>
        <v>0</v>
      </c>
      <c r="F29" s="21">
        <f>data!E214</f>
        <v>33001.58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2766.32</v>
      </c>
      <c r="D30" s="21">
        <f>data!C215</f>
        <v>5532.66</v>
      </c>
      <c r="E30" s="21">
        <f>data!D215</f>
        <v>0</v>
      </c>
      <c r="F30" s="21">
        <f>data!E215</f>
        <v>8298.98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155075.72</v>
      </c>
      <c r="D32" s="21">
        <f>data!C217</f>
        <v>371223.99</v>
      </c>
      <c r="E32" s="21">
        <f>data!D217</f>
        <v>0</v>
      </c>
      <c r="F32" s="21">
        <f>data!E217</f>
        <v>526299.71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Kindred Hospital Seattle Northgate/First Hill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1970020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25553372.440000001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2989964.5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32703353.799999997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61246690.739999995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0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0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0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63216710.739999995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Kindred Hospital Seattle Northgate/First Hill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-25443.73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14754748.24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0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264127.21000000002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8500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15001931.720000001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4014886.12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5305366.5199999996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1118646.08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11794.5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10450693.220000001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529101.87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9921591.3500000015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10000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10000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24933523.07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Kindred Hospital Seattle Northgate/First Hill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1478286.78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792083.74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952562.31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3222932.83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16013162.5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16013162.5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16013162.5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5697427.7400000002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5697427.7400000002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24933523.07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Kindred Hospital Seattle Northgate/First Hill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93935503.870000005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0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93935503.870000005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1970020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61246691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0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63216711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30718792.870000005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80633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80633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30799425.870000005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12723732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1846298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421837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1380242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347398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4834120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362074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537013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181773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625629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0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2270043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25530159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5269266.8700000048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5269266.8700000048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5269266.8700000048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/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Kindred Hospital Seattle Northgate/First Hill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993</v>
      </c>
      <c r="D9" s="14">
        <f>data!D59</f>
        <v>16428</v>
      </c>
      <c r="E9" s="14">
        <f>data!E59</f>
        <v>0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6.9099893162393169</v>
      </c>
      <c r="D10" s="26">
        <f>data!D60</f>
        <v>88.710336538461533</v>
      </c>
      <c r="E10" s="26">
        <f>data!E60</f>
        <v>0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657235.54</v>
      </c>
      <c r="D11" s="14">
        <f>data!D61</f>
        <v>5544396.6699999999</v>
      </c>
      <c r="E11" s="14">
        <f>data!E61</f>
        <v>0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71015</v>
      </c>
      <c r="D12" s="14">
        <f>data!D62</f>
        <v>572977</v>
      </c>
      <c r="E12" s="14">
        <f>data!E62</f>
        <v>0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97787.8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923.08</v>
      </c>
      <c r="D14" s="14">
        <f>data!D64</f>
        <v>541813.35</v>
      </c>
      <c r="E14" s="14">
        <f>data!E64</f>
        <v>0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16274</v>
      </c>
      <c r="D17" s="14">
        <f>data!D67</f>
        <v>76570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704.96</v>
      </c>
      <c r="D18" s="14">
        <f>data!D68</f>
        <v>164937.48000000001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45.81</v>
      </c>
      <c r="D19" s="14">
        <f>data!D69</f>
        <v>1999.03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746198.39</v>
      </c>
      <c r="D21" s="14">
        <f>data!D71</f>
        <v>7000481.3300000001</v>
      </c>
      <c r="E21" s="14">
        <f>data!E71</f>
        <v>0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674629</v>
      </c>
      <c r="D23" s="48">
        <f>+data!M669</f>
        <v>6805299</v>
      </c>
      <c r="E23" s="48">
        <f>+data!M670</f>
        <v>0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4825113.66</v>
      </c>
      <c r="D24" s="14">
        <f>data!D73</f>
        <v>49940247.449999996</v>
      </c>
      <c r="E24" s="14">
        <f>data!E73</f>
        <v>0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4825113.66</v>
      </c>
      <c r="D26" s="14">
        <f>data!D75</f>
        <v>49940247.449999996</v>
      </c>
      <c r="E26" s="14">
        <f>data!E75</f>
        <v>0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3627</v>
      </c>
      <c r="D28" s="14">
        <f>data!D76</f>
        <v>17065</v>
      </c>
      <c r="E28" s="14">
        <f>data!E76</f>
        <v>0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30106.400000000001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1306.0021956259686</v>
      </c>
      <c r="D30" s="14">
        <f>data!D78</f>
        <v>21606.24780437403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56230.623941890997</v>
      </c>
      <c r="D31" s="14">
        <f>data!D79</f>
        <v>150696.99583523668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6.9099893162393169</v>
      </c>
      <c r="D32" s="84">
        <f>data!D80</f>
        <v>88.710336538461533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Kindred Hospital Seattle Northgate/First Hill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183432.73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311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183743.73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57753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598932.89999999991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598932.89999999991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Kindred Hospital Seattle Northgate/First Hill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87471</v>
      </c>
      <c r="H73" s="14">
        <f>data!V59</f>
        <v>416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7.3085336538461538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371910.41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49796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27395.68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0</v>
      </c>
      <c r="F78" s="14">
        <f>data!T64</f>
        <v>0</v>
      </c>
      <c r="G78" s="14">
        <f>data!U64</f>
        <v>101101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277131.59999999998</v>
      </c>
      <c r="H80" s="14">
        <f>data!V66</f>
        <v>0</v>
      </c>
      <c r="I80" s="14">
        <f>data!W66</f>
        <v>1752.06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6484</v>
      </c>
      <c r="F81" s="14">
        <f>data!T67</f>
        <v>0</v>
      </c>
      <c r="G81" s="14">
        <f>data!U67</f>
        <v>2226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45747.61</v>
      </c>
      <c r="H83" s="14">
        <f>data!V69</f>
        <v>0</v>
      </c>
      <c r="I83" s="14">
        <f>data!W69</f>
        <v>410.26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6484</v>
      </c>
      <c r="F85" s="14">
        <f>data!T71</f>
        <v>0</v>
      </c>
      <c r="G85" s="14">
        <f>data!U71</f>
        <v>875308.29999999993</v>
      </c>
      <c r="H85" s="14">
        <f>data!V71</f>
        <v>0</v>
      </c>
      <c r="I85" s="14">
        <f>data!W71</f>
        <v>2162.3199999999997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0</v>
      </c>
      <c r="E87" s="48">
        <f>+data!M684</f>
        <v>64254</v>
      </c>
      <c r="F87" s="48">
        <f>+data!M685</f>
        <v>0</v>
      </c>
      <c r="G87" s="48">
        <f>+data!M686</f>
        <v>449029</v>
      </c>
      <c r="H87" s="48">
        <f>+data!M687</f>
        <v>1717</v>
      </c>
      <c r="I87" s="48">
        <f>+data!M688</f>
        <v>1459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388632</v>
      </c>
      <c r="F88" s="14">
        <f>data!T73</f>
        <v>0</v>
      </c>
      <c r="G88" s="14">
        <f>data!U73</f>
        <v>5928370.04</v>
      </c>
      <c r="H88" s="14">
        <f>data!V73</f>
        <v>86159.60000000002</v>
      </c>
      <c r="I88" s="14">
        <f>data!W73</f>
        <v>46182.01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0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388632</v>
      </c>
      <c r="F90" s="14">
        <f>data!T75</f>
        <v>0</v>
      </c>
      <c r="G90" s="14">
        <f>data!U75</f>
        <v>5928370.04</v>
      </c>
      <c r="H90" s="14">
        <f>data!V75</f>
        <v>86159.60000000002</v>
      </c>
      <c r="I90" s="14">
        <f>data!W75</f>
        <v>46182.01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1445</v>
      </c>
      <c r="F92" s="14">
        <f>data!T76</f>
        <v>0</v>
      </c>
      <c r="G92" s="14">
        <f>data!U76</f>
        <v>496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2249.3594988045402</v>
      </c>
      <c r="F95" s="14">
        <f>data!T79</f>
        <v>0</v>
      </c>
      <c r="G95" s="14">
        <f>data!U79</f>
        <v>2249.3594988045402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Kindred Hospital Seattle Northgate/First Hill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2680</v>
      </c>
      <c r="E105" s="14">
        <f>data!Z59</f>
        <v>0</v>
      </c>
      <c r="F105" s="14">
        <f>data!AA59</f>
        <v>0</v>
      </c>
      <c r="G105" s="212"/>
      <c r="H105" s="14">
        <f>data!AC59</f>
        <v>47274</v>
      </c>
      <c r="I105" s="14">
        <f>data!AD59</f>
        <v>2231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1.7206730769230769</v>
      </c>
      <c r="E106" s="26">
        <f>data!Z60</f>
        <v>0</v>
      </c>
      <c r="F106" s="26">
        <f>data!AA60</f>
        <v>0</v>
      </c>
      <c r="G106" s="26">
        <f>data!AB60</f>
        <v>8.7949519230769226</v>
      </c>
      <c r="H106" s="26">
        <f>data!AC60</f>
        <v>17.62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136556.03999999998</v>
      </c>
      <c r="E107" s="14">
        <f>data!Z61</f>
        <v>0</v>
      </c>
      <c r="F107" s="14">
        <f>data!AA61</f>
        <v>0</v>
      </c>
      <c r="G107" s="14">
        <f>data!AB61</f>
        <v>703239.7</v>
      </c>
      <c r="H107" s="14">
        <f>data!AC61</f>
        <v>1015091.64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17786</v>
      </c>
      <c r="E108" s="14">
        <f>data!Z62</f>
        <v>0</v>
      </c>
      <c r="F108" s="14">
        <f>data!AA62</f>
        <v>0</v>
      </c>
      <c r="G108" s="14">
        <f>data!AB62</f>
        <v>88819</v>
      </c>
      <c r="H108" s="14">
        <f>data!AC62</f>
        <v>132248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29635.200000000001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1637.93</v>
      </c>
      <c r="E110" s="14">
        <f>data!Z64</f>
        <v>0</v>
      </c>
      <c r="F110" s="14">
        <f>data!AA64</f>
        <v>0</v>
      </c>
      <c r="G110" s="14">
        <f>data!AB64</f>
        <v>26480</v>
      </c>
      <c r="H110" s="14">
        <f>data!AC64</f>
        <v>135256</v>
      </c>
      <c r="I110" s="14">
        <f>data!AD64</f>
        <v>414.73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144815.75</v>
      </c>
      <c r="D112" s="14">
        <f>data!Y66</f>
        <v>6865.07</v>
      </c>
      <c r="E112" s="14">
        <f>data!Z66</f>
        <v>0</v>
      </c>
      <c r="F112" s="14">
        <f>data!AA66</f>
        <v>8325.4</v>
      </c>
      <c r="G112" s="14">
        <f>data!AB66</f>
        <v>1234356.1100000001</v>
      </c>
      <c r="H112" s="14">
        <f>data!AC66</f>
        <v>0</v>
      </c>
      <c r="I112" s="14">
        <f>data!AD66</f>
        <v>965787.1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1952</v>
      </c>
      <c r="E113" s="14">
        <f>data!Z67</f>
        <v>0</v>
      </c>
      <c r="F113" s="14">
        <f>data!AA67</f>
        <v>0</v>
      </c>
      <c r="G113" s="14">
        <f>data!AB67</f>
        <v>6811</v>
      </c>
      <c r="H113" s="14">
        <f>data!AC67</f>
        <v>3850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2115.02</v>
      </c>
      <c r="H114" s="14">
        <f>data!AC68</f>
        <v>66564.039999999994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313.3</v>
      </c>
      <c r="E115" s="14">
        <f>data!Z69</f>
        <v>0</v>
      </c>
      <c r="F115" s="14">
        <f>data!AA69</f>
        <v>0</v>
      </c>
      <c r="G115" s="14">
        <f>data!AB69</f>
        <v>9530.5300000000007</v>
      </c>
      <c r="H115" s="14">
        <f>data!AC69</f>
        <v>1722.74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144815.75</v>
      </c>
      <c r="D117" s="14">
        <f>data!Y71</f>
        <v>194745.53999999998</v>
      </c>
      <c r="E117" s="14">
        <f>data!Z71</f>
        <v>0</v>
      </c>
      <c r="F117" s="14">
        <f>data!AA71</f>
        <v>8325.4</v>
      </c>
      <c r="G117" s="14">
        <f>data!AB71</f>
        <v>2071351.36</v>
      </c>
      <c r="H117" s="14">
        <f>data!AC71</f>
        <v>1354732.4200000002</v>
      </c>
      <c r="I117" s="14">
        <f>data!AD71</f>
        <v>966201.83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41752</v>
      </c>
      <c r="D119" s="48">
        <f>+data!M690</f>
        <v>88257</v>
      </c>
      <c r="E119" s="48">
        <f>+data!M691</f>
        <v>0</v>
      </c>
      <c r="F119" s="48">
        <f>+data!M692</f>
        <v>2249</v>
      </c>
      <c r="G119" s="48">
        <f>+data!M693</f>
        <v>890725</v>
      </c>
      <c r="H119" s="48">
        <f>+data!M694</f>
        <v>802056</v>
      </c>
      <c r="I119" s="48">
        <f>+data!M695</f>
        <v>302705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283048.94</v>
      </c>
      <c r="D120" s="14">
        <f>data!Y73</f>
        <v>549043.42000000004</v>
      </c>
      <c r="E120" s="14">
        <f>data!Z73</f>
        <v>0</v>
      </c>
      <c r="F120" s="14">
        <f>data!AA73</f>
        <v>8681.4</v>
      </c>
      <c r="G120" s="14">
        <f>data!AB73</f>
        <v>12680461.099999998</v>
      </c>
      <c r="H120" s="14">
        <f>data!AC73</f>
        <v>12722718.07</v>
      </c>
      <c r="I120" s="14">
        <f>data!AD73</f>
        <v>3089887.1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0</v>
      </c>
      <c r="H121" s="14">
        <f>data!AC74</f>
        <v>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283048.94</v>
      </c>
      <c r="D122" s="14">
        <f>data!Y75</f>
        <v>549043.42000000004</v>
      </c>
      <c r="E122" s="14">
        <f>data!Z75</f>
        <v>0</v>
      </c>
      <c r="F122" s="14">
        <f>data!AA75</f>
        <v>8681.4</v>
      </c>
      <c r="G122" s="14">
        <f>data!AB75</f>
        <v>12680461.099999998</v>
      </c>
      <c r="H122" s="14">
        <f>data!AC75</f>
        <v>12722718.07</v>
      </c>
      <c r="I122" s="14">
        <f>data!AD75</f>
        <v>3089887.1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435</v>
      </c>
      <c r="E124" s="14">
        <f>data!Z76</f>
        <v>0</v>
      </c>
      <c r="F124" s="14">
        <f>data!AA76</f>
        <v>0</v>
      </c>
      <c r="G124" s="14">
        <f>data!AB76</f>
        <v>1518</v>
      </c>
      <c r="H124" s="14">
        <f>data!AC76</f>
        <v>858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2249.3594988045402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11245.956611967073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Kindred Hospital Seattle Northgate/First Hill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12004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6204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1021.02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306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136144.57999999999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3083.49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425549</v>
      </c>
      <c r="D144" s="14">
        <f>data!AF66</f>
        <v>0</v>
      </c>
      <c r="E144" s="14">
        <f>data!AG66</f>
        <v>0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230280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19402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32587.95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212.48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482161.94</v>
      </c>
      <c r="D149" s="14">
        <f>data!AF71</f>
        <v>0</v>
      </c>
      <c r="E149" s="14">
        <f>data!AG71</f>
        <v>136144.57999999999</v>
      </c>
      <c r="F149" s="14">
        <f>data!AH71</f>
        <v>0</v>
      </c>
      <c r="G149" s="14">
        <f>data!AI71</f>
        <v>0</v>
      </c>
      <c r="H149" s="14">
        <f>data!AJ71</f>
        <v>0</v>
      </c>
      <c r="I149" s="14">
        <f>data!AK71</f>
        <v>230280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308289</v>
      </c>
      <c r="D151" s="48">
        <f>+data!M697</f>
        <v>0</v>
      </c>
      <c r="E151" s="48">
        <f>+data!M698</f>
        <v>33951</v>
      </c>
      <c r="F151" s="48">
        <f>+data!M699</f>
        <v>0</v>
      </c>
      <c r="G151" s="48">
        <f>+data!M700</f>
        <v>0</v>
      </c>
      <c r="H151" s="48">
        <f>+data!M701</f>
        <v>0</v>
      </c>
      <c r="I151" s="48">
        <f>+data!M702</f>
        <v>71083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1358708.79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685495.83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1358708.79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685495.83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4324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Kindred Hospital Seattle Northgate/First Hill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4606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186621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186621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57955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573023.17000000016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573023.17000000016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Kindred Hospital Seattle Northgate/First Hill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30106.400000000001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1.2341346153846153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60967.93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10840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0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162642</v>
      </c>
      <c r="G208" s="14">
        <f>data!AW66</f>
        <v>0</v>
      </c>
      <c r="H208" s="14">
        <f>data!AX66</f>
        <v>0</v>
      </c>
      <c r="I208" s="14">
        <f>data!AY66</f>
        <v>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162642</v>
      </c>
      <c r="G213" s="14">
        <f>data!AW71</f>
        <v>0</v>
      </c>
      <c r="H213" s="14">
        <f>data!AX71</f>
        <v>0</v>
      </c>
      <c r="I213" s="14">
        <f>data!AY71</f>
        <v>71807.929999999993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43961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170798.39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170798.39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Kindred Hospital Seattle Northgate/First Hill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30297.674103522419</v>
      </c>
      <c r="D233" s="14">
        <f>data!BA59</f>
        <v>0</v>
      </c>
      <c r="E233" s="212"/>
      <c r="F233" s="212"/>
      <c r="G233" s="212"/>
      <c r="H233" s="14">
        <f>data!BE59</f>
        <v>80695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10.402403846153845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3.1969951923076922</v>
      </c>
      <c r="H234" s="26">
        <f>data!BE60</f>
        <v>0</v>
      </c>
      <c r="I234" s="26">
        <f>data!BF60</f>
        <v>11.015504807692308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305907.44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112301.18</v>
      </c>
      <c r="H235" s="14">
        <f>data!BE61</f>
        <v>0</v>
      </c>
      <c r="I235" s="14">
        <f>data!BF61</f>
        <v>339446.89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53502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17668</v>
      </c>
      <c r="H236" s="14">
        <f>data!BE62</f>
        <v>0</v>
      </c>
      <c r="I236" s="14">
        <f>data!BF62</f>
        <v>44758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202955.51999999999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203087</v>
      </c>
      <c r="H238" s="14">
        <f>data!BE64</f>
        <v>18987</v>
      </c>
      <c r="I238" s="14">
        <f>data!BF64</f>
        <v>77429.08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310894.67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502.5</v>
      </c>
      <c r="E240" s="14">
        <f>data!BB66</f>
        <v>0</v>
      </c>
      <c r="F240" s="14">
        <f>data!BC66</f>
        <v>0</v>
      </c>
      <c r="G240" s="14">
        <f>data!BD66</f>
        <v>2389.0500000000002</v>
      </c>
      <c r="H240" s="14">
        <f>data!BE66</f>
        <v>246484.72</v>
      </c>
      <c r="I240" s="14">
        <f>data!BF66</f>
        <v>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19787</v>
      </c>
      <c r="D241" s="14">
        <f>data!BA67</f>
        <v>2768</v>
      </c>
      <c r="E241" s="14">
        <f>data!BB67</f>
        <v>0</v>
      </c>
      <c r="F241" s="14">
        <f>data!BC67</f>
        <v>0</v>
      </c>
      <c r="G241" s="14">
        <f>data!BD67</f>
        <v>7946</v>
      </c>
      <c r="H241" s="14">
        <f>data!BE67</f>
        <v>35465</v>
      </c>
      <c r="I241" s="14">
        <f>data!BF67</f>
        <v>15152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36764</v>
      </c>
      <c r="H242" s="14">
        <f>data!BE68</f>
        <v>5424.53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975.65</v>
      </c>
      <c r="D243" s="14">
        <f>data!BA69</f>
        <v>106268.75</v>
      </c>
      <c r="E243" s="14">
        <f>data!BB69</f>
        <v>0</v>
      </c>
      <c r="F243" s="14">
        <f>data!BC69</f>
        <v>0</v>
      </c>
      <c r="G243" s="14">
        <f>data!BD69</f>
        <v>217.1</v>
      </c>
      <c r="H243" s="14">
        <f>data!BE69</f>
        <v>97554.01</v>
      </c>
      <c r="I243" s="14">
        <f>data!BF69</f>
        <v>80.94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583127.61</v>
      </c>
      <c r="D245" s="14">
        <f>data!BA71</f>
        <v>109539.25</v>
      </c>
      <c r="E245" s="14">
        <f>data!BB71</f>
        <v>0</v>
      </c>
      <c r="F245" s="14">
        <f>data!BC71</f>
        <v>0</v>
      </c>
      <c r="G245" s="14">
        <f>data!BD71</f>
        <v>380372.32999999996</v>
      </c>
      <c r="H245" s="14">
        <f>data!BE71</f>
        <v>714809.93</v>
      </c>
      <c r="I245" s="14">
        <f>data!BF71</f>
        <v>476866.91000000003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4410</v>
      </c>
      <c r="D252" s="85">
        <f>data!BA76</f>
        <v>617</v>
      </c>
      <c r="E252" s="85">
        <f>data!BB76</f>
        <v>0</v>
      </c>
      <c r="F252" s="85">
        <f>data!BC76</f>
        <v>0</v>
      </c>
      <c r="G252" s="85">
        <f>data!BD76</f>
        <v>1771</v>
      </c>
      <c r="H252" s="85">
        <f>data!BE76</f>
        <v>7904</v>
      </c>
      <c r="I252" s="85">
        <f>data!BF76</f>
        <v>3377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Kindred Hospital Seattle Northgate/First Hill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4.553245192307692</v>
      </c>
      <c r="F266" s="26">
        <f>data!BJ60</f>
        <v>3.5867788461538459</v>
      </c>
      <c r="G266" s="26">
        <f>data!BK60</f>
        <v>0</v>
      </c>
      <c r="H266" s="26">
        <f>data!BL60</f>
        <v>0.39615384615384613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155379.12</v>
      </c>
      <c r="F267" s="14">
        <f>data!BJ61</f>
        <v>156808.79999999999</v>
      </c>
      <c r="G267" s="14">
        <f>data!BK61</f>
        <v>0</v>
      </c>
      <c r="H267" s="14">
        <f>data!BL61</f>
        <v>82002.63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22127</v>
      </c>
      <c r="F268" s="14">
        <f>data!BJ62</f>
        <v>13055</v>
      </c>
      <c r="G268" s="14">
        <f>data!BK62</f>
        <v>0</v>
      </c>
      <c r="H268" s="14">
        <f>data!BL62</f>
        <v>12144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5223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6480</v>
      </c>
      <c r="F272" s="14">
        <f>data!BJ66</f>
        <v>0</v>
      </c>
      <c r="G272" s="14">
        <f>data!BK66</f>
        <v>0</v>
      </c>
      <c r="H272" s="14">
        <f>data!BL66</f>
        <v>1272.57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1992</v>
      </c>
      <c r="G273" s="14">
        <f>data!BK67</f>
        <v>0</v>
      </c>
      <c r="H273" s="14">
        <f>data!BL67</f>
        <v>60650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604.66</v>
      </c>
      <c r="F275" s="14">
        <f>data!BJ69</f>
        <v>3703.88</v>
      </c>
      <c r="G275" s="14">
        <f>data!BK69</f>
        <v>0</v>
      </c>
      <c r="H275" s="14">
        <f>data!BL69</f>
        <v>857.56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189813.78</v>
      </c>
      <c r="F277" s="14">
        <f>data!BJ71</f>
        <v>175559.67999999999</v>
      </c>
      <c r="G277" s="14">
        <f>data!BK71</f>
        <v>0</v>
      </c>
      <c r="H277" s="14">
        <f>data!BL71</f>
        <v>156926.76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444</v>
      </c>
      <c r="G284" s="85">
        <f>data!BK76</f>
        <v>0</v>
      </c>
      <c r="H284" s="85">
        <f>data!BL76</f>
        <v>13517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Kindred Hospital Seattle Northgate/First Hill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4.9923076923076923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725051.92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455339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119962.7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36568.07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32825.699999999997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35264.42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63571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1768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17571.61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332696.55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1818850.97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1768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14168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394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Kindred Hospital Seattle Northgate/First Hill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1.1937500000000001</v>
      </c>
      <c r="E330" s="26">
        <f>data!BW60</f>
        <v>0</v>
      </c>
      <c r="F330" s="26">
        <f>data!BX60</f>
        <v>5.6450721153846155</v>
      </c>
      <c r="G330" s="26">
        <f>data!BY60</f>
        <v>12.334495192307692</v>
      </c>
      <c r="H330" s="26">
        <f>data!BZ60</f>
        <v>0</v>
      </c>
      <c r="I330" s="26">
        <f>data!CA60</f>
        <v>1.546875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70098.48000000001</v>
      </c>
      <c r="E331" s="86">
        <f>data!BW61</f>
        <v>0</v>
      </c>
      <c r="F331" s="86">
        <f>data!BX61</f>
        <v>435655.06</v>
      </c>
      <c r="G331" s="86">
        <f>data!BY61</f>
        <v>1025180.7799999999</v>
      </c>
      <c r="H331" s="86">
        <f>data!BZ61</f>
        <v>0</v>
      </c>
      <c r="I331" s="86">
        <f>data!CA61</f>
        <v>102883.94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12243</v>
      </c>
      <c r="E332" s="86">
        <f>data!BW62</f>
        <v>0</v>
      </c>
      <c r="F332" s="86">
        <f>data!BX62</f>
        <v>40352</v>
      </c>
      <c r="G332" s="86">
        <f>data!BY62</f>
        <v>118424</v>
      </c>
      <c r="H332" s="86">
        <f>data!BZ62</f>
        <v>0</v>
      </c>
      <c r="I332" s="86">
        <f>data!CA62</f>
        <v>16256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1441.55</v>
      </c>
      <c r="E334" s="86">
        <f>data!BW64</f>
        <v>0</v>
      </c>
      <c r="F334" s="86">
        <f>data!BX64</f>
        <v>0</v>
      </c>
      <c r="G334" s="86">
        <f>data!BY64</f>
        <v>19386.900000000001</v>
      </c>
      <c r="H334" s="86">
        <f>data!BZ64</f>
        <v>0</v>
      </c>
      <c r="I334" s="86">
        <f>data!CA64</f>
        <v>130.46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22.01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83812.41</v>
      </c>
      <c r="E336" s="86">
        <f>data!BW66</f>
        <v>0</v>
      </c>
      <c r="F336" s="86">
        <f>data!BX66</f>
        <v>37.93</v>
      </c>
      <c r="G336" s="86">
        <f>data!BY66</f>
        <v>0</v>
      </c>
      <c r="H336" s="86">
        <f>data!BZ66</f>
        <v>0</v>
      </c>
      <c r="I336" s="86">
        <f>data!CA66</f>
        <v>4025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4298</v>
      </c>
      <c r="E337" s="86">
        <f>data!BW67</f>
        <v>610</v>
      </c>
      <c r="F337" s="86">
        <f>data!BX67</f>
        <v>1261</v>
      </c>
      <c r="G337" s="86">
        <f>data!BY67</f>
        <v>6187</v>
      </c>
      <c r="H337" s="86">
        <f>data!BZ67</f>
        <v>0</v>
      </c>
      <c r="I337" s="86">
        <f>data!CA67</f>
        <v>3446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25.98</v>
      </c>
      <c r="E339" s="86">
        <f>data!BW69</f>
        <v>0</v>
      </c>
      <c r="F339" s="86">
        <f>data!BX69</f>
        <v>2503.5100000000002</v>
      </c>
      <c r="G339" s="86">
        <f>data!BY69</f>
        <v>2273.84</v>
      </c>
      <c r="H339" s="86">
        <f>data!BZ69</f>
        <v>0</v>
      </c>
      <c r="I339" s="86">
        <f>data!CA69</f>
        <v>2764.96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171919.42</v>
      </c>
      <c r="E341" s="14">
        <f>data!BW71</f>
        <v>610</v>
      </c>
      <c r="F341" s="14">
        <f>data!BX71</f>
        <v>479831.51</v>
      </c>
      <c r="G341" s="14">
        <f>data!BY71</f>
        <v>1171452.5199999998</v>
      </c>
      <c r="H341" s="14">
        <f>data!BZ71</f>
        <v>0</v>
      </c>
      <c r="I341" s="14">
        <f>data!CA71</f>
        <v>129506.36000000002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958</v>
      </c>
      <c r="E348" s="85">
        <f>data!BW76</f>
        <v>136</v>
      </c>
      <c r="F348" s="85">
        <f>data!BX76</f>
        <v>281</v>
      </c>
      <c r="G348" s="85">
        <f>data!BY76</f>
        <v>1379</v>
      </c>
      <c r="H348" s="85">
        <f>data!BZ76</f>
        <v>0</v>
      </c>
      <c r="I348" s="85">
        <f>data!CA76</f>
        <v>768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Kindred Hospital Seattle Northgate/First Hill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6.46</v>
      </c>
      <c r="E362" s="217"/>
      <c r="F362" s="211"/>
      <c r="G362" s="211"/>
      <c r="H362" s="211"/>
      <c r="I362" s="87">
        <f>data!CE60</f>
        <v>197.62220085470082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722597</v>
      </c>
      <c r="E363" s="218"/>
      <c r="F363" s="219"/>
      <c r="G363" s="219"/>
      <c r="H363" s="219"/>
      <c r="I363" s="86">
        <f>data!CE61</f>
        <v>12723732.189999999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96641</v>
      </c>
      <c r="E364" s="218"/>
      <c r="F364" s="219"/>
      <c r="G364" s="219"/>
      <c r="H364" s="219"/>
      <c r="I364" s="86">
        <f>data!CE62</f>
        <v>1846296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10911.07</v>
      </c>
      <c r="E365" s="218"/>
      <c r="F365" s="219"/>
      <c r="G365" s="219"/>
      <c r="H365" s="219"/>
      <c r="I365" s="86">
        <f>data!CE63</f>
        <v>421837.03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4324</v>
      </c>
      <c r="E366" s="218"/>
      <c r="F366" s="219"/>
      <c r="G366" s="219"/>
      <c r="H366" s="219"/>
      <c r="I366" s="86">
        <f>data!CE64</f>
        <v>1380242.1600000001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3656</v>
      </c>
      <c r="E367" s="218"/>
      <c r="F367" s="219"/>
      <c r="G367" s="219"/>
      <c r="H367" s="219"/>
      <c r="I367" s="86">
        <f>data!CE65</f>
        <v>347398.38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626294.32999999996</v>
      </c>
      <c r="E368" s="218"/>
      <c r="F368" s="219"/>
      <c r="G368" s="219"/>
      <c r="H368" s="219"/>
      <c r="I368" s="86">
        <f>data!CE66</f>
        <v>4834120.7499999991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3603</v>
      </c>
      <c r="E369" s="218"/>
      <c r="F369" s="219"/>
      <c r="G369" s="219"/>
      <c r="H369" s="219"/>
      <c r="I369" s="86">
        <f>data!CE67</f>
        <v>362073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210343</v>
      </c>
      <c r="E370" s="218"/>
      <c r="F370" s="219"/>
      <c r="G370" s="219"/>
      <c r="H370" s="219"/>
      <c r="I370" s="86">
        <f>data!CE68</f>
        <v>537012.59000000008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951826.98</v>
      </c>
      <c r="E371" s="86">
        <f>data!CD69</f>
        <v>1514797</v>
      </c>
      <c r="F371" s="219"/>
      <c r="G371" s="219"/>
      <c r="H371" s="219"/>
      <c r="I371" s="86">
        <f>data!CE69</f>
        <v>3077444.13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80633</v>
      </c>
      <c r="F372" s="220"/>
      <c r="G372" s="220"/>
      <c r="H372" s="220"/>
      <c r="I372" s="14">
        <f>-data!CE70</f>
        <v>-80633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2630196.38</v>
      </c>
      <c r="E373" s="86">
        <f>data!CD71</f>
        <v>1434164</v>
      </c>
      <c r="F373" s="219"/>
      <c r="G373" s="219"/>
      <c r="H373" s="219"/>
      <c r="I373" s="14">
        <f>data!CE71</f>
        <v>25449523.229999997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93935503.870000005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0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93935503.870000005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803</v>
      </c>
      <c r="E380" s="214"/>
      <c r="F380" s="211"/>
      <c r="G380" s="211"/>
      <c r="H380" s="211"/>
      <c r="I380" s="14">
        <f>data!CE76</f>
        <v>80695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30106.400000000001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22912.25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224921.65488550841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95.620325854700852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Year'!Costcenter</vt:lpstr>
      <vt:lpstr>'Prior Year'!Edit</vt:lpstr>
      <vt:lpstr>Edit</vt:lpstr>
      <vt:lpstr>'Prior Year'!Funds</vt:lpstr>
      <vt:lpstr>'Prior Year'!Hospital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'Prior Year'!Support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2020-09-11T23:40:21Z</dcterms:modified>
</cp:coreProperties>
</file>