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>data!#REF!</definedName>
    <definedName name="Edit" localSheetId="9">'Prior Year'!$A$410:$E$477</definedName>
    <definedName name="Edit">data!$A$411:$E$478</definedName>
    <definedName name="Funds">data!#REF!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FS!$A$53:$C$102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'SS8'!$A$1:$D$33</definedName>
    <definedName name="_xlnm.Print_Area" localSheetId="1">Transmittal!$B$1:$J$42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06" i="1" l="1"/>
  <c r="CD69" i="1" l="1"/>
  <c r="E59" i="1"/>
  <c r="C213" i="1" l="1"/>
  <c r="C212" i="1"/>
  <c r="B213" i="1"/>
  <c r="C200" i="1"/>
  <c r="B200" i="1"/>
  <c r="C382" i="10" l="1"/>
  <c r="C376" i="10"/>
  <c r="C362" i="10"/>
  <c r="C359" i="10"/>
  <c r="C324" i="10"/>
  <c r="C304" i="10"/>
  <c r="C261" i="10"/>
  <c r="C252" i="10"/>
  <c r="C249" i="10"/>
  <c r="BC79" i="10"/>
  <c r="BB79" i="10"/>
  <c r="BA79" i="10"/>
  <c r="BI79" i="10"/>
  <c r="BH79" i="10"/>
  <c r="BM79" i="10"/>
  <c r="BL79" i="10"/>
  <c r="BK79" i="10"/>
  <c r="CB79" i="10"/>
  <c r="CA79" i="10"/>
  <c r="BZ79" i="10"/>
  <c r="BY79" i="10"/>
  <c r="BX79" i="10"/>
  <c r="BW79" i="10"/>
  <c r="BV79" i="10"/>
  <c r="BU79" i="10"/>
  <c r="BT79" i="10"/>
  <c r="BS79" i="10"/>
  <c r="CC77" i="10"/>
  <c r="CA77" i="10"/>
  <c r="BY77" i="10"/>
  <c r="BW77" i="10"/>
  <c r="BV77" i="10"/>
  <c r="BR77" i="10"/>
  <c r="BO77" i="10"/>
  <c r="BN77" i="10"/>
  <c r="BL77" i="10"/>
  <c r="BK77" i="10"/>
  <c r="BJ77" i="10"/>
  <c r="BH77" i="10"/>
  <c r="BF77" i="10"/>
  <c r="BE77" i="10"/>
  <c r="BD77" i="10"/>
  <c r="BA77" i="10"/>
  <c r="AY77" i="10"/>
  <c r="AV77" i="10"/>
  <c r="AP77" i="10"/>
  <c r="AG77" i="10"/>
  <c r="AC77" i="10"/>
  <c r="AB77" i="10"/>
  <c r="AA77" i="10"/>
  <c r="Y77" i="10"/>
  <c r="X77" i="10"/>
  <c r="W77" i="10"/>
  <c r="U77" i="10"/>
  <c r="S77" i="10"/>
  <c r="R77" i="10"/>
  <c r="Q77" i="10"/>
  <c r="P77" i="10"/>
  <c r="O77" i="10"/>
  <c r="J77" i="10"/>
  <c r="E77" i="10"/>
  <c r="BE59" i="10"/>
  <c r="AP60" i="10"/>
  <c r="CC60" i="10"/>
  <c r="CA60" i="10"/>
  <c r="BY60" i="10"/>
  <c r="BR60" i="10"/>
  <c r="BN60" i="10"/>
  <c r="BH60" i="10"/>
  <c r="BD60" i="10"/>
  <c r="AV60" i="10"/>
  <c r="AB60" i="10"/>
  <c r="Y60" i="10"/>
  <c r="U60" i="10"/>
  <c r="P60" i="10"/>
  <c r="E60" i="10"/>
  <c r="CC61" i="10"/>
  <c r="Y61" i="10"/>
  <c r="E59" i="10"/>
  <c r="C172" i="10"/>
  <c r="C169" i="10"/>
  <c r="C168" i="10"/>
  <c r="D141" i="10"/>
  <c r="C141" i="10"/>
  <c r="B141" i="10"/>
  <c r="D140" i="10"/>
  <c r="C140" i="10"/>
  <c r="B140" i="10"/>
  <c r="D139" i="10"/>
  <c r="AV75" i="10"/>
  <c r="AG75" i="10"/>
  <c r="CD71" i="10"/>
  <c r="BV71" i="10"/>
  <c r="AY71" i="10"/>
  <c r="AV71" i="10"/>
  <c r="AP71" i="10"/>
  <c r="AB71" i="10"/>
  <c r="CD70" i="10"/>
  <c r="CC70" i="10"/>
  <c r="BY70" i="10"/>
  <c r="BN70" i="10"/>
  <c r="AP70" i="10"/>
  <c r="AG70" i="10"/>
  <c r="AB70" i="10"/>
  <c r="Y70" i="10"/>
  <c r="R70" i="10"/>
  <c r="P70" i="10"/>
  <c r="E70" i="10"/>
  <c r="CC64" i="10"/>
  <c r="AP51" i="10"/>
  <c r="B52" i="10"/>
  <c r="CC47" i="10"/>
  <c r="C234" i="1" l="1"/>
  <c r="C233" i="1"/>
  <c r="D140" i="1" l="1"/>
  <c r="C140" i="1"/>
  <c r="B140" i="1"/>
  <c r="CC64" i="1" l="1"/>
  <c r="F493" i="1" l="1"/>
  <c r="D493" i="1"/>
  <c r="B493" i="1"/>
  <c r="CD72" i="10" l="1"/>
  <c r="B575" i="1" s="1"/>
  <c r="CE61" i="10"/>
  <c r="BQ48" i="10" s="1"/>
  <c r="BQ62" i="10" s="1"/>
  <c r="CE77" i="10"/>
  <c r="AO48" i="10"/>
  <c r="AO62" i="10" s="1"/>
  <c r="AC48" i="10"/>
  <c r="AC62" i="10" s="1"/>
  <c r="M48" i="10"/>
  <c r="M62" i="10" s="1"/>
  <c r="K48" i="10"/>
  <c r="K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C472" i="10" s="1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D463" i="10" s="1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C433" i="10" s="1"/>
  <c r="CE66" i="10"/>
  <c r="I815" i="10" s="1"/>
  <c r="CE64" i="10"/>
  <c r="G815" i="10" s="1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C43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62" i="10"/>
  <c r="L611" i="10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F9" i="6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2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D330" i="1"/>
  <c r="C86" i="8" s="1"/>
  <c r="C469" i="1"/>
  <c r="F8" i="6"/>
  <c r="G122" i="9"/>
  <c r="H58" i="9"/>
  <c r="F90" i="9"/>
  <c r="C218" i="9"/>
  <c r="D366" i="9"/>
  <c r="CE64" i="1"/>
  <c r="F612" i="1" s="1"/>
  <c r="D368" i="9"/>
  <c r="C276" i="9"/>
  <c r="CE70" i="1"/>
  <c r="I372" i="9" s="1"/>
  <c r="CE76" i="1"/>
  <c r="D612" i="1" s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CD71" i="1"/>
  <c r="E373" i="9" s="1"/>
  <c r="C615" i="1"/>
  <c r="C120" i="8"/>
  <c r="I612" i="1"/>
  <c r="E372" i="9"/>
  <c r="G28" i="4" l="1"/>
  <c r="B476" i="1"/>
  <c r="B464" i="10"/>
  <c r="D329" i="10"/>
  <c r="I611" i="10"/>
  <c r="G611" i="10"/>
  <c r="J611" i="10"/>
  <c r="H611" i="10"/>
  <c r="D48" i="10"/>
  <c r="D62" i="10" s="1"/>
  <c r="N48" i="10"/>
  <c r="N62" i="10" s="1"/>
  <c r="AS48" i="10"/>
  <c r="AS62" i="10" s="1"/>
  <c r="E48" i="10"/>
  <c r="E62" i="10" s="1"/>
  <c r="O48" i="10"/>
  <c r="O62" i="10" s="1"/>
  <c r="BE48" i="10"/>
  <c r="BE62" i="10" s="1"/>
  <c r="E787" i="10" s="1"/>
  <c r="F48" i="10"/>
  <c r="F62" i="10" s="1"/>
  <c r="E736" i="10" s="1"/>
  <c r="R48" i="10"/>
  <c r="R62" i="10" s="1"/>
  <c r="BI48" i="10"/>
  <c r="BI62" i="10" s="1"/>
  <c r="G48" i="10"/>
  <c r="G62" i="10" s="1"/>
  <c r="U48" i="10"/>
  <c r="U62" i="10" s="1"/>
  <c r="BO48" i="10"/>
  <c r="BO62" i="10" s="1"/>
  <c r="E797" i="10" s="1"/>
  <c r="I48" i="10"/>
  <c r="I62" i="10" s="1"/>
  <c r="Y48" i="10"/>
  <c r="Y62" i="10" s="1"/>
  <c r="L48" i="10"/>
  <c r="L62" i="10" s="1"/>
  <c r="E742" i="10" s="1"/>
  <c r="AM48" i="10"/>
  <c r="AM62" i="10" s="1"/>
  <c r="E769" i="10" s="1"/>
  <c r="BS48" i="10"/>
  <c r="BS62" i="10" s="1"/>
  <c r="E801" i="10" s="1"/>
  <c r="BU48" i="10"/>
  <c r="BU62" i="10" s="1"/>
  <c r="H48" i="10"/>
  <c r="H62" i="10" s="1"/>
  <c r="P48" i="10"/>
  <c r="P62" i="10" s="1"/>
  <c r="AQ48" i="10"/>
  <c r="AQ62" i="10" s="1"/>
  <c r="E773" i="10" s="1"/>
  <c r="J48" i="10"/>
  <c r="J62" i="10" s="1"/>
  <c r="T48" i="10"/>
  <c r="T62" i="10" s="1"/>
  <c r="E750" i="10" s="1"/>
  <c r="AY48" i="10"/>
  <c r="AY62" i="10" s="1"/>
  <c r="E781" i="10" s="1"/>
  <c r="BI729" i="10"/>
  <c r="BW48" i="10"/>
  <c r="BW62" i="10" s="1"/>
  <c r="E805" i="10" s="1"/>
  <c r="AA48" i="10"/>
  <c r="AA62" i="10" s="1"/>
  <c r="E757" i="10" s="1"/>
  <c r="BC48" i="10"/>
  <c r="BC62" i="10" s="1"/>
  <c r="E785" i="10" s="1"/>
  <c r="AI48" i="10"/>
  <c r="AI62" i="10" s="1"/>
  <c r="E765" i="10" s="1"/>
  <c r="BG48" i="10"/>
  <c r="BG62" i="10" s="1"/>
  <c r="E789" i="10" s="1"/>
  <c r="Q815" i="10"/>
  <c r="BY48" i="10"/>
  <c r="BY62" i="10" s="1"/>
  <c r="E807" i="10" s="1"/>
  <c r="V48" i="10"/>
  <c r="V62" i="10" s="1"/>
  <c r="AE48" i="10"/>
  <c r="AE62" i="10" s="1"/>
  <c r="AU48" i="10"/>
  <c r="AU62" i="10" s="1"/>
  <c r="BK48" i="10"/>
  <c r="BK62" i="10" s="1"/>
  <c r="CA48" i="10"/>
  <c r="CA62" i="10" s="1"/>
  <c r="Q48" i="10"/>
  <c r="Q62" i="10" s="1"/>
  <c r="E747" i="10" s="1"/>
  <c r="W48" i="10"/>
  <c r="W62" i="10" s="1"/>
  <c r="E753" i="10" s="1"/>
  <c r="AG48" i="10"/>
  <c r="AG62" i="10" s="1"/>
  <c r="E763" i="10" s="1"/>
  <c r="AW48" i="10"/>
  <c r="AW62" i="10" s="1"/>
  <c r="BM48" i="10"/>
  <c r="BM62" i="10" s="1"/>
  <c r="S48" i="10"/>
  <c r="S62" i="10" s="1"/>
  <c r="X48" i="10"/>
  <c r="X62" i="10" s="1"/>
  <c r="AK48" i="10"/>
  <c r="AK62" i="10" s="1"/>
  <c r="BA48" i="10"/>
  <c r="BA62" i="10" s="1"/>
  <c r="E783" i="10" s="1"/>
  <c r="B10" i="4"/>
  <c r="F11" i="6"/>
  <c r="G186" i="9"/>
  <c r="C429" i="1"/>
  <c r="C464" i="1"/>
  <c r="BQ48" i="1"/>
  <c r="BQ62" i="1" s="1"/>
  <c r="F300" i="9" s="1"/>
  <c r="R48" i="1"/>
  <c r="R62" i="1" s="1"/>
  <c r="D76" i="9" s="1"/>
  <c r="L48" i="1"/>
  <c r="L62" i="1" s="1"/>
  <c r="C440" i="1"/>
  <c r="AS48" i="1"/>
  <c r="AS62" i="1" s="1"/>
  <c r="C204" i="9" s="1"/>
  <c r="AN48" i="1"/>
  <c r="AN62" i="1" s="1"/>
  <c r="BB48" i="1"/>
  <c r="BB62" i="1" s="1"/>
  <c r="E236" i="9" s="1"/>
  <c r="BR48" i="1"/>
  <c r="BR62" i="1" s="1"/>
  <c r="O48" i="1"/>
  <c r="O62" i="1" s="1"/>
  <c r="H44" i="9" s="1"/>
  <c r="BO48" i="1"/>
  <c r="BO62" i="1" s="1"/>
  <c r="D300" i="9" s="1"/>
  <c r="AW48" i="1"/>
  <c r="AW62" i="1" s="1"/>
  <c r="CF76" i="1"/>
  <c r="O52" i="1" s="1"/>
  <c r="O67" i="1" s="1"/>
  <c r="I380" i="9"/>
  <c r="N48" i="1"/>
  <c r="N62" i="1" s="1"/>
  <c r="G44" i="9" s="1"/>
  <c r="AL48" i="1"/>
  <c r="AL62" i="1" s="1"/>
  <c r="C172" i="9" s="1"/>
  <c r="AZ48" i="1"/>
  <c r="AZ62" i="1" s="1"/>
  <c r="BP48" i="1"/>
  <c r="BP62" i="1" s="1"/>
  <c r="E300" i="9" s="1"/>
  <c r="BG48" i="1"/>
  <c r="BG62" i="1" s="1"/>
  <c r="C268" i="9" s="1"/>
  <c r="AO48" i="1"/>
  <c r="AO62" i="1" s="1"/>
  <c r="BA48" i="1"/>
  <c r="BA62" i="1" s="1"/>
  <c r="AM48" i="1"/>
  <c r="AM62" i="1" s="1"/>
  <c r="AC48" i="1"/>
  <c r="AC62" i="1" s="1"/>
  <c r="H108" i="9" s="1"/>
  <c r="H48" i="1"/>
  <c r="H62" i="1" s="1"/>
  <c r="V48" i="1"/>
  <c r="V62" i="1" s="1"/>
  <c r="AP48" i="1"/>
  <c r="AP62" i="1" s="1"/>
  <c r="BD48" i="1"/>
  <c r="BD62" i="1" s="1"/>
  <c r="G236" i="9" s="1"/>
  <c r="BT48" i="1"/>
  <c r="BT62" i="1" s="1"/>
  <c r="I300" i="9" s="1"/>
  <c r="K48" i="1"/>
  <c r="K62" i="1" s="1"/>
  <c r="D44" i="9" s="1"/>
  <c r="BW48" i="1"/>
  <c r="BW62" i="1" s="1"/>
  <c r="E332" i="9" s="1"/>
  <c r="BE48" i="1"/>
  <c r="BE62" i="1" s="1"/>
  <c r="H236" i="9" s="1"/>
  <c r="BC48" i="1"/>
  <c r="BC62" i="1" s="1"/>
  <c r="F236" i="9" s="1"/>
  <c r="G48" i="1"/>
  <c r="G62" i="1" s="1"/>
  <c r="G12" i="9" s="1"/>
  <c r="P48" i="1"/>
  <c r="P62" i="1" s="1"/>
  <c r="W48" i="1"/>
  <c r="W62" i="1" s="1"/>
  <c r="Z48" i="1"/>
  <c r="Z62" i="1" s="1"/>
  <c r="AR48" i="1"/>
  <c r="AR62" i="1" s="1"/>
  <c r="I172" i="9" s="1"/>
  <c r="BF48" i="1"/>
  <c r="BF62" i="1" s="1"/>
  <c r="BV48" i="1"/>
  <c r="BV62" i="1" s="1"/>
  <c r="D332" i="9" s="1"/>
  <c r="CB48" i="1"/>
  <c r="CB62" i="1" s="1"/>
  <c r="C364" i="9" s="1"/>
  <c r="S48" i="1"/>
  <c r="S62" i="1" s="1"/>
  <c r="CC48" i="1"/>
  <c r="CC62" i="1" s="1"/>
  <c r="BM48" i="1"/>
  <c r="BM62" i="1" s="1"/>
  <c r="I268" i="9" s="1"/>
  <c r="AE48" i="1"/>
  <c r="AE62" i="1" s="1"/>
  <c r="BZ48" i="1"/>
  <c r="BZ62" i="1" s="1"/>
  <c r="H332" i="9" s="1"/>
  <c r="T48" i="1"/>
  <c r="T62" i="1" s="1"/>
  <c r="F76" i="9" s="1"/>
  <c r="AD48" i="1"/>
  <c r="AD62" i="1" s="1"/>
  <c r="I108" i="9" s="1"/>
  <c r="AT48" i="1"/>
  <c r="AT62" i="1" s="1"/>
  <c r="D204" i="9" s="1"/>
  <c r="BH48" i="1"/>
  <c r="BH62" i="1" s="1"/>
  <c r="C48" i="1"/>
  <c r="C62" i="1" s="1"/>
  <c r="AA48" i="1"/>
  <c r="AA62" i="1" s="1"/>
  <c r="F108" i="9" s="1"/>
  <c r="I48" i="1"/>
  <c r="I62" i="1" s="1"/>
  <c r="BU48" i="1"/>
  <c r="BU62" i="1" s="1"/>
  <c r="M48" i="1"/>
  <c r="M62" i="1" s="1"/>
  <c r="X48" i="1"/>
  <c r="X62" i="1" s="1"/>
  <c r="C108" i="9" s="1"/>
  <c r="AF48" i="1"/>
  <c r="AF62" i="1" s="1"/>
  <c r="D140" i="9" s="1"/>
  <c r="BJ48" i="1"/>
  <c r="BJ62" i="1" s="1"/>
  <c r="F268" i="9" s="1"/>
  <c r="BX48" i="1"/>
  <c r="BX62" i="1" s="1"/>
  <c r="AI48" i="1"/>
  <c r="AI62" i="1" s="1"/>
  <c r="Q48" i="1"/>
  <c r="Q62" i="1" s="1"/>
  <c r="E48" i="1"/>
  <c r="E62" i="1" s="1"/>
  <c r="E12" i="9" s="1"/>
  <c r="BS48" i="1"/>
  <c r="BS62" i="1" s="1"/>
  <c r="AB48" i="1"/>
  <c r="AB62" i="1" s="1"/>
  <c r="G108" i="9" s="1"/>
  <c r="F48" i="1"/>
  <c r="F62" i="1" s="1"/>
  <c r="AH48" i="1"/>
  <c r="AH62" i="1" s="1"/>
  <c r="AV48" i="1"/>
  <c r="AV62" i="1" s="1"/>
  <c r="BL48" i="1"/>
  <c r="BL62" i="1" s="1"/>
  <c r="BY48" i="1"/>
  <c r="BY62" i="1" s="1"/>
  <c r="AQ48" i="1"/>
  <c r="AQ62" i="1" s="1"/>
  <c r="Y48" i="1"/>
  <c r="Y62" i="1" s="1"/>
  <c r="D108" i="9" s="1"/>
  <c r="U48" i="1"/>
  <c r="U62" i="1" s="1"/>
  <c r="C427" i="1"/>
  <c r="I363" i="9"/>
  <c r="J48" i="1"/>
  <c r="J62" i="1" s="1"/>
  <c r="C44" i="9" s="1"/>
  <c r="AJ48" i="1"/>
  <c r="AJ62" i="1" s="1"/>
  <c r="AX48" i="1"/>
  <c r="AX62" i="1" s="1"/>
  <c r="H204" i="9" s="1"/>
  <c r="BN48" i="1"/>
  <c r="BN62" i="1" s="1"/>
  <c r="CA48" i="1"/>
  <c r="CA62" i="1" s="1"/>
  <c r="AY48" i="1"/>
  <c r="AY62" i="1" s="1"/>
  <c r="AG48" i="1"/>
  <c r="AG62" i="1" s="1"/>
  <c r="AK48" i="1"/>
  <c r="AK62" i="1" s="1"/>
  <c r="BI48" i="1"/>
  <c r="BI62" i="1" s="1"/>
  <c r="E268" i="9" s="1"/>
  <c r="AU48" i="1"/>
  <c r="AU62" i="1" s="1"/>
  <c r="E204" i="9" s="1"/>
  <c r="D48" i="1"/>
  <c r="D62" i="1" s="1"/>
  <c r="G612" i="1"/>
  <c r="CF77" i="1"/>
  <c r="C141" i="8"/>
  <c r="E748" i="10"/>
  <c r="M815" i="10"/>
  <c r="D462" i="10"/>
  <c r="D464" i="10" s="1"/>
  <c r="K815" i="10"/>
  <c r="F814" i="10"/>
  <c r="P814" i="10"/>
  <c r="H814" i="10"/>
  <c r="R814" i="10"/>
  <c r="K814" i="10"/>
  <c r="T814" i="10"/>
  <c r="C473" i="1"/>
  <c r="G10" i="4"/>
  <c r="F10" i="4"/>
  <c r="C458" i="1"/>
  <c r="D463" i="1"/>
  <c r="G19" i="4"/>
  <c r="E19" i="4"/>
  <c r="E738" i="10"/>
  <c r="F12" i="6"/>
  <c r="C575" i="1"/>
  <c r="D186" i="9"/>
  <c r="F122" i="9"/>
  <c r="C14" i="5"/>
  <c r="D428" i="1"/>
  <c r="I26" i="9"/>
  <c r="E734" i="10"/>
  <c r="C27" i="5"/>
  <c r="D435" i="1"/>
  <c r="E735" i="10"/>
  <c r="C430" i="1"/>
  <c r="C430" i="10"/>
  <c r="B475" i="10"/>
  <c r="I366" i="9"/>
  <c r="C34" i="5"/>
  <c r="C429" i="10"/>
  <c r="CE76" i="10"/>
  <c r="K611" i="10" s="1"/>
  <c r="F611" i="10"/>
  <c r="D291" i="10"/>
  <c r="D340" i="10" s="1"/>
  <c r="C480" i="10" s="1"/>
  <c r="G814" i="10"/>
  <c r="Q814" i="10"/>
  <c r="D814" i="10"/>
  <c r="O814" i="10"/>
  <c r="C10" i="4"/>
  <c r="C421" i="1"/>
  <c r="I362" i="9"/>
  <c r="E218" i="10"/>
  <c r="C477" i="10" s="1"/>
  <c r="B440" i="10"/>
  <c r="C814" i="10"/>
  <c r="M814" i="10"/>
  <c r="L814" i="10"/>
  <c r="I814" i="10"/>
  <c r="S814" i="10"/>
  <c r="B446" i="1"/>
  <c r="D242" i="1"/>
  <c r="E779" i="10"/>
  <c r="E795" i="10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C464" i="10"/>
  <c r="N815" i="10"/>
  <c r="C420" i="1"/>
  <c r="B28" i="4"/>
  <c r="F186" i="9"/>
  <c r="I376" i="9"/>
  <c r="C463" i="1"/>
  <c r="D58" i="9"/>
  <c r="G26" i="9"/>
  <c r="E217" i="1"/>
  <c r="I384" i="9"/>
  <c r="L612" i="1"/>
  <c r="F218" i="9"/>
  <c r="D90" i="9"/>
  <c r="E755" i="10"/>
  <c r="E759" i="10"/>
  <c r="E775" i="10"/>
  <c r="E791" i="10"/>
  <c r="D464" i="1"/>
  <c r="H154" i="9"/>
  <c r="I367" i="9"/>
  <c r="E733" i="10"/>
  <c r="D373" i="1"/>
  <c r="D434" i="1"/>
  <c r="D292" i="1"/>
  <c r="C58" i="9"/>
  <c r="C468" i="10"/>
  <c r="E205" i="10"/>
  <c r="C475" i="10" s="1"/>
  <c r="C440" i="10"/>
  <c r="L815" i="10"/>
  <c r="E739" i="10"/>
  <c r="E741" i="10"/>
  <c r="E749" i="10"/>
  <c r="N814" i="10"/>
  <c r="D435" i="10"/>
  <c r="D437" i="10"/>
  <c r="E743" i="10"/>
  <c r="E751" i="10"/>
  <c r="E771" i="10"/>
  <c r="E803" i="10"/>
  <c r="E737" i="10"/>
  <c r="E745" i="10"/>
  <c r="E767" i="10"/>
  <c r="E799" i="10"/>
  <c r="C428" i="10"/>
  <c r="C447" i="10"/>
  <c r="D366" i="10"/>
  <c r="D371" i="10" s="1"/>
  <c r="D390" i="10" s="1"/>
  <c r="D392" i="10" s="1"/>
  <c r="D395" i="10" s="1"/>
  <c r="E740" i="10"/>
  <c r="E744" i="10"/>
  <c r="D338" i="10"/>
  <c r="C481" i="10" s="1"/>
  <c r="E746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CE62" i="10" l="1"/>
  <c r="BV52" i="10"/>
  <c r="BV67" i="10" s="1"/>
  <c r="J804" i="10" s="1"/>
  <c r="E793" i="10"/>
  <c r="E777" i="10"/>
  <c r="E761" i="10"/>
  <c r="E752" i="10"/>
  <c r="CE48" i="10"/>
  <c r="E754" i="10"/>
  <c r="CA72" i="10"/>
  <c r="E809" i="10"/>
  <c r="D465" i="1"/>
  <c r="C332" i="9"/>
  <c r="H172" i="9"/>
  <c r="I236" i="9"/>
  <c r="F44" i="9"/>
  <c r="G300" i="9"/>
  <c r="D12" i="9"/>
  <c r="E172" i="9"/>
  <c r="H12" i="9"/>
  <c r="E44" i="9"/>
  <c r="C300" i="9"/>
  <c r="D172" i="9"/>
  <c r="G172" i="9"/>
  <c r="D364" i="9"/>
  <c r="D52" i="1"/>
  <c r="D67" i="1" s="1"/>
  <c r="D71" i="1" s="1"/>
  <c r="C497" i="1" s="1"/>
  <c r="G497" i="1" s="1"/>
  <c r="F52" i="1"/>
  <c r="F67" i="1" s="1"/>
  <c r="F71" i="1" s="1"/>
  <c r="F21" i="9" s="1"/>
  <c r="AA52" i="1"/>
  <c r="AA67" i="1" s="1"/>
  <c r="AA71" i="1" s="1"/>
  <c r="C520" i="1" s="1"/>
  <c r="G520" i="1" s="1"/>
  <c r="AY52" i="1"/>
  <c r="AY67" i="1" s="1"/>
  <c r="AY71" i="1" s="1"/>
  <c r="BV52" i="1"/>
  <c r="BV67" i="1" s="1"/>
  <c r="BV71" i="1" s="1"/>
  <c r="C567" i="1" s="1"/>
  <c r="BF52" i="1"/>
  <c r="BF67" i="1" s="1"/>
  <c r="BF71" i="1" s="1"/>
  <c r="I245" i="9" s="1"/>
  <c r="AK52" i="1"/>
  <c r="AK67" i="1" s="1"/>
  <c r="AK71" i="1" s="1"/>
  <c r="C530" i="1" s="1"/>
  <c r="G530" i="1" s="1"/>
  <c r="BD52" i="1"/>
  <c r="BD67" i="1" s="1"/>
  <c r="BD71" i="1" s="1"/>
  <c r="G245" i="9" s="1"/>
  <c r="BR52" i="1"/>
  <c r="BR67" i="1" s="1"/>
  <c r="BR71" i="1" s="1"/>
  <c r="C563" i="1" s="1"/>
  <c r="M52" i="1"/>
  <c r="M67" i="1" s="1"/>
  <c r="M71" i="1" s="1"/>
  <c r="C506" i="1" s="1"/>
  <c r="G506" i="1" s="1"/>
  <c r="G52" i="1"/>
  <c r="G67" i="1" s="1"/>
  <c r="G71" i="1" s="1"/>
  <c r="C672" i="1" s="1"/>
  <c r="T52" i="1"/>
  <c r="T67" i="1" s="1"/>
  <c r="T71" i="1" s="1"/>
  <c r="C513" i="1" s="1"/>
  <c r="G513" i="1" s="1"/>
  <c r="AX52" i="1"/>
  <c r="AX67" i="1" s="1"/>
  <c r="AX71" i="1" s="1"/>
  <c r="C616" i="1" s="1"/>
  <c r="CB52" i="1"/>
  <c r="CB67" i="1" s="1"/>
  <c r="CB71" i="1" s="1"/>
  <c r="C622" i="1" s="1"/>
  <c r="BE52" i="1"/>
  <c r="BE67" i="1" s="1"/>
  <c r="BE71" i="1" s="1"/>
  <c r="C614" i="1" s="1"/>
  <c r="D615" i="1" s="1"/>
  <c r="BM52" i="1"/>
  <c r="BM67" i="1" s="1"/>
  <c r="BM71" i="1" s="1"/>
  <c r="C638" i="1" s="1"/>
  <c r="G332" i="9"/>
  <c r="C76" i="9"/>
  <c r="H140" i="9"/>
  <c r="F172" i="9"/>
  <c r="E108" i="9"/>
  <c r="F12" i="9"/>
  <c r="E76" i="9"/>
  <c r="D268" i="9"/>
  <c r="I204" i="9"/>
  <c r="G76" i="9"/>
  <c r="G204" i="9"/>
  <c r="I140" i="9"/>
  <c r="F140" i="9"/>
  <c r="F332" i="9"/>
  <c r="CE62" i="1"/>
  <c r="I364" i="9" s="1"/>
  <c r="I76" i="9"/>
  <c r="H76" i="9"/>
  <c r="C236" i="9"/>
  <c r="AW52" i="1"/>
  <c r="AW67" i="1" s="1"/>
  <c r="AW71" i="1" s="1"/>
  <c r="G213" i="9" s="1"/>
  <c r="AM52" i="1"/>
  <c r="AM67" i="1" s="1"/>
  <c r="AM71" i="1" s="1"/>
  <c r="C532" i="1" s="1"/>
  <c r="G532" i="1" s="1"/>
  <c r="AO52" i="1"/>
  <c r="AO67" i="1" s="1"/>
  <c r="AO71" i="1" s="1"/>
  <c r="S52" i="1"/>
  <c r="S67" i="1" s="1"/>
  <c r="S71" i="1" s="1"/>
  <c r="C684" i="1" s="1"/>
  <c r="BY52" i="1"/>
  <c r="BY67" i="1" s="1"/>
  <c r="BY71" i="1" s="1"/>
  <c r="G341" i="9" s="1"/>
  <c r="BN52" i="1"/>
  <c r="BN67" i="1" s="1"/>
  <c r="BN71" i="1" s="1"/>
  <c r="C619" i="1" s="1"/>
  <c r="BQ52" i="1"/>
  <c r="BQ67" i="1" s="1"/>
  <c r="BQ71" i="1" s="1"/>
  <c r="F309" i="9" s="1"/>
  <c r="H52" i="1"/>
  <c r="H67" i="1" s="1"/>
  <c r="H71" i="1" s="1"/>
  <c r="C501" i="1" s="1"/>
  <c r="G501" i="1" s="1"/>
  <c r="I332" i="9"/>
  <c r="H49" i="9"/>
  <c r="O71" i="1"/>
  <c r="C508" i="1" s="1"/>
  <c r="G508" i="1" s="1"/>
  <c r="BC52" i="1"/>
  <c r="BC67" i="1" s="1"/>
  <c r="AE52" i="1"/>
  <c r="AE67" i="1" s="1"/>
  <c r="AE71" i="1" s="1"/>
  <c r="V52" i="1"/>
  <c r="V67" i="1" s="1"/>
  <c r="U52" i="1"/>
  <c r="U67" i="1" s="1"/>
  <c r="I52" i="1"/>
  <c r="I67" i="1" s="1"/>
  <c r="I71" i="1" s="1"/>
  <c r="BO52" i="1"/>
  <c r="BO67" i="1" s="1"/>
  <c r="AS52" i="1"/>
  <c r="AS67" i="1" s="1"/>
  <c r="AN52" i="1"/>
  <c r="AN67" i="1" s="1"/>
  <c r="AR52" i="1"/>
  <c r="AR67" i="1" s="1"/>
  <c r="K52" i="1"/>
  <c r="K67" i="1" s="1"/>
  <c r="K71" i="1" s="1"/>
  <c r="X52" i="1"/>
  <c r="X67" i="1" s="1"/>
  <c r="N52" i="1"/>
  <c r="N67" i="1" s="1"/>
  <c r="BP52" i="1"/>
  <c r="BP67" i="1" s="1"/>
  <c r="AH52" i="1"/>
  <c r="AH67" i="1" s="1"/>
  <c r="C52" i="1"/>
  <c r="W52" i="1"/>
  <c r="W67" i="1" s="1"/>
  <c r="AF52" i="1"/>
  <c r="AF67" i="1" s="1"/>
  <c r="BU52" i="1"/>
  <c r="BU67" i="1" s="1"/>
  <c r="AU52" i="1"/>
  <c r="AU67" i="1" s="1"/>
  <c r="BX52" i="1"/>
  <c r="BX67" i="1" s="1"/>
  <c r="BI52" i="1"/>
  <c r="BI67" i="1" s="1"/>
  <c r="BI71" i="1" s="1"/>
  <c r="E52" i="1"/>
  <c r="E67" i="1" s="1"/>
  <c r="BG52" i="1"/>
  <c r="BG67" i="1" s="1"/>
  <c r="AL52" i="1"/>
  <c r="AL67" i="1" s="1"/>
  <c r="BJ52" i="1"/>
  <c r="BJ67" i="1" s="1"/>
  <c r="BB52" i="1"/>
  <c r="BB67" i="1" s="1"/>
  <c r="AT52" i="1"/>
  <c r="AT67" i="1" s="1"/>
  <c r="Z52" i="1"/>
  <c r="Z67" i="1" s="1"/>
  <c r="Z71" i="1" s="1"/>
  <c r="E117" i="9" s="1"/>
  <c r="P52" i="1"/>
  <c r="P67" i="1" s="1"/>
  <c r="P71" i="1" s="1"/>
  <c r="Q52" i="1"/>
  <c r="Q67" i="1" s="1"/>
  <c r="Y52" i="1"/>
  <c r="Y67" i="1" s="1"/>
  <c r="Y71" i="1" s="1"/>
  <c r="J52" i="1"/>
  <c r="J67" i="1" s="1"/>
  <c r="CC52" i="1"/>
  <c r="CC67" i="1" s="1"/>
  <c r="BK52" i="1"/>
  <c r="BK67" i="1" s="1"/>
  <c r="AG52" i="1"/>
  <c r="AG67" i="1" s="1"/>
  <c r="AG71" i="1" s="1"/>
  <c r="E149" i="9" s="1"/>
  <c r="AD52" i="1"/>
  <c r="AD67" i="1" s="1"/>
  <c r="BH52" i="1"/>
  <c r="BH67" i="1" s="1"/>
  <c r="BW52" i="1"/>
  <c r="BW67" i="1" s="1"/>
  <c r="BZ52" i="1"/>
  <c r="BZ67" i="1" s="1"/>
  <c r="L52" i="1"/>
  <c r="L67" i="1" s="1"/>
  <c r="BT52" i="1"/>
  <c r="BT67" i="1" s="1"/>
  <c r="AC52" i="1"/>
  <c r="AC67" i="1" s="1"/>
  <c r="AZ52" i="1"/>
  <c r="AZ67" i="1" s="1"/>
  <c r="AJ52" i="1"/>
  <c r="AJ67" i="1" s="1"/>
  <c r="AQ52" i="1"/>
  <c r="AQ67" i="1" s="1"/>
  <c r="AI52" i="1"/>
  <c r="AI67" i="1" s="1"/>
  <c r="AI71" i="1" s="1"/>
  <c r="BA52" i="1"/>
  <c r="BA67" i="1" s="1"/>
  <c r="BA71" i="1" s="1"/>
  <c r="CA52" i="1"/>
  <c r="CA67" i="1" s="1"/>
  <c r="AP52" i="1"/>
  <c r="AP67" i="1" s="1"/>
  <c r="BL52" i="1"/>
  <c r="BL67" i="1" s="1"/>
  <c r="AV52" i="1"/>
  <c r="AV67" i="1" s="1"/>
  <c r="R52" i="1"/>
  <c r="R67" i="1" s="1"/>
  <c r="BS52" i="1"/>
  <c r="BS67" i="1" s="1"/>
  <c r="AB52" i="1"/>
  <c r="AB67" i="1" s="1"/>
  <c r="D236" i="9"/>
  <c r="C140" i="9"/>
  <c r="I12" i="9"/>
  <c r="F204" i="9"/>
  <c r="C12" i="9"/>
  <c r="I44" i="9"/>
  <c r="CE48" i="1"/>
  <c r="H268" i="9"/>
  <c r="H300" i="9"/>
  <c r="E140" i="9"/>
  <c r="G140" i="9"/>
  <c r="AT52" i="10"/>
  <c r="AT67" i="10" s="1"/>
  <c r="J776" i="10" s="1"/>
  <c r="AB52" i="10"/>
  <c r="AB67" i="10" s="1"/>
  <c r="J758" i="10" s="1"/>
  <c r="BZ52" i="10"/>
  <c r="BZ67" i="10" s="1"/>
  <c r="J808" i="10" s="1"/>
  <c r="AR52" i="10"/>
  <c r="AR67" i="10" s="1"/>
  <c r="J774" i="10" s="1"/>
  <c r="I52" i="10"/>
  <c r="I67" i="10" s="1"/>
  <c r="BH52" i="10"/>
  <c r="BH67" i="10" s="1"/>
  <c r="J790" i="10" s="1"/>
  <c r="Q52" i="10"/>
  <c r="Q67" i="10" s="1"/>
  <c r="BX52" i="10"/>
  <c r="BX67" i="10" s="1"/>
  <c r="J806" i="10" s="1"/>
  <c r="Y52" i="10"/>
  <c r="Y67" i="10" s="1"/>
  <c r="AP52" i="10"/>
  <c r="AP67" i="10" s="1"/>
  <c r="J772" i="10" s="1"/>
  <c r="J52" i="10"/>
  <c r="J67" i="10" s="1"/>
  <c r="AB72" i="10"/>
  <c r="B521" i="1" s="1"/>
  <c r="E758" i="10"/>
  <c r="AR72" i="10"/>
  <c r="B537" i="1" s="1"/>
  <c r="E774" i="10"/>
  <c r="E798" i="10"/>
  <c r="AW52" i="10"/>
  <c r="AW67" i="10" s="1"/>
  <c r="BE52" i="10"/>
  <c r="BE67" i="10" s="1"/>
  <c r="BU52" i="10"/>
  <c r="BU67" i="10" s="1"/>
  <c r="CC52" i="10"/>
  <c r="CC67" i="10" s="1"/>
  <c r="J811" i="10" s="1"/>
  <c r="D27" i="7"/>
  <c r="B448" i="1"/>
  <c r="E768" i="10"/>
  <c r="E776" i="10"/>
  <c r="E784" i="10"/>
  <c r="E792" i="10"/>
  <c r="E800" i="10"/>
  <c r="BZ72" i="10"/>
  <c r="B571" i="1" s="1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AQ52" i="10"/>
  <c r="AQ67" i="10" s="1"/>
  <c r="AY52" i="10"/>
  <c r="AY67" i="10" s="1"/>
  <c r="BG52" i="10"/>
  <c r="BG67" i="10" s="1"/>
  <c r="BO52" i="10"/>
  <c r="BO67" i="10" s="1"/>
  <c r="BW52" i="10"/>
  <c r="BW67" i="10" s="1"/>
  <c r="I378" i="9"/>
  <c r="K612" i="1"/>
  <c r="C465" i="1"/>
  <c r="E766" i="10"/>
  <c r="BH72" i="10"/>
  <c r="B553" i="1" s="1"/>
  <c r="E790" i="10"/>
  <c r="C126" i="8"/>
  <c r="D391" i="1"/>
  <c r="F32" i="6"/>
  <c r="C478" i="1"/>
  <c r="R52" i="10"/>
  <c r="R67" i="10" s="1"/>
  <c r="AG52" i="10"/>
  <c r="AG67" i="10" s="1"/>
  <c r="BM52" i="10"/>
  <c r="BM67" i="10" s="1"/>
  <c r="C102" i="8"/>
  <c r="C482" i="1"/>
  <c r="E760" i="10"/>
  <c r="E770" i="10"/>
  <c r="E786" i="10"/>
  <c r="E802" i="10"/>
  <c r="CB72" i="10"/>
  <c r="B573" i="1" s="1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J752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BY52" i="10"/>
  <c r="BY67" i="10" s="1"/>
  <c r="E782" i="10"/>
  <c r="E806" i="10"/>
  <c r="D17" i="9"/>
  <c r="AO52" i="10"/>
  <c r="AO67" i="10" s="1"/>
  <c r="AF72" i="10"/>
  <c r="B525" i="1" s="1"/>
  <c r="E762" i="10"/>
  <c r="AV72" i="10"/>
  <c r="B541" i="1" s="1"/>
  <c r="E778" i="10"/>
  <c r="BL72" i="10"/>
  <c r="B557" i="1" s="1"/>
  <c r="E794" i="10"/>
  <c r="E756" i="10"/>
  <c r="E764" i="10"/>
  <c r="AP72" i="10"/>
  <c r="B535" i="1" s="1"/>
  <c r="E772" i="10"/>
  <c r="AX72" i="10"/>
  <c r="B543" i="1" s="1"/>
  <c r="E780" i="10"/>
  <c r="BF72" i="10"/>
  <c r="B551" i="1" s="1"/>
  <c r="E788" i="10"/>
  <c r="E796" i="10"/>
  <c r="BV72" i="10"/>
  <c r="B567" i="1" s="1"/>
  <c r="E804" i="10"/>
  <c r="CC72" i="10"/>
  <c r="B574" i="1" s="1"/>
  <c r="E811" i="10"/>
  <c r="C427" i="10"/>
  <c r="E815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J754" i="10" s="1"/>
  <c r="AE52" i="10"/>
  <c r="AE67" i="10" s="1"/>
  <c r="J761" i="10" s="1"/>
  <c r="AM52" i="10"/>
  <c r="AM67" i="10" s="1"/>
  <c r="AU52" i="10"/>
  <c r="AU67" i="10" s="1"/>
  <c r="J777" i="10" s="1"/>
  <c r="BC52" i="10"/>
  <c r="BC67" i="10" s="1"/>
  <c r="BK52" i="10"/>
  <c r="BK67" i="10" s="1"/>
  <c r="J793" i="10" s="1"/>
  <c r="BS52" i="10"/>
  <c r="BS67" i="10" s="1"/>
  <c r="AZ72" i="10" l="1"/>
  <c r="B545" i="1" s="1"/>
  <c r="E814" i="10"/>
  <c r="AT72" i="10"/>
  <c r="B539" i="1" s="1"/>
  <c r="BN72" i="10"/>
  <c r="B559" i="1" s="1"/>
  <c r="Z72" i="10"/>
  <c r="B519" i="1" s="1"/>
  <c r="BX72" i="10"/>
  <c r="B569" i="1" s="1"/>
  <c r="J801" i="10"/>
  <c r="BS72" i="10"/>
  <c r="J738" i="10"/>
  <c r="H72" i="10"/>
  <c r="J791" i="10"/>
  <c r="BI72" i="10"/>
  <c r="J751" i="10"/>
  <c r="U72" i="10"/>
  <c r="AD72" i="10"/>
  <c r="B523" i="1" s="1"/>
  <c r="J773" i="10"/>
  <c r="AQ72" i="10"/>
  <c r="BB72" i="10"/>
  <c r="B547" i="1" s="1"/>
  <c r="J803" i="10"/>
  <c r="BU72" i="10"/>
  <c r="J746" i="10"/>
  <c r="P72" i="10"/>
  <c r="J799" i="10"/>
  <c r="BQ72" i="10"/>
  <c r="J783" i="10"/>
  <c r="BA72" i="10"/>
  <c r="J743" i="10"/>
  <c r="M72" i="10"/>
  <c r="J765" i="10"/>
  <c r="AI72" i="10"/>
  <c r="J787" i="10"/>
  <c r="BE72" i="10"/>
  <c r="AU72" i="10"/>
  <c r="C539" i="10" s="1"/>
  <c r="G539" i="10" s="1"/>
  <c r="J741" i="10"/>
  <c r="K72" i="10"/>
  <c r="J753" i="10"/>
  <c r="W72" i="10"/>
  <c r="J785" i="10"/>
  <c r="BC72" i="10"/>
  <c r="J745" i="10"/>
  <c r="O72" i="10"/>
  <c r="J775" i="10"/>
  <c r="AS72" i="10"/>
  <c r="J735" i="10"/>
  <c r="E72" i="10"/>
  <c r="BT72" i="10"/>
  <c r="B565" i="1" s="1"/>
  <c r="J757" i="10"/>
  <c r="AA72" i="10"/>
  <c r="J779" i="10"/>
  <c r="AW72" i="10"/>
  <c r="BP72" i="10"/>
  <c r="B561" i="1" s="1"/>
  <c r="J740" i="10"/>
  <c r="J72" i="10"/>
  <c r="V72" i="10"/>
  <c r="C514" i="10" s="1"/>
  <c r="J736" i="10"/>
  <c r="F72" i="10"/>
  <c r="J737" i="10"/>
  <c r="G72" i="10"/>
  <c r="AH72" i="10"/>
  <c r="B527" i="1" s="1"/>
  <c r="J767" i="10"/>
  <c r="AK72" i="10"/>
  <c r="J795" i="10"/>
  <c r="BM72" i="10"/>
  <c r="J750" i="10"/>
  <c r="T72" i="10"/>
  <c r="BK72" i="10"/>
  <c r="C634" i="10" s="1"/>
  <c r="J769" i="10"/>
  <c r="AM72" i="10"/>
  <c r="J771" i="10"/>
  <c r="AO72" i="10"/>
  <c r="J759" i="10"/>
  <c r="AC72" i="10"/>
  <c r="BD72" i="10"/>
  <c r="B549" i="1" s="1"/>
  <c r="J763" i="10"/>
  <c r="AG72" i="10"/>
  <c r="J805" i="10"/>
  <c r="BW72" i="10"/>
  <c r="J742" i="10"/>
  <c r="L72" i="10"/>
  <c r="BR72" i="10"/>
  <c r="B563" i="1" s="1"/>
  <c r="AL72" i="10"/>
  <c r="B531" i="1" s="1"/>
  <c r="J755" i="10"/>
  <c r="Y72" i="10"/>
  <c r="J739" i="10"/>
  <c r="I72" i="10"/>
  <c r="J781" i="10"/>
  <c r="AY72" i="10"/>
  <c r="J748" i="10"/>
  <c r="R72" i="10"/>
  <c r="AJ72" i="10"/>
  <c r="B529" i="1" s="1"/>
  <c r="J797" i="10"/>
  <c r="BO72" i="10"/>
  <c r="J734" i="10"/>
  <c r="D72" i="10"/>
  <c r="J747" i="10"/>
  <c r="Q72" i="10"/>
  <c r="J807" i="10"/>
  <c r="BY72" i="10"/>
  <c r="J744" i="10"/>
  <c r="N72" i="10"/>
  <c r="AN72" i="10"/>
  <c r="B533" i="1" s="1"/>
  <c r="J789" i="10"/>
  <c r="BG72" i="10"/>
  <c r="J749" i="10"/>
  <c r="S72" i="10"/>
  <c r="BJ72" i="10"/>
  <c r="B555" i="1" s="1"/>
  <c r="X72" i="10"/>
  <c r="C516" i="10" s="1"/>
  <c r="AE72" i="10"/>
  <c r="C523" i="10" s="1"/>
  <c r="C686" i="10"/>
  <c r="B515" i="1"/>
  <c r="B572" i="1"/>
  <c r="C646" i="10"/>
  <c r="C571" i="10"/>
  <c r="D341" i="9"/>
  <c r="C642" i="1"/>
  <c r="I145" i="9"/>
  <c r="H273" i="9"/>
  <c r="H241" i="9"/>
  <c r="C550" i="1"/>
  <c r="G550" i="1" s="1"/>
  <c r="G305" i="9"/>
  <c r="C549" i="1"/>
  <c r="G17" i="9"/>
  <c r="F113" i="9"/>
  <c r="H17" i="9"/>
  <c r="D21" i="9"/>
  <c r="C669" i="1"/>
  <c r="H245" i="9"/>
  <c r="D177" i="9"/>
  <c r="I209" i="9"/>
  <c r="F81" i="9"/>
  <c r="F17" i="9"/>
  <c r="G21" i="9"/>
  <c r="C499" i="1"/>
  <c r="G499" i="1" s="1"/>
  <c r="C500" i="1"/>
  <c r="G500" i="1" s="1"/>
  <c r="C671" i="1"/>
  <c r="C625" i="1"/>
  <c r="C544" i="1"/>
  <c r="G544" i="1" s="1"/>
  <c r="I213" i="9"/>
  <c r="H213" i="9"/>
  <c r="C543" i="1"/>
  <c r="H209" i="9"/>
  <c r="D337" i="9"/>
  <c r="C704" i="1"/>
  <c r="C685" i="1"/>
  <c r="D181" i="9"/>
  <c r="F85" i="9"/>
  <c r="I241" i="9"/>
  <c r="C369" i="9"/>
  <c r="C551" i="1"/>
  <c r="C629" i="1"/>
  <c r="C573" i="1"/>
  <c r="E81" i="9"/>
  <c r="C373" i="9"/>
  <c r="C624" i="1"/>
  <c r="G241" i="9"/>
  <c r="I273" i="9"/>
  <c r="BL71" i="1"/>
  <c r="C557" i="1" s="1"/>
  <c r="C626" i="1"/>
  <c r="G309" i="9"/>
  <c r="C305" i="9"/>
  <c r="C678" i="1"/>
  <c r="F53" i="9"/>
  <c r="F49" i="9"/>
  <c r="C680" i="1"/>
  <c r="H53" i="9"/>
  <c r="E85" i="9"/>
  <c r="C512" i="1"/>
  <c r="G512" i="1" s="1"/>
  <c r="G209" i="9"/>
  <c r="F117" i="9"/>
  <c r="C673" i="1"/>
  <c r="C692" i="1"/>
  <c r="H21" i="9"/>
  <c r="C631" i="1"/>
  <c r="I149" i="9"/>
  <c r="G337" i="9"/>
  <c r="C309" i="9"/>
  <c r="C559" i="1"/>
  <c r="C428" i="1"/>
  <c r="I277" i="9"/>
  <c r="C558" i="1"/>
  <c r="C526" i="1"/>
  <c r="G526" i="1" s="1"/>
  <c r="C645" i="1"/>
  <c r="C698" i="1"/>
  <c r="C570" i="1"/>
  <c r="C702" i="1"/>
  <c r="C542" i="1"/>
  <c r="C528" i="1"/>
  <c r="G528" i="1" s="1"/>
  <c r="C700" i="1"/>
  <c r="C562" i="1"/>
  <c r="C623" i="1"/>
  <c r="F305" i="9"/>
  <c r="F177" i="9"/>
  <c r="D644" i="1"/>
  <c r="D629" i="1"/>
  <c r="D673" i="1"/>
  <c r="D701" i="1"/>
  <c r="D691" i="1"/>
  <c r="D710" i="1"/>
  <c r="D619" i="1"/>
  <c r="D625" i="1"/>
  <c r="D680" i="1"/>
  <c r="D620" i="1"/>
  <c r="D677" i="1"/>
  <c r="D696" i="1"/>
  <c r="D668" i="1"/>
  <c r="D695" i="1"/>
  <c r="D681" i="1"/>
  <c r="D689" i="1"/>
  <c r="D669" i="1"/>
  <c r="D640" i="1"/>
  <c r="D643" i="1"/>
  <c r="D624" i="1"/>
  <c r="D683" i="1"/>
  <c r="G149" i="9"/>
  <c r="C691" i="1"/>
  <c r="C519" i="1"/>
  <c r="G519" i="1" s="1"/>
  <c r="F181" i="9"/>
  <c r="C534" i="1"/>
  <c r="G534" i="1" s="1"/>
  <c r="C706" i="1"/>
  <c r="D245" i="9"/>
  <c r="C630" i="1"/>
  <c r="C546" i="1"/>
  <c r="G546" i="1" s="1"/>
  <c r="C674" i="1"/>
  <c r="I21" i="9"/>
  <c r="C502" i="1"/>
  <c r="G502" i="1" s="1"/>
  <c r="D53" i="9"/>
  <c r="C504" i="1"/>
  <c r="G504" i="1" s="1"/>
  <c r="C676" i="1"/>
  <c r="AV71" i="1"/>
  <c r="F209" i="9"/>
  <c r="H145" i="9"/>
  <c r="AJ71" i="1"/>
  <c r="AD71" i="1"/>
  <c r="I113" i="9"/>
  <c r="E113" i="9"/>
  <c r="F337" i="9"/>
  <c r="BX71" i="1"/>
  <c r="N71" i="1"/>
  <c r="G49" i="9"/>
  <c r="G81" i="9"/>
  <c r="U71" i="1"/>
  <c r="C241" i="9"/>
  <c r="AZ71" i="1"/>
  <c r="E145" i="9"/>
  <c r="D209" i="9"/>
  <c r="AT71" i="1"/>
  <c r="E209" i="9"/>
  <c r="AU71" i="1"/>
  <c r="C113" i="9"/>
  <c r="X71" i="1"/>
  <c r="V71" i="1"/>
  <c r="H81" i="9"/>
  <c r="AP71" i="1"/>
  <c r="G177" i="9"/>
  <c r="H113" i="9"/>
  <c r="AC71" i="1"/>
  <c r="G273" i="9"/>
  <c r="BK71" i="1"/>
  <c r="E241" i="9"/>
  <c r="BB71" i="1"/>
  <c r="BU71" i="1"/>
  <c r="C337" i="9"/>
  <c r="D49" i="9"/>
  <c r="C145" i="9"/>
  <c r="I337" i="9"/>
  <c r="CA71" i="1"/>
  <c r="BT71" i="1"/>
  <c r="I305" i="9"/>
  <c r="D369" i="9"/>
  <c r="CC71" i="1"/>
  <c r="F273" i="9"/>
  <c r="BJ71" i="1"/>
  <c r="D145" i="9"/>
  <c r="AF71" i="1"/>
  <c r="I177" i="9"/>
  <c r="AR71" i="1"/>
  <c r="F241" i="9"/>
  <c r="BC71" i="1"/>
  <c r="C690" i="1"/>
  <c r="C518" i="1"/>
  <c r="G518" i="1" s="1"/>
  <c r="D117" i="9"/>
  <c r="L71" i="1"/>
  <c r="E49" i="9"/>
  <c r="J71" i="1"/>
  <c r="C49" i="9"/>
  <c r="C177" i="9"/>
  <c r="AL71" i="1"/>
  <c r="W71" i="1"/>
  <c r="I81" i="9"/>
  <c r="E177" i="9"/>
  <c r="AN71" i="1"/>
  <c r="AB71" i="1"/>
  <c r="G113" i="9"/>
  <c r="D241" i="9"/>
  <c r="H337" i="9"/>
  <c r="BZ71" i="1"/>
  <c r="D113" i="9"/>
  <c r="BG71" i="1"/>
  <c r="C273" i="9"/>
  <c r="C67" i="1"/>
  <c r="CE52" i="1"/>
  <c r="AS71" i="1"/>
  <c r="C209" i="9"/>
  <c r="BS71" i="1"/>
  <c r="H305" i="9"/>
  <c r="G145" i="9"/>
  <c r="BW71" i="1"/>
  <c r="E337" i="9"/>
  <c r="C81" i="9"/>
  <c r="Q71" i="1"/>
  <c r="E71" i="1"/>
  <c r="E17" i="9"/>
  <c r="F145" i="9"/>
  <c r="AH71" i="1"/>
  <c r="D305" i="9"/>
  <c r="BO71" i="1"/>
  <c r="R71" i="1"/>
  <c r="D81" i="9"/>
  <c r="H177" i="9"/>
  <c r="AQ71" i="1"/>
  <c r="BH71" i="1"/>
  <c r="D273" i="9"/>
  <c r="I49" i="9"/>
  <c r="E273" i="9"/>
  <c r="BP71" i="1"/>
  <c r="E305" i="9"/>
  <c r="I17" i="9"/>
  <c r="C634" i="1"/>
  <c r="E277" i="9"/>
  <c r="C554" i="1"/>
  <c r="C524" i="1"/>
  <c r="G524" i="1" s="1"/>
  <c r="C696" i="1"/>
  <c r="C149" i="9"/>
  <c r="C509" i="1"/>
  <c r="G509" i="1" s="1"/>
  <c r="I53" i="9"/>
  <c r="C681" i="1"/>
  <c r="D616" i="1"/>
  <c r="D698" i="1"/>
  <c r="D713" i="1"/>
  <c r="D702" i="1"/>
  <c r="D636" i="1"/>
  <c r="D709" i="1"/>
  <c r="D716" i="1"/>
  <c r="D674" i="1"/>
  <c r="D642" i="1"/>
  <c r="D684" i="1"/>
  <c r="D682" i="1"/>
  <c r="D630" i="1"/>
  <c r="D675" i="1"/>
  <c r="D699" i="1"/>
  <c r="D686" i="1"/>
  <c r="D623" i="1"/>
  <c r="D700" i="1"/>
  <c r="D622" i="1"/>
  <c r="D692" i="1"/>
  <c r="D687" i="1"/>
  <c r="D618" i="1"/>
  <c r="D693" i="1"/>
  <c r="D679" i="1"/>
  <c r="D688" i="1"/>
  <c r="D708" i="1"/>
  <c r="D646" i="1"/>
  <c r="D633" i="1"/>
  <c r="D641" i="1"/>
  <c r="D626" i="1"/>
  <c r="D672" i="1"/>
  <c r="D678" i="1"/>
  <c r="D712" i="1"/>
  <c r="D621" i="1"/>
  <c r="D627" i="1"/>
  <c r="D670" i="1"/>
  <c r="D703" i="1"/>
  <c r="D638" i="1"/>
  <c r="D634" i="1"/>
  <c r="D671" i="1"/>
  <c r="D635" i="1"/>
  <c r="D647" i="1"/>
  <c r="D694" i="1"/>
  <c r="D637" i="1"/>
  <c r="D707" i="1"/>
  <c r="D690" i="1"/>
  <c r="D685" i="1"/>
  <c r="D697" i="1"/>
  <c r="D617" i="1"/>
  <c r="D632" i="1"/>
  <c r="D676" i="1"/>
  <c r="D706" i="1"/>
  <c r="D631" i="1"/>
  <c r="D711" i="1"/>
  <c r="D705" i="1"/>
  <c r="D628" i="1"/>
  <c r="D639" i="1"/>
  <c r="D704" i="1"/>
  <c r="D645" i="1"/>
  <c r="C142" i="8"/>
  <c r="D393" i="1"/>
  <c r="C552" i="10"/>
  <c r="C635" i="10"/>
  <c r="C530" i="10"/>
  <c r="C708" i="10"/>
  <c r="C536" i="10"/>
  <c r="G536" i="10" s="1"/>
  <c r="C572" i="10"/>
  <c r="C621" i="10"/>
  <c r="C694" i="10"/>
  <c r="C522" i="10"/>
  <c r="C619" i="10"/>
  <c r="C573" i="10"/>
  <c r="C615" i="10"/>
  <c r="C542" i="10"/>
  <c r="C556" i="10"/>
  <c r="C636" i="10"/>
  <c r="C564" i="10"/>
  <c r="C639" i="10"/>
  <c r="C704" i="10"/>
  <c r="C618" i="10"/>
  <c r="C558" i="10"/>
  <c r="C526" i="10"/>
  <c r="G526" i="10" s="1"/>
  <c r="C698" i="10"/>
  <c r="C696" i="10"/>
  <c r="C524" i="10"/>
  <c r="C568" i="10"/>
  <c r="C643" i="10"/>
  <c r="C641" i="10"/>
  <c r="C566" i="10"/>
  <c r="C550" i="10"/>
  <c r="C628" i="10"/>
  <c r="C534" i="10"/>
  <c r="C706" i="10"/>
  <c r="C518" i="10"/>
  <c r="C690" i="10"/>
  <c r="C540" i="10"/>
  <c r="C712" i="10"/>
  <c r="C544" i="10"/>
  <c r="C627" i="10"/>
  <c r="C700" i="10"/>
  <c r="C67" i="10"/>
  <c r="C72" i="10" s="1"/>
  <c r="CE52" i="10"/>
  <c r="C645" i="10"/>
  <c r="C570" i="10"/>
  <c r="C710" i="10"/>
  <c r="C538" i="10"/>
  <c r="G538" i="10" s="1"/>
  <c r="C560" i="10"/>
  <c r="C620" i="10"/>
  <c r="C520" i="10"/>
  <c r="C692" i="10"/>
  <c r="C562" i="10" l="1"/>
  <c r="C625" i="10"/>
  <c r="B540" i="1"/>
  <c r="C711" i="10"/>
  <c r="C623" i="10"/>
  <c r="C548" i="10"/>
  <c r="C702" i="10"/>
  <c r="C555" i="10"/>
  <c r="C695" i="10"/>
  <c r="C528" i="10"/>
  <c r="G528" i="10" s="1"/>
  <c r="C546" i="10"/>
  <c r="B556" i="1"/>
  <c r="C616" i="10"/>
  <c r="C631" i="10"/>
  <c r="C554" i="10"/>
  <c r="B517" i="1"/>
  <c r="F517" i="1" s="1"/>
  <c r="H517" i="1" s="1"/>
  <c r="C688" i="10"/>
  <c r="B498" i="1"/>
  <c r="C497" i="10"/>
  <c r="C669" i="10"/>
  <c r="B496" i="1"/>
  <c r="C495" i="10"/>
  <c r="C667" i="10"/>
  <c r="C532" i="10"/>
  <c r="G532" i="10" s="1"/>
  <c r="B507" i="1"/>
  <c r="C506" i="10"/>
  <c r="G506" i="10" s="1"/>
  <c r="C678" i="10"/>
  <c r="B560" i="1"/>
  <c r="C626" i="10"/>
  <c r="C559" i="10"/>
  <c r="B532" i="1"/>
  <c r="C531" i="10"/>
  <c r="G531" i="10" s="1"/>
  <c r="C703" i="10"/>
  <c r="B516" i="1"/>
  <c r="C515" i="10"/>
  <c r="C687" i="10"/>
  <c r="B528" i="1"/>
  <c r="C527" i="10"/>
  <c r="G527" i="10" s="1"/>
  <c r="C699" i="10"/>
  <c r="B518" i="1"/>
  <c r="C517" i="10"/>
  <c r="C689" i="10"/>
  <c r="B526" i="1"/>
  <c r="C697" i="10"/>
  <c r="C525" i="10"/>
  <c r="B538" i="1"/>
  <c r="C709" i="10"/>
  <c r="C537" i="10"/>
  <c r="G537" i="10" s="1"/>
  <c r="B506" i="1"/>
  <c r="C505" i="10"/>
  <c r="G505" i="10" s="1"/>
  <c r="C677" i="10"/>
  <c r="B566" i="1"/>
  <c r="C640" i="10"/>
  <c r="C565" i="10"/>
  <c r="B554" i="1"/>
  <c r="C553" i="10"/>
  <c r="C633" i="10"/>
  <c r="B509" i="1"/>
  <c r="C680" i="10"/>
  <c r="C508" i="10"/>
  <c r="B524" i="1"/>
  <c r="B570" i="1"/>
  <c r="C569" i="10"/>
  <c r="C644" i="10"/>
  <c r="B500" i="1"/>
  <c r="C499" i="10"/>
  <c r="G499" i="10" s="1"/>
  <c r="C671" i="10"/>
  <c r="B542" i="1"/>
  <c r="C541" i="10"/>
  <c r="C630" i="10"/>
  <c r="B504" i="1"/>
  <c r="C675" i="10"/>
  <c r="C503" i="10"/>
  <c r="G503" i="10" s="1"/>
  <c r="B512" i="1"/>
  <c r="C511" i="10"/>
  <c r="C683" i="10"/>
  <c r="C510" i="10"/>
  <c r="B511" i="1"/>
  <c r="C682" i="10"/>
  <c r="B513" i="1"/>
  <c r="C684" i="10"/>
  <c r="C512" i="10"/>
  <c r="B508" i="1"/>
  <c r="C507" i="10"/>
  <c r="C679" i="10"/>
  <c r="B546" i="1"/>
  <c r="C545" i="10"/>
  <c r="C629" i="10"/>
  <c r="C500" i="10"/>
  <c r="B501" i="1"/>
  <c r="C672" i="10"/>
  <c r="B503" i="1"/>
  <c r="C502" i="10"/>
  <c r="G502" i="10" s="1"/>
  <c r="C674" i="10"/>
  <c r="B510" i="1"/>
  <c r="C681" i="10"/>
  <c r="C509" i="10"/>
  <c r="B522" i="1"/>
  <c r="C521" i="10"/>
  <c r="C693" i="10"/>
  <c r="C498" i="10"/>
  <c r="G498" i="10" s="1"/>
  <c r="B499" i="1"/>
  <c r="C670" i="10"/>
  <c r="C519" i="10"/>
  <c r="B520" i="1"/>
  <c r="C691" i="10"/>
  <c r="B536" i="1"/>
  <c r="C535" i="10"/>
  <c r="G535" i="10" s="1"/>
  <c r="C707" i="10"/>
  <c r="C567" i="10"/>
  <c r="C642" i="10"/>
  <c r="B568" i="1"/>
  <c r="B514" i="1"/>
  <c r="C513" i="10"/>
  <c r="C685" i="10"/>
  <c r="C617" i="10"/>
  <c r="B552" i="1"/>
  <c r="C551" i="10"/>
  <c r="B544" i="1"/>
  <c r="C624" i="10"/>
  <c r="C543" i="10"/>
  <c r="B505" i="1"/>
  <c r="C504" i="10"/>
  <c r="G504" i="10" s="1"/>
  <c r="C676" i="10"/>
  <c r="B558" i="1"/>
  <c r="C557" i="10"/>
  <c r="C637" i="10"/>
  <c r="B548" i="1"/>
  <c r="C632" i="10"/>
  <c r="C547" i="10"/>
  <c r="B550" i="1"/>
  <c r="C549" i="10"/>
  <c r="C613" i="10"/>
  <c r="B562" i="1"/>
  <c r="C561" i="10"/>
  <c r="C622" i="10"/>
  <c r="C563" i="10"/>
  <c r="C638" i="10"/>
  <c r="B564" i="1"/>
  <c r="B502" i="1"/>
  <c r="C501" i="10"/>
  <c r="G501" i="10" s="1"/>
  <c r="C673" i="10"/>
  <c r="B530" i="1"/>
  <c r="C701" i="10"/>
  <c r="C529" i="10"/>
  <c r="C496" i="10"/>
  <c r="G496" i="10" s="1"/>
  <c r="B497" i="1"/>
  <c r="C668" i="10"/>
  <c r="B534" i="1"/>
  <c r="C533" i="10"/>
  <c r="G533" i="10" s="1"/>
  <c r="C705" i="10"/>
  <c r="F524" i="1"/>
  <c r="G514" i="10"/>
  <c r="H514" i="10"/>
  <c r="G523" i="10"/>
  <c r="H523" i="10"/>
  <c r="H515" i="1"/>
  <c r="F515" i="1"/>
  <c r="G516" i="10"/>
  <c r="H516" i="10"/>
  <c r="H540" i="1"/>
  <c r="F540" i="1"/>
  <c r="C637" i="1"/>
  <c r="H277" i="9"/>
  <c r="D715" i="1"/>
  <c r="C538" i="1"/>
  <c r="G538" i="1" s="1"/>
  <c r="C710" i="1"/>
  <c r="C213" i="9"/>
  <c r="E181" i="9"/>
  <c r="C533" i="1"/>
  <c r="G533" i="1" s="1"/>
  <c r="C705" i="1"/>
  <c r="C535" i="1"/>
  <c r="G535" i="1" s="1"/>
  <c r="C707" i="1"/>
  <c r="G181" i="9"/>
  <c r="C628" i="1"/>
  <c r="C545" i="1"/>
  <c r="G545" i="1" s="1"/>
  <c r="C245" i="9"/>
  <c r="C523" i="1"/>
  <c r="G523" i="1" s="1"/>
  <c r="C695" i="1"/>
  <c r="I117" i="9"/>
  <c r="D85" i="9"/>
  <c r="C511" i="1"/>
  <c r="G511" i="1" s="1"/>
  <c r="C683" i="1"/>
  <c r="C498" i="1"/>
  <c r="G498" i="1" s="1"/>
  <c r="E21" i="9"/>
  <c r="C670" i="1"/>
  <c r="C571" i="1"/>
  <c r="C646" i="1"/>
  <c r="H341" i="9"/>
  <c r="C525" i="1"/>
  <c r="G525" i="1" s="1"/>
  <c r="C697" i="1"/>
  <c r="D149" i="9"/>
  <c r="G277" i="9"/>
  <c r="C635" i="1"/>
  <c r="C556" i="1"/>
  <c r="C540" i="1"/>
  <c r="G540" i="1" s="1"/>
  <c r="E213" i="9"/>
  <c r="C712" i="1"/>
  <c r="C569" i="1"/>
  <c r="F341" i="9"/>
  <c r="C644" i="1"/>
  <c r="H149" i="9"/>
  <c r="C701" i="1"/>
  <c r="C529" i="1"/>
  <c r="G529" i="1" s="1"/>
  <c r="C553" i="1"/>
  <c r="C636" i="1"/>
  <c r="D277" i="9"/>
  <c r="C627" i="1"/>
  <c r="C560" i="1"/>
  <c r="D309" i="9"/>
  <c r="CE67" i="1"/>
  <c r="C17" i="9"/>
  <c r="C71" i="1"/>
  <c r="C633" i="1"/>
  <c r="F245" i="9"/>
  <c r="C548" i="1"/>
  <c r="C565" i="1"/>
  <c r="I309" i="9"/>
  <c r="C640" i="1"/>
  <c r="C682" i="1"/>
  <c r="C510" i="1"/>
  <c r="G510" i="1" s="1"/>
  <c r="C85" i="9"/>
  <c r="C675" i="1"/>
  <c r="C503" i="1"/>
  <c r="G503" i="1" s="1"/>
  <c r="C53" i="9"/>
  <c r="C555" i="1"/>
  <c r="C617" i="1"/>
  <c r="F277" i="9"/>
  <c r="C687" i="1"/>
  <c r="C515" i="1"/>
  <c r="G515" i="1" s="1"/>
  <c r="H85" i="9"/>
  <c r="C711" i="1"/>
  <c r="D213" i="9"/>
  <c r="C539" i="1"/>
  <c r="G539" i="1" s="1"/>
  <c r="C561" i="1"/>
  <c r="E309" i="9"/>
  <c r="C621" i="1"/>
  <c r="C536" i="1"/>
  <c r="G536" i="1" s="1"/>
  <c r="H181" i="9"/>
  <c r="C708" i="1"/>
  <c r="C618" i="1"/>
  <c r="C552" i="1"/>
  <c r="C277" i="9"/>
  <c r="I85" i="9"/>
  <c r="C688" i="1"/>
  <c r="C516" i="1"/>
  <c r="G516" i="1" s="1"/>
  <c r="I341" i="9"/>
  <c r="C647" i="1"/>
  <c r="C572" i="1"/>
  <c r="C522" i="1"/>
  <c r="G522" i="1" s="1"/>
  <c r="C694" i="1"/>
  <c r="H117" i="9"/>
  <c r="C514" i="1"/>
  <c r="G514" i="1" s="1"/>
  <c r="G85" i="9"/>
  <c r="C686" i="1"/>
  <c r="C639" i="1"/>
  <c r="C564" i="1"/>
  <c r="H309" i="9"/>
  <c r="C709" i="1"/>
  <c r="I181" i="9"/>
  <c r="C537" i="1"/>
  <c r="G537" i="1" s="1"/>
  <c r="C641" i="1"/>
  <c r="C341" i="9"/>
  <c r="C566" i="1"/>
  <c r="C689" i="1"/>
  <c r="C117" i="9"/>
  <c r="C517" i="1"/>
  <c r="G517" i="1" s="1"/>
  <c r="F149" i="9"/>
  <c r="C699" i="1"/>
  <c r="C527" i="1"/>
  <c r="G527" i="1" s="1"/>
  <c r="C181" i="9"/>
  <c r="C703" i="1"/>
  <c r="C531" i="1"/>
  <c r="G531" i="1" s="1"/>
  <c r="C505" i="1"/>
  <c r="G505" i="1" s="1"/>
  <c r="C677" i="1"/>
  <c r="E53" i="9"/>
  <c r="C620" i="1"/>
  <c r="C574" i="1"/>
  <c r="D373" i="9"/>
  <c r="E245" i="9"/>
  <c r="C632" i="1"/>
  <c r="C547" i="1"/>
  <c r="C541" i="1"/>
  <c r="C713" i="1"/>
  <c r="F213" i="9"/>
  <c r="C568" i="1"/>
  <c r="C643" i="1"/>
  <c r="E341" i="9"/>
  <c r="C693" i="1"/>
  <c r="C521" i="1"/>
  <c r="G521" i="1" s="1"/>
  <c r="G117" i="9"/>
  <c r="G53" i="9"/>
  <c r="C507" i="1"/>
  <c r="G507" i="1" s="1"/>
  <c r="C679" i="1"/>
  <c r="J733" i="10"/>
  <c r="J814" i="10" s="1"/>
  <c r="CE67" i="10"/>
  <c r="CE72" i="10" s="1"/>
  <c r="C715" i="10" s="1"/>
  <c r="H545" i="1"/>
  <c r="F545" i="1"/>
  <c r="G534" i="10"/>
  <c r="H534" i="10" s="1"/>
  <c r="H525" i="1"/>
  <c r="F525" i="1"/>
  <c r="H522" i="10"/>
  <c r="G522" i="10"/>
  <c r="H529" i="1"/>
  <c r="F529" i="1"/>
  <c r="G544" i="10"/>
  <c r="H544" i="10"/>
  <c r="C146" i="8"/>
  <c r="D396" i="1"/>
  <c r="C151" i="8" s="1"/>
  <c r="F521" i="1"/>
  <c r="H518" i="10"/>
  <c r="G518" i="10"/>
  <c r="F535" i="1"/>
  <c r="H535" i="1" s="1"/>
  <c r="H533" i="1"/>
  <c r="F533" i="1"/>
  <c r="H530" i="10"/>
  <c r="G530" i="10"/>
  <c r="G520" i="10"/>
  <c r="H520" i="10"/>
  <c r="H527" i="1"/>
  <c r="F527" i="1"/>
  <c r="F539" i="1"/>
  <c r="H539" i="1"/>
  <c r="F519" i="1"/>
  <c r="H519" i="1"/>
  <c r="H524" i="10"/>
  <c r="G524" i="10"/>
  <c r="F523" i="1"/>
  <c r="H523" i="1"/>
  <c r="F537" i="1"/>
  <c r="H537" i="1"/>
  <c r="F531" i="1"/>
  <c r="H531" i="1"/>
  <c r="H521" i="1" l="1"/>
  <c r="H524" i="1"/>
  <c r="H528" i="10"/>
  <c r="G543" i="10"/>
  <c r="H543" i="10" s="1"/>
  <c r="H507" i="1"/>
  <c r="F507" i="1"/>
  <c r="H519" i="10"/>
  <c r="G519" i="10"/>
  <c r="F513" i="1"/>
  <c r="H513" i="1"/>
  <c r="F518" i="1"/>
  <c r="H518" i="1" s="1"/>
  <c r="H500" i="1"/>
  <c r="F500" i="1"/>
  <c r="H530" i="1"/>
  <c r="F530" i="1"/>
  <c r="F544" i="1"/>
  <c r="H544" i="1" s="1"/>
  <c r="F510" i="1"/>
  <c r="H510" i="1" s="1"/>
  <c r="G545" i="10"/>
  <c r="H545" i="10"/>
  <c r="H504" i="1"/>
  <c r="F504" i="1"/>
  <c r="F532" i="1"/>
  <c r="H532" i="1"/>
  <c r="C714" i="10"/>
  <c r="H499" i="1"/>
  <c r="F499" i="1"/>
  <c r="H546" i="1"/>
  <c r="F546" i="1"/>
  <c r="F511" i="1"/>
  <c r="H511" i="1" s="1"/>
  <c r="F538" i="1"/>
  <c r="H538" i="1"/>
  <c r="H495" i="10"/>
  <c r="G495" i="10"/>
  <c r="F520" i="1"/>
  <c r="H520" i="1"/>
  <c r="H534" i="1"/>
  <c r="F534" i="1"/>
  <c r="D614" i="10"/>
  <c r="C647" i="10"/>
  <c r="M715" i="10" s="1"/>
  <c r="Z815" i="10" s="1"/>
  <c r="H510" i="10"/>
  <c r="G510" i="10"/>
  <c r="G525" i="10"/>
  <c r="H525" i="10" s="1"/>
  <c r="F528" i="1"/>
  <c r="H528" i="1"/>
  <c r="F496" i="1"/>
  <c r="H529" i="10"/>
  <c r="G529" i="10"/>
  <c r="F514" i="1"/>
  <c r="H514" i="1" s="1"/>
  <c r="G500" i="10"/>
  <c r="H500" i="10"/>
  <c r="H502" i="1"/>
  <c r="F502" i="1"/>
  <c r="G549" i="10"/>
  <c r="H549" i="10" s="1"/>
  <c r="F503" i="1"/>
  <c r="H503" i="1" s="1"/>
  <c r="G507" i="10"/>
  <c r="H507" i="10"/>
  <c r="G508" i="10"/>
  <c r="H508" i="10"/>
  <c r="G509" i="10"/>
  <c r="H509" i="10" s="1"/>
  <c r="G517" i="10"/>
  <c r="H517" i="10"/>
  <c r="H497" i="1"/>
  <c r="F497" i="1"/>
  <c r="F550" i="1"/>
  <c r="H550" i="1" s="1"/>
  <c r="H536" i="1"/>
  <c r="F536" i="1"/>
  <c r="H521" i="10"/>
  <c r="G521" i="10"/>
  <c r="F508" i="1"/>
  <c r="H508" i="1" s="1"/>
  <c r="G511" i="10"/>
  <c r="H511" i="10"/>
  <c r="F526" i="1"/>
  <c r="H526" i="1" s="1"/>
  <c r="G515" i="10"/>
  <c r="H515" i="10" s="1"/>
  <c r="G497" i="10"/>
  <c r="H497" i="10" s="1"/>
  <c r="F506" i="1"/>
  <c r="H506" i="1"/>
  <c r="H505" i="1"/>
  <c r="F505" i="1"/>
  <c r="G513" i="10"/>
  <c r="H513" i="10" s="1"/>
  <c r="F522" i="1"/>
  <c r="H522" i="1" s="1"/>
  <c r="H501" i="1"/>
  <c r="F501" i="1"/>
  <c r="G512" i="10"/>
  <c r="H512" i="10"/>
  <c r="F512" i="1"/>
  <c r="H512" i="1"/>
  <c r="F509" i="1"/>
  <c r="H509" i="1"/>
  <c r="F516" i="1"/>
  <c r="H516" i="1" s="1"/>
  <c r="F498" i="1"/>
  <c r="H498" i="1" s="1"/>
  <c r="C648" i="1"/>
  <c r="M716" i="1" s="1"/>
  <c r="E623" i="1"/>
  <c r="E716" i="1" s="1"/>
  <c r="CE71" i="1"/>
  <c r="I369" i="9"/>
  <c r="C433" i="1"/>
  <c r="C441" i="1" s="1"/>
  <c r="C496" i="1"/>
  <c r="G496" i="1" s="1"/>
  <c r="C668" i="1"/>
  <c r="C21" i="9"/>
  <c r="J815" i="10"/>
  <c r="C432" i="10"/>
  <c r="C441" i="10" s="1"/>
  <c r="H496" i="1" l="1"/>
  <c r="D642" i="10"/>
  <c r="D698" i="10"/>
  <c r="D630" i="10"/>
  <c r="D682" i="10"/>
  <c r="D643" i="10"/>
  <c r="D644" i="10"/>
  <c r="D688" i="10"/>
  <c r="D637" i="10"/>
  <c r="D625" i="10"/>
  <c r="D627" i="10"/>
  <c r="D706" i="10"/>
  <c r="D634" i="10"/>
  <c r="D712" i="10"/>
  <c r="D695" i="10"/>
  <c r="D632" i="10"/>
  <c r="D686" i="10"/>
  <c r="D624" i="10"/>
  <c r="D669" i="10"/>
  <c r="D672" i="10"/>
  <c r="D618" i="10"/>
  <c r="D638" i="10"/>
  <c r="D689" i="10"/>
  <c r="D690" i="10"/>
  <c r="D708" i="10"/>
  <c r="D685" i="10"/>
  <c r="D676" i="10"/>
  <c r="D677" i="10"/>
  <c r="D679" i="10"/>
  <c r="D633" i="10"/>
  <c r="D620" i="10"/>
  <c r="D710" i="10"/>
  <c r="D671" i="10"/>
  <c r="D703" i="10"/>
  <c r="D700" i="10"/>
  <c r="D678" i="10"/>
  <c r="D675" i="10"/>
  <c r="D691" i="10"/>
  <c r="D707" i="10"/>
  <c r="D615" i="10"/>
  <c r="D635" i="10"/>
  <c r="D639" i="10"/>
  <c r="D636" i="10"/>
  <c r="D629" i="10"/>
  <c r="D715" i="10"/>
  <c r="D646" i="10"/>
  <c r="D683" i="10"/>
  <c r="D704" i="10"/>
  <c r="D621" i="10"/>
  <c r="D696" i="10"/>
  <c r="D668" i="10"/>
  <c r="D640" i="10"/>
  <c r="D673" i="10"/>
  <c r="D684" i="10"/>
  <c r="D628" i="10"/>
  <c r="D619" i="10"/>
  <c r="D623" i="10"/>
  <c r="D622" i="10"/>
  <c r="D667" i="10"/>
  <c r="D709" i="10"/>
  <c r="D705" i="10"/>
  <c r="D702" i="10"/>
  <c r="D626" i="10"/>
  <c r="D697" i="10"/>
  <c r="D616" i="10"/>
  <c r="D680" i="10"/>
  <c r="D674" i="10"/>
  <c r="D631" i="10"/>
  <c r="D617" i="10"/>
  <c r="D687" i="10"/>
  <c r="D681" i="10"/>
  <c r="D699" i="10"/>
  <c r="D641" i="10"/>
  <c r="D693" i="10"/>
  <c r="D701" i="10"/>
  <c r="D645" i="10"/>
  <c r="D694" i="10"/>
  <c r="D711" i="10"/>
  <c r="D692" i="10"/>
  <c r="D670" i="10"/>
  <c r="C716" i="1"/>
  <c r="I373" i="9"/>
  <c r="C715" i="1"/>
  <c r="E612" i="1"/>
  <c r="E611" i="10" l="1"/>
  <c r="E622" i="10"/>
  <c r="D714" i="10"/>
  <c r="E639" i="1"/>
  <c r="E643" i="1"/>
  <c r="E626" i="1"/>
  <c r="E645" i="1"/>
  <c r="E647" i="1"/>
  <c r="E634" i="1"/>
  <c r="E689" i="1"/>
  <c r="E697" i="1"/>
  <c r="E710" i="1"/>
  <c r="E635" i="1"/>
  <c r="E702" i="1"/>
  <c r="E641" i="1"/>
  <c r="E673" i="1"/>
  <c r="E682" i="1"/>
  <c r="E677" i="1"/>
  <c r="E672" i="1"/>
  <c r="E678" i="1"/>
  <c r="E637" i="1"/>
  <c r="E691" i="1"/>
  <c r="E712" i="1"/>
  <c r="E686" i="1"/>
  <c r="E669" i="1"/>
  <c r="E692" i="1"/>
  <c r="E693" i="1"/>
  <c r="E690" i="1"/>
  <c r="E632" i="1"/>
  <c r="E625" i="1"/>
  <c r="E694" i="1"/>
  <c r="E668" i="1"/>
  <c r="E642" i="1"/>
  <c r="E713" i="1"/>
  <c r="E681" i="1"/>
  <c r="E624" i="1"/>
  <c r="F624" i="1" s="1"/>
  <c r="E703" i="1"/>
  <c r="E704" i="1"/>
  <c r="E708" i="1"/>
  <c r="E680" i="1"/>
  <c r="E644" i="1"/>
  <c r="E698" i="1"/>
  <c r="E707" i="1"/>
  <c r="E646" i="1"/>
  <c r="E696" i="1"/>
  <c r="E701" i="1"/>
  <c r="E695" i="1"/>
  <c r="E706" i="1"/>
  <c r="E670" i="1"/>
  <c r="E700" i="1"/>
  <c r="E705" i="1"/>
  <c r="E631" i="1"/>
  <c r="E638" i="1"/>
  <c r="E671" i="1"/>
  <c r="E684" i="1"/>
  <c r="E627" i="1"/>
  <c r="E640" i="1"/>
  <c r="E629" i="1"/>
  <c r="E674" i="1"/>
  <c r="E636" i="1"/>
  <c r="E676" i="1"/>
  <c r="E679" i="1"/>
  <c r="E687" i="1"/>
  <c r="E675" i="1"/>
  <c r="E688" i="1"/>
  <c r="E711" i="1"/>
  <c r="E683" i="1"/>
  <c r="E628" i="1"/>
  <c r="E685" i="1"/>
  <c r="E709" i="1"/>
  <c r="E699" i="1"/>
  <c r="E630" i="1"/>
  <c r="E633" i="1"/>
  <c r="E715" i="10" l="1"/>
  <c r="E638" i="10"/>
  <c r="E674" i="10"/>
  <c r="E705" i="10"/>
  <c r="E623" i="10"/>
  <c r="E710" i="10"/>
  <c r="E709" i="10"/>
  <c r="E687" i="10"/>
  <c r="E711" i="10"/>
  <c r="E675" i="10"/>
  <c r="E694" i="10"/>
  <c r="E689" i="10"/>
  <c r="E685" i="10"/>
  <c r="E677" i="10"/>
  <c r="E676" i="10"/>
  <c r="E706" i="10"/>
  <c r="E690" i="10"/>
  <c r="E635" i="10"/>
  <c r="E696" i="10"/>
  <c r="E626" i="10"/>
  <c r="E634" i="10"/>
  <c r="E671" i="10"/>
  <c r="E632" i="10"/>
  <c r="E681" i="10"/>
  <c r="E628" i="10"/>
  <c r="E683" i="10"/>
  <c r="E704" i="10"/>
  <c r="E625" i="10"/>
  <c r="E699" i="10"/>
  <c r="E646" i="10"/>
  <c r="E642" i="10"/>
  <c r="E629" i="10"/>
  <c r="E679" i="10"/>
  <c r="E639" i="10"/>
  <c r="E682" i="10"/>
  <c r="E684" i="10"/>
  <c r="E644" i="10"/>
  <c r="E636" i="10"/>
  <c r="E678" i="10"/>
  <c r="E643" i="10"/>
  <c r="E708" i="10"/>
  <c r="E668" i="10"/>
  <c r="E627" i="10"/>
  <c r="E680" i="10"/>
  <c r="E633" i="10"/>
  <c r="E667" i="10"/>
  <c r="E707" i="10"/>
  <c r="E631" i="10"/>
  <c r="E692" i="10"/>
  <c r="E630" i="10"/>
  <c r="E700" i="10"/>
  <c r="E688" i="10"/>
  <c r="E669" i="10"/>
  <c r="E640" i="10"/>
  <c r="E673" i="10"/>
  <c r="E702" i="10"/>
  <c r="E686" i="10"/>
  <c r="E701" i="10"/>
  <c r="E693" i="10"/>
  <c r="E697" i="10"/>
  <c r="E698" i="10"/>
  <c r="E695" i="10"/>
  <c r="E672" i="10"/>
  <c r="E641" i="10"/>
  <c r="E637" i="10"/>
  <c r="E703" i="10"/>
  <c r="E712" i="10"/>
  <c r="E624" i="10"/>
  <c r="E691" i="10"/>
  <c r="E645" i="10"/>
  <c r="E670" i="10"/>
  <c r="F695" i="1"/>
  <c r="F670" i="1"/>
  <c r="F710" i="1"/>
  <c r="F688" i="1"/>
  <c r="F633" i="1"/>
  <c r="F692" i="1"/>
  <c r="F705" i="1"/>
  <c r="F702" i="1"/>
  <c r="F716" i="1"/>
  <c r="F629" i="1"/>
  <c r="F631" i="1"/>
  <c r="F683" i="1"/>
  <c r="F701" i="1"/>
  <c r="F696" i="1"/>
  <c r="F637" i="1"/>
  <c r="F694" i="1"/>
  <c r="F704" i="1"/>
  <c r="F676" i="1"/>
  <c r="F668" i="1"/>
  <c r="F680" i="1"/>
  <c r="F700" i="1"/>
  <c r="F634" i="1"/>
  <c r="F685" i="1"/>
  <c r="F697" i="1"/>
  <c r="F640" i="1"/>
  <c r="F678" i="1"/>
  <c r="F628" i="1"/>
  <c r="F642" i="1"/>
  <c r="F706" i="1"/>
  <c r="F709" i="1"/>
  <c r="F626" i="1"/>
  <c r="F646" i="1"/>
  <c r="F639" i="1"/>
  <c r="F625" i="1"/>
  <c r="G625" i="1" s="1"/>
  <c r="F673" i="1"/>
  <c r="F669" i="1"/>
  <c r="F627" i="1"/>
  <c r="F675" i="1"/>
  <c r="F647" i="1"/>
  <c r="F645" i="1"/>
  <c r="F712" i="1"/>
  <c r="F638" i="1"/>
  <c r="F707" i="1"/>
  <c r="F713" i="1"/>
  <c r="F708" i="1"/>
  <c r="F711" i="1"/>
  <c r="F681" i="1"/>
  <c r="F703" i="1"/>
  <c r="F691" i="1"/>
  <c r="F684" i="1"/>
  <c r="F630" i="1"/>
  <c r="F644" i="1"/>
  <c r="F686" i="1"/>
  <c r="F689" i="1"/>
  <c r="F679" i="1"/>
  <c r="F687" i="1"/>
  <c r="F682" i="1"/>
  <c r="F699" i="1"/>
  <c r="F698" i="1"/>
  <c r="F632" i="1"/>
  <c r="F672" i="1"/>
  <c r="F674" i="1"/>
  <c r="F677" i="1"/>
  <c r="F671" i="1"/>
  <c r="F690" i="1"/>
  <c r="F636" i="1"/>
  <c r="F641" i="1"/>
  <c r="F635" i="1"/>
  <c r="F643" i="1"/>
  <c r="F693" i="1"/>
  <c r="E715" i="1"/>
  <c r="E714" i="10" l="1"/>
  <c r="F623" i="10"/>
  <c r="G679" i="1"/>
  <c r="G706" i="1"/>
  <c r="G673" i="1"/>
  <c r="G710" i="1"/>
  <c r="G642" i="1"/>
  <c r="G684" i="1"/>
  <c r="G696" i="1"/>
  <c r="G702" i="1"/>
  <c r="G704" i="1"/>
  <c r="G670" i="1"/>
  <c r="G700" i="1"/>
  <c r="G690" i="1"/>
  <c r="G676" i="1"/>
  <c r="G699" i="1"/>
  <c r="G647" i="1"/>
  <c r="G674" i="1"/>
  <c r="G638" i="1"/>
  <c r="G675" i="1"/>
  <c r="G680" i="1"/>
  <c r="G672" i="1"/>
  <c r="G709" i="1"/>
  <c r="G646" i="1"/>
  <c r="G697" i="1"/>
  <c r="G681" i="1"/>
  <c r="G628" i="1"/>
  <c r="G644" i="1"/>
  <c r="G668" i="1"/>
  <c r="G692" i="1"/>
  <c r="G634" i="1"/>
  <c r="G682" i="1"/>
  <c r="G633" i="1"/>
  <c r="G629" i="1"/>
  <c r="G689" i="1"/>
  <c r="G708" i="1"/>
  <c r="G627" i="1"/>
  <c r="G635" i="1"/>
  <c r="G695" i="1"/>
  <c r="G687" i="1"/>
  <c r="G691" i="1"/>
  <c r="G716" i="1"/>
  <c r="G671" i="1"/>
  <c r="G626" i="1"/>
  <c r="G641" i="1"/>
  <c r="G701" i="1"/>
  <c r="G694" i="1"/>
  <c r="G707" i="1"/>
  <c r="G693" i="1"/>
  <c r="G711" i="1"/>
  <c r="G685" i="1"/>
  <c r="G686" i="1"/>
  <c r="G640" i="1"/>
  <c r="G643" i="1"/>
  <c r="G703" i="1"/>
  <c r="G688" i="1"/>
  <c r="G639" i="1"/>
  <c r="G632" i="1"/>
  <c r="G698" i="1"/>
  <c r="G630" i="1"/>
  <c r="G712" i="1"/>
  <c r="G683" i="1"/>
  <c r="G636" i="1"/>
  <c r="G678" i="1"/>
  <c r="G705" i="1"/>
  <c r="G645" i="1"/>
  <c r="G713" i="1"/>
  <c r="G631" i="1"/>
  <c r="G677" i="1"/>
  <c r="G637" i="1"/>
  <c r="G669" i="1"/>
  <c r="F715" i="1"/>
  <c r="F684" i="10" l="1"/>
  <c r="F689" i="10"/>
  <c r="F708" i="10"/>
  <c r="F635" i="10"/>
  <c r="F636" i="10"/>
  <c r="F634" i="10"/>
  <c r="F683" i="10"/>
  <c r="F688" i="10"/>
  <c r="F641" i="10"/>
  <c r="F637" i="10"/>
  <c r="F643" i="10"/>
  <c r="F642" i="10"/>
  <c r="F694" i="10"/>
  <c r="F711" i="10"/>
  <c r="F692" i="10"/>
  <c r="F702" i="10"/>
  <c r="F704" i="10"/>
  <c r="F632" i="10"/>
  <c r="F627" i="10"/>
  <c r="F706" i="10"/>
  <c r="F624" i="10"/>
  <c r="F667" i="10"/>
  <c r="F640" i="10"/>
  <c r="F673" i="10"/>
  <c r="F687" i="10"/>
  <c r="F709" i="10"/>
  <c r="F671" i="10"/>
  <c r="F695" i="10"/>
  <c r="F696" i="10"/>
  <c r="F668" i="10"/>
  <c r="F691" i="10"/>
  <c r="F710" i="10"/>
  <c r="F674" i="10"/>
  <c r="F644" i="10"/>
  <c r="F690" i="10"/>
  <c r="F681" i="10"/>
  <c r="F705" i="10"/>
  <c r="F645" i="10"/>
  <c r="F693" i="10"/>
  <c r="F715" i="10"/>
  <c r="F679" i="10"/>
  <c r="F672" i="10"/>
  <c r="F698" i="10"/>
  <c r="F631" i="10"/>
  <c r="F707" i="10"/>
  <c r="F699" i="10"/>
  <c r="F678" i="10"/>
  <c r="F646" i="10"/>
  <c r="F703" i="10"/>
  <c r="F676" i="10"/>
  <c r="F628" i="10"/>
  <c r="F669" i="10"/>
  <c r="F677" i="10"/>
  <c r="F633" i="10"/>
  <c r="F700" i="10"/>
  <c r="F701" i="10"/>
  <c r="F675" i="10"/>
  <c r="F630" i="10"/>
  <c r="F625" i="10"/>
  <c r="F680" i="10"/>
  <c r="F626" i="10"/>
  <c r="F712" i="10"/>
  <c r="F639" i="10"/>
  <c r="F682" i="10"/>
  <c r="F686" i="10"/>
  <c r="F638" i="10"/>
  <c r="F670" i="10"/>
  <c r="F629" i="10"/>
  <c r="F685" i="10"/>
  <c r="F697" i="10"/>
  <c r="H628" i="1"/>
  <c r="H699" i="1" s="1"/>
  <c r="G715" i="1"/>
  <c r="F714" i="10" l="1"/>
  <c r="G624" i="10"/>
  <c r="H700" i="1"/>
  <c r="H677" i="1"/>
  <c r="H676" i="1"/>
  <c r="H679" i="1"/>
  <c r="H639" i="1"/>
  <c r="H646" i="1"/>
  <c r="H688" i="1"/>
  <c r="H682" i="1"/>
  <c r="H647" i="1"/>
  <c r="H695" i="1"/>
  <c r="H630" i="1"/>
  <c r="H636" i="1"/>
  <c r="H640" i="1"/>
  <c r="H685" i="1"/>
  <c r="H643" i="1"/>
  <c r="H698" i="1"/>
  <c r="H687" i="1"/>
  <c r="H686" i="1"/>
  <c r="H637" i="1"/>
  <c r="H672" i="1"/>
  <c r="H669" i="1"/>
  <c r="H707" i="1"/>
  <c r="H705" i="1"/>
  <c r="H702" i="1"/>
  <c r="H644" i="1"/>
  <c r="H697" i="1"/>
  <c r="H641" i="1"/>
  <c r="H671" i="1"/>
  <c r="H632" i="1"/>
  <c r="H631" i="1"/>
  <c r="H712" i="1"/>
  <c r="H668" i="1"/>
  <c r="H645" i="1"/>
  <c r="H638" i="1"/>
  <c r="H690" i="1"/>
  <c r="H634" i="1"/>
  <c r="H689" i="1"/>
  <c r="H706" i="1"/>
  <c r="H713" i="1"/>
  <c r="H681" i="1"/>
  <c r="H674" i="1"/>
  <c r="H710" i="1"/>
  <c r="H691" i="1"/>
  <c r="H642" i="1"/>
  <c r="H709" i="1"/>
  <c r="H708" i="1"/>
  <c r="H716" i="1"/>
  <c r="H684" i="1"/>
  <c r="H701" i="1"/>
  <c r="H703" i="1"/>
  <c r="H693" i="1"/>
  <c r="H692" i="1"/>
  <c r="H673" i="1"/>
  <c r="H678" i="1"/>
  <c r="H694" i="1"/>
  <c r="H711" i="1"/>
  <c r="H696" i="1"/>
  <c r="H683" i="1"/>
  <c r="H633" i="1"/>
  <c r="H680" i="1"/>
  <c r="H675" i="1"/>
  <c r="H670" i="1"/>
  <c r="H629" i="1"/>
  <c r="I629" i="1" s="1"/>
  <c r="H704" i="1"/>
  <c r="H635" i="1"/>
  <c r="G638" i="10" l="1"/>
  <c r="G709" i="10"/>
  <c r="G680" i="10"/>
  <c r="G702" i="10"/>
  <c r="G629" i="10"/>
  <c r="G703" i="10"/>
  <c r="G641" i="10"/>
  <c r="G628" i="10"/>
  <c r="G632" i="10"/>
  <c r="G643" i="10"/>
  <c r="G694" i="10"/>
  <c r="G672" i="10"/>
  <c r="G690" i="10"/>
  <c r="G712" i="10"/>
  <c r="G686" i="10"/>
  <c r="G635" i="10"/>
  <c r="G644" i="10"/>
  <c r="G685" i="10"/>
  <c r="G626" i="10"/>
  <c r="G684" i="10"/>
  <c r="G631" i="10"/>
  <c r="G668" i="10"/>
  <c r="G681" i="10"/>
  <c r="G693" i="10"/>
  <c r="G640" i="10"/>
  <c r="G683" i="10"/>
  <c r="G691" i="10"/>
  <c r="G637" i="10"/>
  <c r="G707" i="10"/>
  <c r="G639" i="10"/>
  <c r="G692" i="10"/>
  <c r="G625" i="10"/>
  <c r="G699" i="10"/>
  <c r="G634" i="10"/>
  <c r="G711" i="10"/>
  <c r="G671" i="10"/>
  <c r="G675" i="10"/>
  <c r="G642" i="10"/>
  <c r="G677" i="10"/>
  <c r="G676" i="10"/>
  <c r="G689" i="10"/>
  <c r="G682" i="10"/>
  <c r="G698" i="10"/>
  <c r="G630" i="10"/>
  <c r="G636" i="10"/>
  <c r="G670" i="10"/>
  <c r="G678" i="10"/>
  <c r="G695" i="10"/>
  <c r="G674" i="10"/>
  <c r="G667" i="10"/>
  <c r="G704" i="10"/>
  <c r="G697" i="10"/>
  <c r="G705" i="10"/>
  <c r="G706" i="10"/>
  <c r="G700" i="10"/>
  <c r="G710" i="10"/>
  <c r="G687" i="10"/>
  <c r="G633" i="10"/>
  <c r="G696" i="10"/>
  <c r="G669" i="10"/>
  <c r="G627" i="10"/>
  <c r="G645" i="10"/>
  <c r="G701" i="10"/>
  <c r="G688" i="10"/>
  <c r="G679" i="10"/>
  <c r="G715" i="10"/>
  <c r="G646" i="10"/>
  <c r="G673" i="10"/>
  <c r="G708" i="10"/>
  <c r="H715" i="1"/>
  <c r="I636" i="1"/>
  <c r="I644" i="1"/>
  <c r="I681" i="1"/>
  <c r="I635" i="1"/>
  <c r="I699" i="1"/>
  <c r="I705" i="1"/>
  <c r="I703" i="1"/>
  <c r="I685" i="1"/>
  <c r="I716" i="1"/>
  <c r="I678" i="1"/>
  <c r="I709" i="1"/>
  <c r="I637" i="1"/>
  <c r="I630" i="1"/>
  <c r="J630" i="1" s="1"/>
  <c r="I700" i="1"/>
  <c r="I669" i="1"/>
  <c r="I668" i="1"/>
  <c r="I646" i="1"/>
  <c r="I684" i="1"/>
  <c r="I695" i="1"/>
  <c r="I645" i="1"/>
  <c r="I632" i="1"/>
  <c r="I673" i="1"/>
  <c r="I707" i="1"/>
  <c r="I638" i="1"/>
  <c r="I708" i="1"/>
  <c r="I674" i="1"/>
  <c r="I692" i="1"/>
  <c r="I670" i="1"/>
  <c r="I640" i="1"/>
  <c r="I679" i="1"/>
  <c r="I702" i="1"/>
  <c r="I706" i="1"/>
  <c r="I631" i="1"/>
  <c r="I712" i="1"/>
  <c r="I672" i="1"/>
  <c r="I675" i="1"/>
  <c r="I713" i="1"/>
  <c r="I693" i="1"/>
  <c r="I680" i="1"/>
  <c r="I701" i="1"/>
  <c r="I694" i="1"/>
  <c r="I671" i="1"/>
  <c r="I639" i="1"/>
  <c r="I704" i="1"/>
  <c r="I643" i="1"/>
  <c r="I677" i="1"/>
  <c r="I642" i="1"/>
  <c r="I676" i="1"/>
  <c r="I633" i="1"/>
  <c r="I698" i="1"/>
  <c r="I641" i="1"/>
  <c r="I710" i="1"/>
  <c r="I686" i="1"/>
  <c r="I697" i="1"/>
  <c r="I691" i="1"/>
  <c r="I682" i="1"/>
  <c r="I634" i="1"/>
  <c r="I696" i="1"/>
  <c r="I711" i="1"/>
  <c r="I688" i="1"/>
  <c r="I689" i="1"/>
  <c r="I687" i="1"/>
  <c r="I690" i="1"/>
  <c r="I683" i="1"/>
  <c r="I647" i="1"/>
  <c r="H627" i="10" l="1"/>
  <c r="G714" i="10"/>
  <c r="H693" i="10"/>
  <c r="H633" i="10"/>
  <c r="H667" i="10"/>
  <c r="H637" i="10"/>
  <c r="H681" i="10"/>
  <c r="H701" i="10"/>
  <c r="H710" i="10"/>
  <c r="H692" i="10"/>
  <c r="H638" i="10"/>
  <c r="H668" i="10"/>
  <c r="H645" i="10"/>
  <c r="H670" i="10"/>
  <c r="H629" i="10"/>
  <c r="H684" i="10"/>
  <c r="H673" i="10"/>
  <c r="H671" i="10"/>
  <c r="H705" i="10"/>
  <c r="H628" i="10"/>
  <c r="H712" i="10"/>
  <c r="H678" i="10"/>
  <c r="H644" i="10"/>
  <c r="H636" i="10"/>
  <c r="H635" i="10"/>
  <c r="H631" i="10"/>
  <c r="H683" i="10"/>
  <c r="H697" i="10"/>
  <c r="H642" i="10"/>
  <c r="H676" i="10"/>
  <c r="H675" i="10"/>
  <c r="H709" i="10"/>
  <c r="H715" i="10"/>
  <c r="H685" i="10"/>
  <c r="H634" i="10"/>
  <c r="H707" i="10"/>
  <c r="H632" i="10"/>
  <c r="H639" i="10"/>
  <c r="H669" i="10"/>
  <c r="H672" i="10"/>
  <c r="H698" i="10"/>
  <c r="H680" i="10"/>
  <c r="H706" i="10"/>
  <c r="H682" i="10"/>
  <c r="H702" i="10"/>
  <c r="H694" i="10"/>
  <c r="H679" i="10"/>
  <c r="H630" i="10"/>
  <c r="H677" i="10"/>
  <c r="H641" i="10"/>
  <c r="H711" i="10"/>
  <c r="H708" i="10"/>
  <c r="H690" i="10"/>
  <c r="H699" i="10"/>
  <c r="H703" i="10"/>
  <c r="H688" i="10"/>
  <c r="H696" i="10"/>
  <c r="H646" i="10"/>
  <c r="H689" i="10"/>
  <c r="H674" i="10"/>
  <c r="H704" i="10"/>
  <c r="H695" i="10"/>
  <c r="H700" i="10"/>
  <c r="H691" i="10"/>
  <c r="H643" i="10"/>
  <c r="H640" i="10"/>
  <c r="H687" i="10"/>
  <c r="H686" i="10"/>
  <c r="I715" i="1"/>
  <c r="J679" i="1"/>
  <c r="J641" i="1"/>
  <c r="J686" i="1"/>
  <c r="J635" i="1"/>
  <c r="J690" i="1"/>
  <c r="J703" i="1"/>
  <c r="J683" i="1"/>
  <c r="J684" i="1"/>
  <c r="J680" i="1"/>
  <c r="J647" i="1"/>
  <c r="J692" i="1"/>
  <c r="J642" i="1"/>
  <c r="J697" i="1"/>
  <c r="J681" i="1"/>
  <c r="J677" i="1"/>
  <c r="J633" i="1"/>
  <c r="J693" i="1"/>
  <c r="J631" i="1"/>
  <c r="J689" i="1"/>
  <c r="J640" i="1"/>
  <c r="J637" i="1"/>
  <c r="J705" i="1"/>
  <c r="J710" i="1"/>
  <c r="J645" i="1"/>
  <c r="J691" i="1"/>
  <c r="J674" i="1"/>
  <c r="J709" i="1"/>
  <c r="J696" i="1"/>
  <c r="J682" i="1"/>
  <c r="J716" i="1"/>
  <c r="J702" i="1"/>
  <c r="J687" i="1"/>
  <c r="J636" i="1"/>
  <c r="J668" i="1"/>
  <c r="J700" i="1"/>
  <c r="J673" i="1"/>
  <c r="J688" i="1"/>
  <c r="J704" i="1"/>
  <c r="J644" i="1"/>
  <c r="J638" i="1"/>
  <c r="J676" i="1"/>
  <c r="J708" i="1"/>
  <c r="J639" i="1"/>
  <c r="J646" i="1"/>
  <c r="J678" i="1"/>
  <c r="J712" i="1"/>
  <c r="J634" i="1"/>
  <c r="J669" i="1"/>
  <c r="J643" i="1"/>
  <c r="J698" i="1"/>
  <c r="J699" i="1"/>
  <c r="J706" i="1"/>
  <c r="J632" i="1"/>
  <c r="J695" i="1"/>
  <c r="J711" i="1"/>
  <c r="J672" i="1"/>
  <c r="J675" i="1"/>
  <c r="J694" i="1"/>
  <c r="J670" i="1"/>
  <c r="J685" i="1"/>
  <c r="J707" i="1"/>
  <c r="J671" i="1"/>
  <c r="J713" i="1"/>
  <c r="J701" i="1"/>
  <c r="H714" i="10" l="1"/>
  <c r="I628" i="10"/>
  <c r="K644" i="1"/>
  <c r="J715" i="1"/>
  <c r="L647" i="1"/>
  <c r="I711" i="10" l="1"/>
  <c r="I630" i="10"/>
  <c r="I629" i="10"/>
  <c r="I634" i="10"/>
  <c r="I637" i="10"/>
  <c r="I633" i="10"/>
  <c r="I639" i="10"/>
  <c r="I641" i="10"/>
  <c r="I709" i="10"/>
  <c r="I694" i="10"/>
  <c r="I686" i="10"/>
  <c r="I638" i="10"/>
  <c r="I671" i="10"/>
  <c r="I695" i="10"/>
  <c r="I679" i="10"/>
  <c r="I703" i="10"/>
  <c r="I683" i="10"/>
  <c r="I707" i="10"/>
  <c r="I696" i="10"/>
  <c r="I669" i="10"/>
  <c r="I702" i="10"/>
  <c r="I710" i="10"/>
  <c r="I687" i="10"/>
  <c r="I677" i="10"/>
  <c r="I676" i="10"/>
  <c r="I701" i="10"/>
  <c r="I640" i="10"/>
  <c r="I644" i="10"/>
  <c r="I685" i="10"/>
  <c r="I700" i="10"/>
  <c r="I697" i="10"/>
  <c r="I668" i="10"/>
  <c r="I690" i="10"/>
  <c r="I635" i="10"/>
  <c r="I688" i="10"/>
  <c r="I682" i="10"/>
  <c r="I699" i="10"/>
  <c r="I672" i="10"/>
  <c r="I693" i="10"/>
  <c r="I680" i="10"/>
  <c r="I706" i="10"/>
  <c r="I632" i="10"/>
  <c r="I667" i="10"/>
  <c r="I631" i="10"/>
  <c r="I692" i="10"/>
  <c r="I698" i="10"/>
  <c r="I646" i="10"/>
  <c r="I712" i="10"/>
  <c r="I645" i="10"/>
  <c r="I705" i="10"/>
  <c r="I684" i="10"/>
  <c r="I691" i="10"/>
  <c r="I674" i="10"/>
  <c r="I673" i="10"/>
  <c r="I670" i="10"/>
  <c r="I642" i="10"/>
  <c r="I681" i="10"/>
  <c r="I643" i="10"/>
  <c r="I689" i="10"/>
  <c r="I675" i="10"/>
  <c r="I704" i="10"/>
  <c r="I708" i="10"/>
  <c r="I636" i="10"/>
  <c r="I678" i="10"/>
  <c r="I715" i="10"/>
  <c r="K716" i="1"/>
  <c r="K688" i="1"/>
  <c r="K669" i="1"/>
  <c r="K705" i="1"/>
  <c r="K678" i="1"/>
  <c r="K712" i="1"/>
  <c r="K682" i="1"/>
  <c r="K701" i="1"/>
  <c r="K668" i="1"/>
  <c r="K674" i="1"/>
  <c r="K702" i="1"/>
  <c r="K675" i="1"/>
  <c r="K706" i="1"/>
  <c r="K708" i="1"/>
  <c r="K698" i="1"/>
  <c r="K707" i="1"/>
  <c r="K686" i="1"/>
  <c r="K685" i="1"/>
  <c r="K670" i="1"/>
  <c r="K704" i="1"/>
  <c r="K677" i="1"/>
  <c r="K690" i="1"/>
  <c r="K694" i="1"/>
  <c r="K713" i="1"/>
  <c r="K687" i="1"/>
  <c r="K673" i="1"/>
  <c r="K681" i="1"/>
  <c r="K695" i="1"/>
  <c r="K696" i="1"/>
  <c r="K680" i="1"/>
  <c r="K699" i="1"/>
  <c r="K710" i="1"/>
  <c r="K679" i="1"/>
  <c r="K684" i="1"/>
  <c r="K683" i="1"/>
  <c r="K689" i="1"/>
  <c r="K693" i="1"/>
  <c r="K700" i="1"/>
  <c r="K691" i="1"/>
  <c r="K671" i="1"/>
  <c r="K709" i="1"/>
  <c r="K697" i="1"/>
  <c r="K676" i="1"/>
  <c r="K692" i="1"/>
  <c r="K711" i="1"/>
  <c r="K703" i="1"/>
  <c r="K672" i="1"/>
  <c r="L704" i="1"/>
  <c r="L699" i="1"/>
  <c r="L681" i="1"/>
  <c r="L705" i="1"/>
  <c r="L680" i="1"/>
  <c r="L700" i="1"/>
  <c r="L671" i="1"/>
  <c r="L672" i="1"/>
  <c r="M672" i="1" s="1"/>
  <c r="L677" i="1"/>
  <c r="L682" i="1"/>
  <c r="L696" i="1"/>
  <c r="L676" i="1"/>
  <c r="L675" i="1"/>
  <c r="M675" i="1" s="1"/>
  <c r="L694" i="1"/>
  <c r="L702" i="1"/>
  <c r="L687" i="1"/>
  <c r="L683" i="1"/>
  <c r="L690" i="1"/>
  <c r="L701" i="1"/>
  <c r="L711" i="1"/>
  <c r="L716" i="1"/>
  <c r="L684" i="1"/>
  <c r="L697" i="1"/>
  <c r="L669" i="1"/>
  <c r="L668" i="1"/>
  <c r="L685" i="1"/>
  <c r="L679" i="1"/>
  <c r="L692" i="1"/>
  <c r="L709" i="1"/>
  <c r="L706" i="1"/>
  <c r="L691" i="1"/>
  <c r="L698" i="1"/>
  <c r="M698" i="1" s="1"/>
  <c r="L695" i="1"/>
  <c r="L674" i="1"/>
  <c r="L688" i="1"/>
  <c r="M688" i="1" s="1"/>
  <c r="L707" i="1"/>
  <c r="L686" i="1"/>
  <c r="L678" i="1"/>
  <c r="M678" i="1" s="1"/>
  <c r="L712" i="1"/>
  <c r="M712" i="1" s="1"/>
  <c r="L670" i="1"/>
  <c r="M670" i="1" s="1"/>
  <c r="L673" i="1"/>
  <c r="L689" i="1"/>
  <c r="L710" i="1"/>
  <c r="L708" i="1"/>
  <c r="L713" i="1"/>
  <c r="L703" i="1"/>
  <c r="L693" i="1"/>
  <c r="I714" i="10" l="1"/>
  <c r="J629" i="10"/>
  <c r="M669" i="1"/>
  <c r="D23" i="9" s="1"/>
  <c r="M676" i="1"/>
  <c r="M689" i="1"/>
  <c r="C119" i="9" s="1"/>
  <c r="M706" i="1"/>
  <c r="F183" i="9" s="1"/>
  <c r="M695" i="1"/>
  <c r="I119" i="9" s="1"/>
  <c r="M704" i="1"/>
  <c r="M693" i="1"/>
  <c r="M673" i="1"/>
  <c r="M697" i="1"/>
  <c r="D151" i="9" s="1"/>
  <c r="M692" i="1"/>
  <c r="F119" i="9" s="1"/>
  <c r="M705" i="1"/>
  <c r="M677" i="1"/>
  <c r="E55" i="9" s="1"/>
  <c r="M683" i="1"/>
  <c r="D87" i="9" s="1"/>
  <c r="M687" i="1"/>
  <c r="M686" i="1"/>
  <c r="M709" i="1"/>
  <c r="I183" i="9" s="1"/>
  <c r="M679" i="1"/>
  <c r="M674" i="1"/>
  <c r="M702" i="1"/>
  <c r="I151" i="9" s="1"/>
  <c r="M681" i="1"/>
  <c r="M696" i="1"/>
  <c r="C151" i="9" s="1"/>
  <c r="M671" i="1"/>
  <c r="M707" i="1"/>
  <c r="M713" i="1"/>
  <c r="M701" i="1"/>
  <c r="H151" i="9" s="1"/>
  <c r="M710" i="1"/>
  <c r="M703" i="1"/>
  <c r="C183" i="9" s="1"/>
  <c r="M708" i="1"/>
  <c r="M711" i="1"/>
  <c r="M684" i="1"/>
  <c r="M685" i="1"/>
  <c r="F87" i="9" s="1"/>
  <c r="M690" i="1"/>
  <c r="D119" i="9" s="1"/>
  <c r="L715" i="1"/>
  <c r="M668" i="1"/>
  <c r="E23" i="9"/>
  <c r="E151" i="9"/>
  <c r="E215" i="9"/>
  <c r="F55" i="9"/>
  <c r="M694" i="1"/>
  <c r="M700" i="1"/>
  <c r="C55" i="9"/>
  <c r="M680" i="1"/>
  <c r="G23" i="9"/>
  <c r="D55" i="9"/>
  <c r="M691" i="1"/>
  <c r="I87" i="9"/>
  <c r="M682" i="1"/>
  <c r="M699" i="1"/>
  <c r="K715" i="1"/>
  <c r="J638" i="10" l="1"/>
  <c r="J707" i="10"/>
  <c r="J642" i="10"/>
  <c r="J644" i="10"/>
  <c r="J681" i="10"/>
  <c r="J696" i="10"/>
  <c r="J643" i="10"/>
  <c r="J712" i="10"/>
  <c r="J675" i="10"/>
  <c r="J682" i="10"/>
  <c r="J688" i="10"/>
  <c r="J679" i="10"/>
  <c r="J634" i="10"/>
  <c r="J687" i="10"/>
  <c r="J646" i="10"/>
  <c r="J700" i="10"/>
  <c r="J636" i="10"/>
  <c r="J709" i="10"/>
  <c r="J673" i="10"/>
  <c r="J632" i="10"/>
  <c r="J706" i="10"/>
  <c r="J667" i="10"/>
  <c r="J677" i="10"/>
  <c r="J690" i="10"/>
  <c r="J641" i="10"/>
  <c r="J678" i="10"/>
  <c r="J705" i="10"/>
  <c r="J676" i="10"/>
  <c r="J699" i="10"/>
  <c r="J684" i="10"/>
  <c r="J674" i="10"/>
  <c r="J637" i="10"/>
  <c r="J671" i="10"/>
  <c r="J694" i="10"/>
  <c r="J695" i="10"/>
  <c r="J670" i="10"/>
  <c r="J701" i="10"/>
  <c r="J689" i="10"/>
  <c r="J710" i="10"/>
  <c r="J686" i="10"/>
  <c r="J669" i="10"/>
  <c r="J633" i="10"/>
  <c r="J635" i="10"/>
  <c r="J639" i="10"/>
  <c r="J711" i="10"/>
  <c r="J691" i="10"/>
  <c r="J631" i="10"/>
  <c r="J668" i="10"/>
  <c r="J683" i="10"/>
  <c r="J708" i="10"/>
  <c r="J630" i="10"/>
  <c r="J704" i="10"/>
  <c r="J645" i="10"/>
  <c r="J698" i="10"/>
  <c r="J715" i="10"/>
  <c r="J640" i="10"/>
  <c r="J672" i="10"/>
  <c r="J697" i="10"/>
  <c r="J692" i="10"/>
  <c r="J702" i="10"/>
  <c r="J703" i="10"/>
  <c r="J693" i="10"/>
  <c r="J680" i="10"/>
  <c r="J685" i="10"/>
  <c r="D183" i="9"/>
  <c r="H23" i="9"/>
  <c r="E183" i="9"/>
  <c r="G119" i="9"/>
  <c r="I55" i="9"/>
  <c r="H183" i="9"/>
  <c r="F215" i="9"/>
  <c r="H87" i="9"/>
  <c r="G87" i="9"/>
  <c r="F23" i="9"/>
  <c r="G183" i="9"/>
  <c r="I23" i="9"/>
  <c r="G55" i="9"/>
  <c r="C215" i="9"/>
  <c r="D215" i="9"/>
  <c r="E87" i="9"/>
  <c r="G151" i="9"/>
  <c r="H119" i="9"/>
  <c r="E119" i="9"/>
  <c r="F151" i="9"/>
  <c r="C87" i="9"/>
  <c r="C23" i="9"/>
  <c r="M715" i="1"/>
  <c r="H55" i="9"/>
  <c r="L646" i="10" l="1"/>
  <c r="K643" i="10"/>
  <c r="J714" i="10"/>
  <c r="L668" i="10" l="1"/>
  <c r="L680" i="10"/>
  <c r="L704" i="10"/>
  <c r="L708" i="10"/>
  <c r="L712" i="10"/>
  <c r="L674" i="10"/>
  <c r="L696" i="10"/>
  <c r="L710" i="10"/>
  <c r="L709" i="10"/>
  <c r="L681" i="10"/>
  <c r="L703" i="10"/>
  <c r="L699" i="10"/>
  <c r="L711" i="10"/>
  <c r="L685" i="10"/>
  <c r="L695" i="10"/>
  <c r="L702" i="10"/>
  <c r="L678" i="10"/>
  <c r="L689" i="10"/>
  <c r="L667" i="10"/>
  <c r="L675" i="10"/>
  <c r="L691" i="10"/>
  <c r="L715" i="10"/>
  <c r="L705" i="10"/>
  <c r="L697" i="10"/>
  <c r="L679" i="10"/>
  <c r="L671" i="10"/>
  <c r="L694" i="10"/>
  <c r="L687" i="10"/>
  <c r="L669" i="10"/>
  <c r="L673" i="10"/>
  <c r="L676" i="10"/>
  <c r="L690" i="10"/>
  <c r="L677" i="10"/>
  <c r="L672" i="10"/>
  <c r="L670" i="10"/>
  <c r="L688" i="10"/>
  <c r="L693" i="10"/>
  <c r="L682" i="10"/>
  <c r="L700" i="10"/>
  <c r="L701" i="10"/>
  <c r="L692" i="10"/>
  <c r="L686" i="10"/>
  <c r="L683" i="10"/>
  <c r="L707" i="10"/>
  <c r="L684" i="10"/>
  <c r="L706" i="10"/>
  <c r="L698" i="10"/>
  <c r="K674" i="10"/>
  <c r="K677" i="10"/>
  <c r="K711" i="10"/>
  <c r="K703" i="10"/>
  <c r="K668" i="10"/>
  <c r="K670" i="10"/>
  <c r="K704" i="10"/>
  <c r="K696" i="10"/>
  <c r="K694" i="10"/>
  <c r="K695" i="10"/>
  <c r="K707" i="10"/>
  <c r="K680" i="10"/>
  <c r="K687" i="10"/>
  <c r="K691" i="10"/>
  <c r="K698" i="10"/>
  <c r="K693" i="10"/>
  <c r="K701" i="10"/>
  <c r="K699" i="10"/>
  <c r="K686" i="10"/>
  <c r="K688" i="10"/>
  <c r="K675" i="10"/>
  <c r="K715" i="10"/>
  <c r="K681" i="10"/>
  <c r="K692" i="10"/>
  <c r="K690" i="10"/>
  <c r="K702" i="10"/>
  <c r="K671" i="10"/>
  <c r="K669" i="10"/>
  <c r="K710" i="10"/>
  <c r="K682" i="10"/>
  <c r="K678" i="10"/>
  <c r="K697" i="10"/>
  <c r="K672" i="10"/>
  <c r="K685" i="10"/>
  <c r="K683" i="10"/>
  <c r="K684" i="10"/>
  <c r="K705" i="10"/>
  <c r="K667" i="10"/>
  <c r="K676" i="10"/>
  <c r="K689" i="10"/>
  <c r="K673" i="10"/>
  <c r="K709" i="10"/>
  <c r="K708" i="10"/>
  <c r="K679" i="10"/>
  <c r="K700" i="10"/>
  <c r="K706" i="10"/>
  <c r="K712" i="10"/>
  <c r="M706" i="10" l="1"/>
  <c r="Z772" i="10" s="1"/>
  <c r="M682" i="10"/>
  <c r="Z748" i="10" s="1"/>
  <c r="M685" i="10"/>
  <c r="Z751" i="10" s="1"/>
  <c r="M689" i="10"/>
  <c r="Z755" i="10" s="1"/>
  <c r="M680" i="10"/>
  <c r="Z746" i="10" s="1"/>
  <c r="M673" i="10"/>
  <c r="Z739" i="10" s="1"/>
  <c r="M674" i="10"/>
  <c r="Z740" i="10" s="1"/>
  <c r="M672" i="10"/>
  <c r="Z738" i="10" s="1"/>
  <c r="M701" i="10"/>
  <c r="Z767" i="10" s="1"/>
  <c r="M690" i="10"/>
  <c r="Z756" i="10" s="1"/>
  <c r="M697" i="10"/>
  <c r="Z763" i="10" s="1"/>
  <c r="M702" i="10"/>
  <c r="Z768" i="10" s="1"/>
  <c r="M710" i="10"/>
  <c r="Z776" i="10" s="1"/>
  <c r="M698" i="10"/>
  <c r="Z764" i="10" s="1"/>
  <c r="M700" i="10"/>
  <c r="Z766" i="10" s="1"/>
  <c r="M676" i="10"/>
  <c r="Z742" i="10" s="1"/>
  <c r="M705" i="10"/>
  <c r="Z771" i="10" s="1"/>
  <c r="M695" i="10"/>
  <c r="Z761" i="10" s="1"/>
  <c r="M696" i="10"/>
  <c r="Z762" i="10" s="1"/>
  <c r="K714" i="10"/>
  <c r="M684" i="10"/>
  <c r="Z750" i="10" s="1"/>
  <c r="M693" i="10"/>
  <c r="Z759" i="10" s="1"/>
  <c r="M669" i="10"/>
  <c r="Z735" i="10" s="1"/>
  <c r="M691" i="10"/>
  <c r="Z757" i="10" s="1"/>
  <c r="M711" i="10"/>
  <c r="Z777" i="10" s="1"/>
  <c r="M712" i="10"/>
  <c r="Z778" i="10" s="1"/>
  <c r="M707" i="10"/>
  <c r="Z773" i="10" s="1"/>
  <c r="M688" i="10"/>
  <c r="Z754" i="10" s="1"/>
  <c r="M687" i="10"/>
  <c r="Z753" i="10" s="1"/>
  <c r="M675" i="10"/>
  <c r="Z741" i="10" s="1"/>
  <c r="M699" i="10"/>
  <c r="Z765" i="10" s="1"/>
  <c r="M708" i="10"/>
  <c r="Z774" i="10" s="1"/>
  <c r="M683" i="10"/>
  <c r="Z749" i="10" s="1"/>
  <c r="M670" i="10"/>
  <c r="Z736" i="10" s="1"/>
  <c r="M694" i="10"/>
  <c r="Z760" i="10" s="1"/>
  <c r="L714" i="10"/>
  <c r="M667" i="10"/>
  <c r="M703" i="10"/>
  <c r="Z769" i="10" s="1"/>
  <c r="M704" i="10"/>
  <c r="Z770" i="10" s="1"/>
  <c r="M686" i="10"/>
  <c r="Z752" i="10" s="1"/>
  <c r="M671" i="10"/>
  <c r="Z737" i="10" s="1"/>
  <c r="M681" i="10"/>
  <c r="Z747" i="10" s="1"/>
  <c r="M692" i="10"/>
  <c r="Z758" i="10" s="1"/>
  <c r="M677" i="10"/>
  <c r="Z743" i="10" s="1"/>
  <c r="M679" i="10"/>
  <c r="Z745" i="10" s="1"/>
  <c r="M678" i="10"/>
  <c r="Z744" i="10" s="1"/>
  <c r="M709" i="10"/>
  <c r="Z775" i="10" s="1"/>
  <c r="M668" i="10"/>
  <c r="Z734" i="10" s="1"/>
  <c r="Z733" i="10" l="1"/>
  <c r="Z814" i="10" s="1"/>
  <c r="M714" i="10"/>
</calcChain>
</file>

<file path=xl/sharedStrings.xml><?xml version="1.0" encoding="utf-8"?>
<sst xmlns="http://schemas.openxmlformats.org/spreadsheetml/2006/main" count="4690" uniqueCount="1286">
  <si>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</si>
  <si>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</si>
  <si>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</si>
  <si>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</si>
  <si>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</si>
  <si>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</si>
  <si>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</si>
  <si>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</si>
  <si>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</si>
  <si>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</si>
  <si>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</si>
  <si>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</si>
  <si>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</si>
  <si>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</si>
  <si>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</si>
  <si>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</si>
  <si>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</si>
  <si>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</si>
  <si>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</si>
  <si>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</si>
  <si>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</si>
  <si>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</si>
  <si>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</si>
  <si>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</si>
  <si>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</si>
  <si>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</si>
  <si>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</si>
  <si>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</si>
  <si>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</si>
  <si>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</si>
  <si>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</si>
  <si>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</si>
  <si>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</si>
  <si>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</si>
  <si>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</si>
  <si>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</si>
  <si>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</si>
  <si>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</si>
  <si>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</si>
  <si>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</si>
  <si>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</si>
  <si>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</si>
  <si>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</si>
  <si>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</si>
  <si>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</si>
  <si>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</si>
  <si>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</si>
  <si>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</si>
  <si>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</si>
  <si>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</si>
  <si>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</si>
  <si>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</si>
  <si>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</si>
  <si>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</si>
  <si>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</si>
  <si>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</si>
  <si>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</si>
  <si>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</si>
  <si>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</si>
  <si>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</si>
  <si>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</si>
  <si>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</si>
  <si>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</si>
  <si>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</si>
  <si>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</si>
  <si>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</si>
  <si>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</si>
  <si>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</si>
  <si>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</si>
  <si>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</si>
  <si>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</si>
  <si>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</si>
  <si>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</si>
  <si>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</si>
  <si>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</si>
  <si>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</si>
  <si>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</si>
  <si>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</si>
  <si>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</si>
  <si>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</si>
  <si>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</si>
  <si>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</si>
  <si>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</si>
  <si>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</si>
  <si>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</si>
  <si>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</si>
  <si>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</si>
  <si>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</si>
  <si>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</si>
  <si>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</si>
  <si>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</si>
  <si>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</si>
  <si>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</si>
  <si>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</si>
  <si>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</si>
  <si>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</si>
  <si>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</si>
  <si>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</si>
  <si>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</si>
  <si>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</si>
  <si>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</si>
  <si>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</si>
  <si>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</si>
  <si>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</si>
  <si>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</si>
  <si>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</si>
  <si>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</si>
  <si>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</si>
  <si>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</si>
  <si>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</si>
  <si>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</si>
  <si>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</si>
  <si>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</si>
  <si>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</si>
  <si>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</si>
  <si>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</si>
  <si>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</si>
  <si>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</si>
  <si>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</si>
  <si>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</si>
  <si>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</si>
  <si>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</si>
  <si>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</si>
  <si>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</si>
  <si>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</si>
  <si>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</si>
  <si>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</si>
  <si>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</si>
  <si>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</si>
  <si>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</si>
  <si>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</si>
  <si>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</si>
  <si>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</si>
  <si>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</si>
  <si>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</si>
  <si>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</si>
  <si>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</si>
  <si>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</si>
  <si>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</si>
  <si>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</si>
  <si>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</si>
  <si>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</si>
  <si>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</si>
  <si>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</si>
  <si>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</si>
  <si>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</si>
  <si>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</si>
  <si>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</si>
  <si>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</si>
  <si>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</si>
  <si>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</si>
  <si>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</si>
  <si>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</si>
  <si>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</si>
  <si>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</si>
  <si>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</si>
  <si>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</si>
  <si>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</si>
  <si>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</si>
  <si>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</si>
  <si>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</si>
  <si>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</si>
  <si>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</si>
  <si>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</si>
  <si>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</si>
  <si>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</si>
  <si>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</si>
  <si>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</si>
  <si>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</si>
  <si>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</si>
  <si>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</si>
  <si>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</si>
  <si>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</si>
  <si>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</si>
  <si>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</si>
  <si>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</si>
  <si>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</si>
  <si>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</si>
  <si>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</si>
  <si>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</si>
  <si>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</si>
  <si>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</si>
  <si>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</si>
  <si>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</si>
  <si>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</si>
  <si>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</si>
  <si>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</si>
  <si>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</si>
  <si>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</si>
  <si>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</si>
  <si>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</si>
  <si>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</si>
  <si>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</si>
  <si>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</si>
  <si>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</si>
  <si>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</si>
  <si>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</si>
  <si>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</si>
  <si>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</si>
  <si>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</si>
  <si>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</si>
  <si>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</si>
  <si>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</si>
  <si>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</si>
  <si>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</si>
  <si>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</si>
  <si>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</si>
  <si>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</si>
  <si>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</si>
  <si>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</si>
  <si>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</si>
  <si>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</si>
  <si>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</si>
  <si>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</si>
  <si>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</si>
  <si>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</si>
  <si>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</si>
  <si>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</si>
  <si>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</si>
  <si>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</si>
  <si>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</si>
  <si>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</si>
  <si>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</si>
  <si>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</si>
  <si>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</si>
  <si>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</si>
  <si>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</si>
  <si>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</si>
  <si>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</si>
  <si>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</si>
  <si>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</si>
  <si>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</si>
  <si>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</si>
  <si>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</si>
  <si>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</si>
  <si>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</si>
  <si>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</si>
  <si>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</si>
  <si>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</si>
  <si>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</si>
  <si>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</si>
  <si>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</si>
  <si>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</si>
  <si>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</si>
  <si>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</si>
  <si>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</si>
  <si>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</si>
  <si>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</si>
  <si>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</si>
  <si>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</si>
  <si>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</si>
  <si>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</si>
  <si>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</si>
  <si>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</si>
  <si>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</si>
  <si>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</si>
  <si>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</si>
  <si>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</si>
  <si>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</si>
  <si>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</si>
  <si>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</si>
  <si>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</si>
  <si>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</si>
  <si>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</si>
  <si>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</si>
  <si>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</si>
  <si>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</si>
  <si>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</si>
  <si>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</si>
  <si>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</si>
  <si>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</si>
  <si>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</si>
  <si>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</si>
  <si>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</si>
  <si>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</si>
  <si>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</si>
  <si>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</si>
  <si>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</si>
  <si>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</si>
  <si>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</si>
  <si>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</si>
  <si>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</si>
  <si>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</si>
  <si>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</si>
  <si>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</si>
  <si>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</si>
  <si>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</si>
  <si>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</si>
  <si>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</si>
  <si>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</si>
  <si>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</si>
  <si>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</si>
  <si>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</si>
  <si>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</si>
  <si>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</si>
  <si>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</si>
  <si>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</si>
  <si>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</si>
  <si>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</si>
  <si>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</si>
  <si>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</si>
  <si>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</si>
  <si>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</si>
  <si>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</si>
  <si>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</si>
  <si>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</si>
  <si>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</si>
  <si>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</si>
  <si>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</si>
  <si>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</si>
  <si>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</si>
  <si>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</si>
  <si>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</si>
  <si>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</si>
  <si>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</si>
  <si>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</si>
  <si>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</si>
  <si>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</si>
  <si>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</si>
  <si>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</si>
  <si>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</si>
  <si>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</si>
  <si>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</si>
  <si>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</si>
  <si>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</si>
  <si>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</si>
  <si>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</si>
  <si>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</si>
  <si>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</si>
  <si>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</si>
  <si>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</si>
  <si>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</si>
  <si>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</si>
  <si>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</si>
  <si>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</si>
  <si>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</si>
  <si>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</si>
  <si>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</si>
  <si>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</si>
  <si>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</si>
  <si>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</si>
  <si>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</si>
  <si>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</si>
  <si>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</si>
  <si>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</si>
  <si>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</si>
  <si>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</si>
  <si>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</si>
  <si>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</si>
  <si>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</si>
  <si>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</si>
  <si>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</si>
  <si>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</si>
  <si>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</si>
  <si>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</si>
  <si>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</si>
  <si>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</si>
  <si>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</si>
  <si>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</si>
  <si>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</si>
  <si>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</si>
  <si>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</si>
  <si>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</si>
  <si>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</si>
  <si>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</si>
  <si>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</si>
  <si>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</si>
  <si>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</si>
  <si>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</si>
  <si>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</si>
  <si>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</si>
  <si>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</si>
  <si>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</si>
  <si>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</si>
  <si>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</si>
  <si>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</si>
  <si>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</si>
  <si>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</si>
  <si>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</si>
  <si>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</si>
  <si>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</si>
  <si>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</si>
  <si>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</si>
  <si>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</si>
  <si>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</si>
  <si>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</si>
  <si>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</si>
  <si>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</si>
  <si>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</si>
  <si>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</si>
  <si>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</si>
  <si>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</si>
  <si>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</si>
  <si>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</si>
  <si>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</si>
  <si>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</si>
  <si>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</si>
  <si>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</si>
  <si>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</si>
  <si>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</si>
  <si>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</si>
  <si>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</si>
  <si>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</si>
  <si>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</si>
  <si>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</si>
  <si>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</si>
  <si>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</si>
  <si>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</si>
  <si>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</si>
  <si>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</si>
  <si>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</si>
  <si>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</si>
  <si>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</si>
  <si>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</si>
  <si>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</si>
  <si>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</si>
  <si>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</si>
  <si>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</si>
  <si>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</si>
  <si>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</si>
  <si>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</si>
  <si>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</si>
  <si>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</si>
  <si>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</si>
  <si>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</si>
  <si>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</si>
  <si>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</si>
  <si>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</si>
  <si>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</si>
  <si>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</si>
  <si>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</si>
  <si>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</si>
  <si>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</si>
  <si>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</si>
  <si>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</si>
  <si>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</si>
  <si>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</si>
  <si>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</si>
  <si>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</si>
  <si>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</si>
  <si>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</si>
  <si>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</si>
  <si>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</si>
  <si>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</si>
  <si>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</si>
  <si>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</si>
  <si>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</si>
  <si>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</si>
  <si>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</si>
  <si>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</si>
  <si>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</si>
  <si>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</si>
  <si>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</si>
  <si>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</si>
  <si>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</si>
  <si>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</si>
  <si>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</si>
  <si>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</si>
  <si>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</si>
  <si>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</si>
  <si>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</si>
  <si>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</si>
  <si>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</si>
  <si>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</si>
  <si>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</si>
  <si>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</si>
  <si>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</si>
  <si>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</si>
  <si>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</si>
  <si>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</si>
  <si>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</si>
  <si>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</si>
  <si>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</si>
  <si>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</si>
  <si>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</si>
  <si>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</si>
  <si>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</si>
  <si>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</si>
  <si>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</si>
  <si>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</si>
  <si>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</si>
  <si>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</si>
  <si>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</si>
  <si>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</si>
  <si>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</si>
  <si>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</si>
  <si>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</si>
  <si>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</si>
  <si>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</si>
  <si>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</si>
  <si>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</si>
  <si>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</si>
  <si>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</si>
  <si>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</si>
  <si>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</si>
  <si>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</si>
  <si>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</si>
  <si>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</si>
  <si>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</si>
  <si>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</si>
  <si>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</si>
  <si>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</si>
  <si>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</si>
  <si>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</si>
  <si>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</si>
  <si>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</si>
  <si>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</si>
  <si>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</si>
  <si>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</si>
  <si>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</si>
  <si>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</si>
  <si>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</si>
  <si>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</si>
  <si>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</si>
  <si>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</si>
  <si>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</si>
  <si>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</si>
  <si>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</si>
  <si>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</si>
  <si>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</si>
  <si>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</si>
  <si>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</si>
  <si>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</si>
  <si>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</si>
  <si>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</si>
  <si>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</si>
  <si>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</si>
  <si>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</si>
  <si>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</si>
  <si>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</si>
  <si>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</si>
  <si>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</si>
  <si>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</si>
  <si>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</si>
  <si>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</si>
  <si>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</si>
  <si>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</si>
  <si>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</si>
  <si>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</si>
  <si>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</si>
  <si>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</si>
  <si>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</si>
  <si>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</si>
  <si>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</si>
  <si>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</si>
  <si>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</si>
  <si>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</si>
  <si>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</si>
  <si>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</si>
  <si>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</si>
  <si>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</si>
  <si>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</si>
  <si>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</si>
  <si>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</si>
  <si>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</si>
  <si>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</si>
  <si>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</si>
  <si>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</si>
  <si>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</si>
  <si>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</si>
  <si>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</si>
  <si>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</si>
  <si>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</si>
  <si>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</si>
  <si>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</si>
  <si>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</si>
  <si>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</si>
  <si>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</si>
  <si>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</si>
  <si>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</si>
  <si>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</si>
  <si>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</si>
  <si>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</si>
  <si>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</si>
  <si>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</si>
  <si>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</si>
  <si>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</si>
  <si>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</si>
  <si>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</si>
  <si>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</si>
  <si>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</si>
  <si>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</si>
  <si>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</si>
  <si>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</si>
  <si>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</si>
  <si>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</si>
  <si>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</si>
  <si>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</si>
  <si>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</si>
  <si>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</si>
  <si>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</si>
  <si>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</si>
  <si>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</si>
  <si>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</si>
  <si>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</si>
  <si>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</si>
  <si>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</si>
  <si>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</si>
  <si>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</si>
  <si>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</si>
  <si>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</si>
  <si>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</si>
  <si>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</si>
  <si>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</si>
  <si>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</si>
  <si>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</si>
  <si>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</si>
  <si>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</si>
  <si>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</si>
  <si>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</si>
  <si>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</si>
  <si>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</si>
  <si>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</si>
  <si>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</si>
  <si>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</si>
  <si>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</si>
  <si>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</si>
  <si>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</si>
  <si>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</si>
  <si>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</si>
  <si>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</si>
  <si>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</si>
  <si>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</si>
  <si>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</si>
  <si>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</si>
  <si>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</si>
  <si>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</si>
  <si>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</si>
  <si>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</si>
  <si>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</si>
  <si>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</si>
  <si>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</si>
  <si>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</si>
  <si>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</si>
  <si>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</si>
  <si>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</si>
  <si>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</si>
  <si>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</si>
  <si>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</si>
  <si>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</si>
  <si>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</si>
  <si>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</si>
  <si>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</si>
  <si>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</si>
  <si>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</si>
  <si>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</si>
  <si>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</si>
  <si>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</si>
  <si>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</si>
  <si>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</si>
  <si>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</si>
  <si>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</si>
  <si>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</si>
  <si>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</si>
  <si>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</si>
  <si>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</si>
  <si>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</si>
  <si>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</si>
  <si>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</si>
  <si>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</si>
  <si>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</si>
  <si>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</si>
  <si>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</si>
  <si>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</si>
  <si>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</si>
  <si>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</si>
  <si>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</si>
  <si>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</si>
  <si>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</si>
  <si>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</si>
  <si>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</si>
  <si>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</si>
  <si>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</si>
  <si>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</si>
  <si>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</si>
  <si>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</si>
  <si>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</si>
  <si>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</si>
  <si>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</si>
  <si>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</si>
  <si>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</si>
  <si>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</si>
  <si>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</si>
  <si>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</si>
  <si>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</si>
  <si>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</si>
  <si>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</si>
  <si>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</si>
  <si>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</si>
  <si>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</si>
  <si>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</si>
  <si>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</si>
  <si>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</si>
  <si>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</si>
  <si>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</si>
  <si>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</si>
  <si>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</si>
  <si>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</si>
  <si>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</si>
  <si>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</si>
  <si>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</si>
  <si>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</si>
  <si>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</si>
  <si>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</si>
  <si>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</si>
  <si>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</si>
  <si>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</si>
  <si>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</si>
  <si>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</si>
  <si>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</si>
  <si>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</si>
  <si>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</si>
  <si>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</si>
  <si>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</si>
  <si>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</si>
  <si>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</si>
  <si>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</si>
  <si>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</si>
  <si>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</si>
  <si>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</si>
  <si>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</si>
  <si>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</si>
  <si>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</si>
  <si>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</si>
  <si>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</si>
  <si>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</si>
  <si>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</si>
  <si>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</si>
  <si>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</si>
  <si>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</si>
  <si>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</si>
  <si>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</si>
  <si>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</si>
  <si>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</si>
  <si>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</si>
  <si>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</si>
  <si>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</si>
  <si>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</si>
  <si>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</si>
  <si>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</si>
  <si>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</si>
  <si>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</si>
  <si>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</si>
  <si>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</si>
  <si>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</si>
  <si>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</si>
  <si>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</si>
  <si>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</si>
  <si>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</si>
  <si>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</si>
  <si>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</si>
  <si>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</si>
  <si>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</si>
  <si>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</si>
  <si>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</si>
  <si>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</si>
  <si>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</si>
  <si>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</si>
  <si>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</si>
  <si>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</si>
  <si>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</si>
  <si>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</si>
  <si>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</si>
  <si>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</si>
  <si>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</si>
  <si>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</si>
  <si>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</si>
  <si>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</si>
  <si>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</si>
  <si>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</si>
  <si>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</si>
  <si>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</si>
  <si>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</si>
  <si>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</si>
  <si>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</si>
  <si>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</si>
  <si>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</si>
  <si>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</si>
  <si>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</si>
  <si>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</si>
  <si>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</si>
  <si>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</si>
  <si>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</si>
  <si>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</si>
  <si>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</si>
  <si>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</si>
  <si>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</si>
  <si>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</si>
  <si>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</si>
  <si>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</si>
  <si>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</si>
  <si>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</si>
  <si>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</si>
  <si>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</si>
  <si>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</si>
  <si>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</si>
  <si>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</si>
  <si>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</si>
  <si>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</si>
  <si>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</si>
  <si>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</si>
  <si>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</si>
  <si>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</si>
  <si>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</si>
  <si>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</si>
  <si>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</si>
  <si>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</si>
  <si>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</si>
  <si>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</si>
  <si>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</si>
  <si>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</si>
  <si>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</si>
  <si>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</si>
  <si>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</si>
  <si>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</si>
  <si>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</si>
  <si>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</si>
  <si>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</si>
  <si>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</si>
  <si>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</si>
  <si>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</si>
  <si>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</si>
  <si>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</si>
  <si>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</si>
  <si>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</si>
  <si>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</si>
  <si>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</si>
  <si>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</si>
  <si>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</si>
  <si>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</si>
  <si>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</si>
  <si>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</si>
  <si>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</si>
  <si>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</si>
  <si>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</si>
  <si>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</si>
  <si>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</si>
  <si>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</si>
  <si>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</si>
  <si>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</si>
  <si>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</si>
  <si>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</si>
  <si>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</si>
  <si>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</si>
  <si>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</si>
  <si>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</si>
  <si>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</si>
  <si>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</si>
  <si>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</si>
  <si>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</si>
  <si>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</si>
  <si>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</si>
  <si>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</si>
  <si>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</si>
  <si>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</si>
  <si>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</si>
  <si>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</si>
  <si>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</si>
  <si>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</si>
  <si>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</si>
  <si>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</si>
  <si>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</si>
  <si>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</si>
  <si>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</si>
  <si>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</si>
  <si>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</si>
  <si>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</si>
  <si>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</si>
  <si>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</si>
  <si>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</si>
  <si>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</si>
  <si>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</si>
  <si>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</si>
  <si>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</si>
  <si>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</si>
  <si>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</si>
  <si>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</si>
  <si>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</si>
  <si>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</si>
  <si>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</si>
  <si>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</si>
  <si>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</si>
  <si>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</si>
  <si>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</si>
  <si>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</si>
  <si>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</si>
  <si>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</si>
  <si>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</si>
  <si>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</si>
  <si>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</si>
  <si>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</si>
  <si>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</si>
  <si>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</si>
  <si>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</si>
  <si>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</si>
  <si>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</si>
  <si>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</si>
  <si>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</si>
  <si>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</si>
  <si>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</si>
  <si>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</si>
  <si>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</si>
  <si>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</si>
  <si>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</si>
  <si>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</si>
  <si>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</si>
  <si>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</si>
  <si>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</si>
  <si>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</si>
  <si>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</si>
  <si>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</si>
  <si>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</si>
  <si>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</si>
  <si>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</si>
  <si>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</si>
  <si>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</si>
  <si>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</si>
  <si>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</si>
  <si>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</si>
  <si>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</si>
  <si>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</si>
  <si>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</si>
  <si>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</si>
  <si>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</si>
  <si>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</si>
  <si>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</si>
  <si>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</si>
  <si>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</si>
  <si>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</si>
  <si>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</si>
  <si>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</si>
  <si>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</si>
  <si>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</si>
  <si>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</si>
  <si>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</si>
  <si>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</si>
  <si>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</si>
  <si>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</si>
  <si>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</si>
  <si>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</si>
  <si>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</si>
  <si>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</si>
  <si>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</si>
  <si>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</si>
  <si>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</si>
  <si>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</si>
  <si>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</si>
  <si>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</si>
  <si>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</si>
  <si>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</si>
  <si>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</si>
  <si>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</si>
  <si>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</si>
  <si>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</si>
  <si>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</si>
  <si>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</si>
  <si>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</si>
  <si>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</si>
  <si>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</si>
  <si>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</si>
  <si>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</si>
  <si>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</si>
  <si>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</si>
  <si>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</si>
  <si>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</si>
  <si>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</si>
  <si>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</si>
  <si>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</si>
  <si>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</si>
  <si>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</si>
  <si>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</si>
  <si>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</si>
  <si>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</si>
  <si>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</si>
  <si>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</si>
  <si>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</si>
  <si>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</si>
  <si>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</si>
  <si>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</si>
  <si>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</si>
  <si>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</si>
  <si>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</si>
  <si>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</si>
  <si>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</si>
  <si>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</si>
  <si>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</si>
  <si>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</si>
  <si>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</si>
  <si>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</si>
  <si>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</si>
  <si>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</si>
  <si>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</si>
  <si>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</si>
  <si>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</si>
  <si>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</si>
  <si>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</si>
  <si>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</si>
  <si>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</si>
  <si>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</si>
  <si>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</si>
  <si>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</si>
  <si>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</si>
  <si>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</si>
  <si>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</si>
  <si>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</si>
  <si>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</si>
  <si>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</si>
  <si>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</si>
  <si>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</si>
  <si>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</si>
  <si>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</si>
  <si>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</si>
  <si>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</si>
  <si>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</si>
  <si>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</si>
  <si>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</si>
  <si>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</si>
  <si>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</si>
  <si>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</si>
  <si>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</si>
  <si>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</si>
  <si>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</si>
  <si>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</si>
  <si>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</si>
  <si>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</si>
  <si>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</si>
  <si>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</si>
  <si>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</si>
  <si>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</si>
  <si>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</si>
  <si>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</si>
  <si>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</si>
  <si>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</si>
  <si>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</si>
  <si>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</si>
  <si>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</si>
  <si>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</si>
  <si>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</si>
  <si>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</si>
  <si>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</si>
  <si>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</si>
  <si>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</si>
  <si>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</si>
  <si>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</si>
  <si>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</si>
  <si>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</si>
  <si>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</si>
  <si>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</si>
  <si>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</si>
  <si>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</si>
  <si>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</si>
  <si>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</si>
  <si>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</si>
  <si>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</si>
  <si>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</si>
  <si>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</si>
  <si>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</si>
  <si>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</si>
  <si>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</si>
  <si>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</si>
  <si>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</si>
  <si>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</si>
  <si>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</si>
  <si>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</si>
  <si>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</si>
  <si>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</si>
  <si>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</si>
  <si>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</si>
  <si>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</si>
  <si>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</si>
  <si>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</si>
  <si>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</si>
  <si>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</si>
  <si>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</si>
  <si>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</si>
  <si>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</si>
  <si>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</si>
  <si>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</si>
  <si>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</si>
  <si>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</si>
  <si>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</si>
  <si>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</si>
  <si>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</si>
  <si>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</si>
  <si>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</si>
  <si>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</si>
  <si>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</si>
  <si>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</si>
  <si>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</si>
  <si>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</si>
  <si>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</si>
  <si>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</si>
  <si>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</si>
  <si>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</si>
  <si>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</si>
  <si>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</si>
  <si>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</si>
  <si>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</si>
  <si>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</si>
  <si>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</si>
  <si>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</si>
  <si>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</si>
  <si>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</si>
  <si>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</si>
  <si>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</si>
  <si>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</si>
  <si>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</si>
  <si>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</si>
  <si>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</si>
  <si>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</si>
  <si>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</si>
  <si>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</si>
  <si>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</si>
  <si>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</si>
  <si>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</si>
  <si>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</si>
  <si>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</si>
  <si>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</si>
  <si>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</si>
  <si>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</si>
  <si>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</si>
  <si>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</si>
  <si>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</si>
  <si>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</si>
  <si>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</si>
  <si>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</si>
  <si>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</si>
  <si>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</si>
  <si>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</si>
  <si>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</si>
  <si>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</si>
  <si>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</si>
  <si>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</si>
  <si>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</si>
  <si>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</si>
  <si>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</si>
  <si>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</si>
  <si>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</si>
  <si>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</si>
  <si>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</si>
  <si>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</si>
  <si>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</si>
  <si>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</si>
  <si>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</si>
  <si>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</si>
  <si>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</si>
  <si>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</si>
  <si>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</si>
  <si>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</si>
  <si>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</si>
  <si>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</si>
  <si>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</si>
  <si>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</si>
  <si>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</si>
  <si>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</si>
  <si>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</si>
  <si>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</si>
  <si>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</si>
  <si>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</si>
  <si>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</si>
  <si>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</si>
  <si>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</si>
  <si>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</si>
  <si>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</si>
  <si>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</si>
  <si>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</si>
  <si>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</si>
  <si>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</si>
  <si>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</si>
  <si>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</si>
  <si>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</si>
  <si>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</si>
  <si>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</si>
  <si>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</si>
  <si>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</si>
  <si>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</si>
  <si>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</si>
  <si>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</si>
  <si>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</si>
  <si>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</si>
  <si>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</si>
  <si>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</si>
  <si>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</si>
  <si>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</si>
  <si>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</si>
  <si>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</si>
  <si>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</si>
  <si>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</si>
  <si>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</si>
  <si>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</si>
  <si>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</si>
  <si>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</si>
  <si>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</si>
  <si>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</si>
  <si>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</si>
  <si>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</si>
  <si>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</si>
  <si>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</si>
  <si>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</si>
  <si>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</si>
  <si>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</si>
  <si>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</si>
  <si>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</si>
  <si>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</si>
  <si>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</si>
  <si>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</si>
  <si>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</si>
  <si>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</si>
  <si>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</si>
  <si>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</si>
  <si>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</si>
  <si>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</si>
  <si>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</si>
  <si>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</si>
  <si>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</si>
  <si>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</si>
  <si>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</si>
  <si>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</si>
  <si>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</si>
  <si>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</si>
  <si>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</si>
  <si>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</si>
  <si>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</si>
  <si>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</si>
  <si>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</si>
  <si>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</si>
  <si>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</si>
  <si>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</si>
  <si>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</si>
  <si>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</si>
  <si>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</si>
  <si>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</si>
  <si>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</si>
  <si>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</si>
  <si>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</si>
  <si>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</si>
  <si>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</si>
  <si>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</si>
  <si>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</si>
  <si>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</si>
  <si>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</si>
  <si>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</si>
  <si>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</si>
  <si>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</si>
  <si>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</si>
  <si>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</si>
  <si>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</si>
  <si>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</si>
  <si>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</si>
  <si>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</si>
  <si>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</si>
  <si>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</si>
  <si>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</si>
  <si>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</si>
  <si>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</si>
  <si>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</si>
  <si>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</si>
  <si>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</si>
  <si>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</si>
  <si>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</si>
  <si>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</si>
  <si>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</si>
  <si>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</si>
  <si>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</si>
  <si>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</si>
  <si>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</si>
  <si>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</si>
  <si>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</si>
  <si>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</si>
  <si>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</si>
  <si>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</si>
  <si>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152</t>
  </si>
  <si>
    <t>Public Hospital District No 1 of Mason County, WA, DBA Mason General Hospital and Family of Clinics</t>
  </si>
  <si>
    <t>901 Mountain View Drive</t>
  </si>
  <si>
    <t>901 Mountain View Drive, PO Box 1668</t>
  </si>
  <si>
    <t>Shelton, WA 98584</t>
  </si>
  <si>
    <t>Mason</t>
  </si>
  <si>
    <t>Eric Moll</t>
  </si>
  <si>
    <t>Rick Smith, CPA</t>
  </si>
  <si>
    <t>Gayle Weston</t>
  </si>
  <si>
    <t>360-432-7721</t>
  </si>
  <si>
    <t>360-427-1921</t>
  </si>
  <si>
    <t/>
  </si>
  <si>
    <t>12/31/2018</t>
  </si>
  <si>
    <t>Don Wilson</t>
  </si>
  <si>
    <t>Rick Smith, CFO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</si>
</sst>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1" width="11.75" style="180"/>
    <col min="82" max="82" width="14" style="180" bestFit="1" customWidth="1"/>
    <col min="83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14630645.089999998</v>
      </c>
      <c r="C47" s="184">
        <v>526805.89</v>
      </c>
      <c r="D47" s="184"/>
      <c r="E47" s="184">
        <v>1270525.3799999999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381975.52</v>
      </c>
      <c r="Q47" s="184">
        <v>369186.06</v>
      </c>
      <c r="R47" s="184">
        <v>218065.44999999998</v>
      </c>
      <c r="S47" s="184"/>
      <c r="T47" s="184"/>
      <c r="U47" s="184">
        <v>545607.31000000006</v>
      </c>
      <c r="V47" s="184"/>
      <c r="W47" s="184">
        <v>62871.91</v>
      </c>
      <c r="X47" s="184">
        <v>142247.39000000001</v>
      </c>
      <c r="Y47" s="184">
        <v>514216.04000000004</v>
      </c>
      <c r="Z47" s="184"/>
      <c r="AA47" s="184">
        <v>20887.099999999999</v>
      </c>
      <c r="AB47" s="184">
        <v>408260.00999999995</v>
      </c>
      <c r="AC47" s="184">
        <v>275148.67</v>
      </c>
      <c r="AD47" s="184"/>
      <c r="AE47" s="184">
        <v>456861.31</v>
      </c>
      <c r="AF47" s="184"/>
      <c r="AG47" s="184">
        <v>802720.42999999993</v>
      </c>
      <c r="AH47" s="184"/>
      <c r="AI47" s="184"/>
      <c r="AJ47" s="184"/>
      <c r="AK47" s="184"/>
      <c r="AL47" s="184"/>
      <c r="AM47" s="184"/>
      <c r="AN47" s="184"/>
      <c r="AO47" s="184"/>
      <c r="AP47" s="184">
        <v>3840980.02</v>
      </c>
      <c r="AQ47" s="184"/>
      <c r="AR47" s="184"/>
      <c r="AS47" s="184"/>
      <c r="AT47" s="184"/>
      <c r="AU47" s="184"/>
      <c r="AV47" s="184">
        <v>84411.890000000014</v>
      </c>
      <c r="AW47" s="184"/>
      <c r="AX47" s="184"/>
      <c r="AY47" s="184">
        <v>321872.64999999997</v>
      </c>
      <c r="AZ47" s="184"/>
      <c r="BA47" s="184">
        <v>39015.86</v>
      </c>
      <c r="BB47" s="184"/>
      <c r="BC47" s="184"/>
      <c r="BD47" s="184">
        <v>109084.5</v>
      </c>
      <c r="BE47" s="184">
        <v>294822.35000000003</v>
      </c>
      <c r="BF47" s="184">
        <v>457978.69</v>
      </c>
      <c r="BG47" s="184"/>
      <c r="BH47" s="184">
        <v>153113.51999999999</v>
      </c>
      <c r="BI47" s="184"/>
      <c r="BJ47" s="184">
        <v>180274.49999999997</v>
      </c>
      <c r="BK47" s="184">
        <v>457508.25</v>
      </c>
      <c r="BL47" s="184">
        <v>455776.44000000006</v>
      </c>
      <c r="BM47" s="184"/>
      <c r="BN47" s="184">
        <v>481114.19</v>
      </c>
      <c r="BO47" s="184">
        <v>48253.760000000002</v>
      </c>
      <c r="BP47" s="184"/>
      <c r="BQ47" s="184"/>
      <c r="BR47" s="184">
        <v>120356.94</v>
      </c>
      <c r="BS47" s="184"/>
      <c r="BT47" s="184"/>
      <c r="BU47" s="184"/>
      <c r="BV47" s="184">
        <v>473069.66000000003</v>
      </c>
      <c r="BW47" s="184">
        <v>50521.710000000006</v>
      </c>
      <c r="BX47" s="184"/>
      <c r="BY47" s="184">
        <v>789751.03</v>
      </c>
      <c r="BZ47" s="184"/>
      <c r="CA47" s="184">
        <v>60179.02</v>
      </c>
      <c r="CB47" s="184"/>
      <c r="CC47" s="184">
        <v>217181.64</v>
      </c>
      <c r="CD47" s="195"/>
      <c r="CE47" s="195">
        <f>SUM(C47:CC47)</f>
        <v>14630645.089999998</v>
      </c>
    </row>
    <row r="48" spans="1:83" ht="12.6" customHeight="1" x14ac:dyDescent="0.2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14630645.089999998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547259.82999999996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>
        <v>547259.82999999996</v>
      </c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547259.82999999996</v>
      </c>
    </row>
    <row r="52" spans="1:84" ht="12.6" customHeight="1" x14ac:dyDescent="0.25">
      <c r="A52" s="171" t="s">
        <v>208</v>
      </c>
      <c r="B52" s="184">
        <v>4428168.04</v>
      </c>
      <c r="C52" s="195">
        <f>ROUND((B52/(CE76+CF76)*C76),0)</f>
        <v>155436</v>
      </c>
      <c r="D52" s="195">
        <f>ROUND((B52/(CE76+CF76)*D76),0)</f>
        <v>0</v>
      </c>
      <c r="E52" s="195">
        <f>ROUND((B52/(CE76+CF76)*E76),0)</f>
        <v>459140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11495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23248</v>
      </c>
      <c r="P52" s="195">
        <f>ROUND((B52/(CE76+CF76)*P76),0)</f>
        <v>156566</v>
      </c>
      <c r="Q52" s="195">
        <f>ROUND((B52/(CE76+CF76)*Q76),0)</f>
        <v>172823</v>
      </c>
      <c r="R52" s="195">
        <f>ROUND((B52/(CE76+CF76)*R76),0)</f>
        <v>7431</v>
      </c>
      <c r="S52" s="195">
        <f>ROUND((B52/(CE76+CF76)*S76),0)</f>
        <v>70834</v>
      </c>
      <c r="T52" s="195">
        <f>ROUND((B52/(CE76+CF76)*T76),0)</f>
        <v>0</v>
      </c>
      <c r="U52" s="195">
        <f>ROUND((B52/(CE76+CF76)*U76),0)</f>
        <v>99040</v>
      </c>
      <c r="V52" s="195">
        <f>ROUND((B52/(CE76+CF76)*V76),0)</f>
        <v>0</v>
      </c>
      <c r="W52" s="195">
        <f>ROUND((B52/(CE76+CF76)*W76),0)</f>
        <v>50972</v>
      </c>
      <c r="X52" s="195">
        <f>ROUND((B52/(CE76+CF76)*X76),0)</f>
        <v>18879</v>
      </c>
      <c r="Y52" s="195">
        <f>ROUND((B52/(CE76+CF76)*Y76),0)</f>
        <v>127093</v>
      </c>
      <c r="Z52" s="195">
        <f>ROUND((B52/(CE76+CF76)*Z76),0)</f>
        <v>0</v>
      </c>
      <c r="AA52" s="195">
        <f>ROUND((B52/(CE76+CF76)*AA76),0)</f>
        <v>16458</v>
      </c>
      <c r="AB52" s="195">
        <f>ROUND((B52/(CE76+CF76)*AB76),0)</f>
        <v>43341</v>
      </c>
      <c r="AC52" s="195">
        <f>ROUND((B52/(CE76+CF76)*AC76),0)</f>
        <v>19209</v>
      </c>
      <c r="AD52" s="195">
        <f>ROUND((B52/(CE76+CF76)*AD76),0)</f>
        <v>0</v>
      </c>
      <c r="AE52" s="195">
        <f>ROUND((B52/(CE76+CF76)*AE76),0)</f>
        <v>92681</v>
      </c>
      <c r="AF52" s="195">
        <f>ROUND((B52/(CE76+CF76)*AF76),0)</f>
        <v>0</v>
      </c>
      <c r="AG52" s="195">
        <f>ROUND((B52/(CE76+CF76)*AG76),0)</f>
        <v>227570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1054081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6390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120186</v>
      </c>
      <c r="AZ52" s="195">
        <f>ROUND((B52/(CE76+CF76)*AZ76),0)</f>
        <v>0</v>
      </c>
      <c r="BA52" s="195">
        <f>ROUND((B52/(CE76+CF76)*BA76),0)</f>
        <v>34836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81134</v>
      </c>
      <c r="BE52" s="195">
        <f>ROUND((B52/(CE76+CF76)*BE76),0)</f>
        <v>593052</v>
      </c>
      <c r="BF52" s="195">
        <f>ROUND((B52/(CE76+CF76)*BF76),0)</f>
        <v>50779</v>
      </c>
      <c r="BG52" s="195">
        <f>ROUND((B52/(CE76+CF76)*BG76),0)</f>
        <v>0</v>
      </c>
      <c r="BH52" s="195">
        <f>ROUND((B52/(CE76+CF76)*BH76),0)</f>
        <v>77624</v>
      </c>
      <c r="BI52" s="195">
        <f>ROUND((B52/(CE76+CF76)*BI76),0)</f>
        <v>0</v>
      </c>
      <c r="BJ52" s="195">
        <f>ROUND((B52/(CE76+CF76)*BJ76),0)</f>
        <v>73292</v>
      </c>
      <c r="BK52" s="195">
        <f>ROUND((B52/(CE76+CF76)*BK76),0)</f>
        <v>65293</v>
      </c>
      <c r="BL52" s="195">
        <f>ROUND((B52/(CE76+CF76)*BL76),0)</f>
        <v>51520</v>
      </c>
      <c r="BM52" s="195">
        <f>ROUND((B52/(CE76+CF76)*BM76),0)</f>
        <v>0</v>
      </c>
      <c r="BN52" s="195">
        <f>ROUND((B52/(CE76+CF76)*BN76),0)</f>
        <v>112678</v>
      </c>
      <c r="BO52" s="195">
        <f>ROUND((B52/(CE76+CF76)*BO76),0)</f>
        <v>6660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50772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108521</v>
      </c>
      <c r="BW52" s="195">
        <f>ROUND((B52/(CE76+CF76)*BW76),0)</f>
        <v>24367</v>
      </c>
      <c r="BX52" s="195">
        <f>ROUND((B52/(CE76+CF76)*BX76),0)</f>
        <v>0</v>
      </c>
      <c r="BY52" s="195">
        <f>ROUND((B52/(CE76+CF76)*BY76),0)</f>
        <v>44643</v>
      </c>
      <c r="BZ52" s="195">
        <f>ROUND((B52/(CE76+CF76)*BZ76),0)</f>
        <v>0</v>
      </c>
      <c r="CA52" s="195">
        <f>ROUND((B52/(CE76+CF76)*CA76),0)</f>
        <v>24976</v>
      </c>
      <c r="CB52" s="195">
        <f>ROUND((B52/(CE76+CF76)*CB76),0)</f>
        <v>0</v>
      </c>
      <c r="CC52" s="195">
        <f>ROUND((B52/(CE76+CF76)*CC76),0)</f>
        <v>95149</v>
      </c>
      <c r="CD52" s="195"/>
      <c r="CE52" s="195">
        <f>SUM(C52:CD52)</f>
        <v>4428169</v>
      </c>
    </row>
    <row r="53" spans="1:84" ht="12.6" customHeight="1" x14ac:dyDescent="0.25">
      <c r="A53" s="175" t="s">
        <v>206</v>
      </c>
      <c r="B53" s="195">
        <f>B51+B52</f>
        <v>4975427.87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1155</v>
      </c>
      <c r="D59" s="184"/>
      <c r="E59" s="184">
        <f>2724+651</f>
        <v>3375</v>
      </c>
      <c r="F59" s="184"/>
      <c r="G59" s="184"/>
      <c r="H59" s="184"/>
      <c r="I59" s="184"/>
      <c r="J59" s="184">
        <v>648</v>
      </c>
      <c r="K59" s="184"/>
      <c r="L59" s="184"/>
      <c r="M59" s="184"/>
      <c r="N59" s="184"/>
      <c r="O59" s="184">
        <v>951</v>
      </c>
      <c r="P59" s="185">
        <v>117668</v>
      </c>
      <c r="Q59" s="185">
        <v>129253</v>
      </c>
      <c r="R59" s="185">
        <v>117668</v>
      </c>
      <c r="S59" s="251"/>
      <c r="T59" s="251"/>
      <c r="U59" s="224">
        <v>238993</v>
      </c>
      <c r="V59" s="185"/>
      <c r="W59" s="185">
        <v>1983</v>
      </c>
      <c r="X59" s="185">
        <v>28963</v>
      </c>
      <c r="Y59" s="185">
        <v>42814</v>
      </c>
      <c r="Z59" s="185"/>
      <c r="AA59" s="185">
        <v>1325</v>
      </c>
      <c r="AB59" s="251"/>
      <c r="AC59" s="185">
        <v>6616</v>
      </c>
      <c r="AD59" s="185"/>
      <c r="AE59" s="185">
        <v>22468</v>
      </c>
      <c r="AF59" s="185"/>
      <c r="AG59" s="185">
        <v>20224</v>
      </c>
      <c r="AH59" s="185"/>
      <c r="AI59" s="185"/>
      <c r="AJ59" s="185"/>
      <c r="AK59" s="185"/>
      <c r="AL59" s="185"/>
      <c r="AM59" s="185"/>
      <c r="AN59" s="185"/>
      <c r="AO59" s="185"/>
      <c r="AP59" s="185">
        <v>86676</v>
      </c>
      <c r="AQ59" s="185"/>
      <c r="AR59" s="185"/>
      <c r="AS59" s="185"/>
      <c r="AT59" s="185"/>
      <c r="AU59" s="185"/>
      <c r="AV59" s="251"/>
      <c r="AW59" s="251"/>
      <c r="AX59" s="251"/>
      <c r="AY59" s="185">
        <v>27338.623616236167</v>
      </c>
      <c r="AZ59" s="185"/>
      <c r="BA59" s="251"/>
      <c r="BB59" s="251"/>
      <c r="BC59" s="251"/>
      <c r="BD59" s="251"/>
      <c r="BE59" s="185">
        <v>185453.38000000003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18.733985576923079</v>
      </c>
      <c r="D60" s="187"/>
      <c r="E60" s="187">
        <v>48.555714423076928</v>
      </c>
      <c r="F60" s="223"/>
      <c r="G60" s="187"/>
      <c r="H60" s="187"/>
      <c r="I60" s="187"/>
      <c r="J60" s="223">
        <v>0</v>
      </c>
      <c r="K60" s="187"/>
      <c r="L60" s="187"/>
      <c r="M60" s="187"/>
      <c r="N60" s="187"/>
      <c r="O60" s="187">
        <v>0</v>
      </c>
      <c r="P60" s="221">
        <v>15.200120192307692</v>
      </c>
      <c r="Q60" s="221">
        <v>13.279192307692309</v>
      </c>
      <c r="R60" s="221">
        <v>5.2713990384615386</v>
      </c>
      <c r="S60" s="221"/>
      <c r="T60" s="221"/>
      <c r="U60" s="221">
        <v>26.405326923076924</v>
      </c>
      <c r="V60" s="221"/>
      <c r="W60" s="221">
        <v>2.0900240384615385</v>
      </c>
      <c r="X60" s="221">
        <v>4.9355769230769226</v>
      </c>
      <c r="Y60" s="221">
        <v>20.439134615384617</v>
      </c>
      <c r="Z60" s="221"/>
      <c r="AA60" s="221">
        <v>0.78521634615384617</v>
      </c>
      <c r="AB60" s="221">
        <v>13.050346153846155</v>
      </c>
      <c r="AC60" s="221">
        <v>9.0180096153846154</v>
      </c>
      <c r="AD60" s="221"/>
      <c r="AE60" s="221">
        <v>20.240841346153843</v>
      </c>
      <c r="AF60" s="221"/>
      <c r="AG60" s="221">
        <v>32.527299519230773</v>
      </c>
      <c r="AH60" s="221"/>
      <c r="AI60" s="221"/>
      <c r="AJ60" s="221"/>
      <c r="AK60" s="221"/>
      <c r="AL60" s="221"/>
      <c r="AM60" s="221"/>
      <c r="AN60" s="221"/>
      <c r="AO60" s="221"/>
      <c r="AP60" s="221">
        <v>148.58125336538461</v>
      </c>
      <c r="AQ60" s="221"/>
      <c r="AR60" s="221"/>
      <c r="AS60" s="221"/>
      <c r="AT60" s="221"/>
      <c r="AU60" s="221"/>
      <c r="AV60" s="221">
        <v>3.0870192307692306</v>
      </c>
      <c r="AW60" s="221"/>
      <c r="AX60" s="221"/>
      <c r="AY60" s="221">
        <v>16.937600961538461</v>
      </c>
      <c r="AZ60" s="221"/>
      <c r="BA60" s="221">
        <v>1.5497596153846154</v>
      </c>
      <c r="BB60" s="221"/>
      <c r="BC60" s="221"/>
      <c r="BD60" s="221">
        <v>6.029908653846153</v>
      </c>
      <c r="BE60" s="221">
        <v>12.115567307692308</v>
      </c>
      <c r="BF60" s="221">
        <v>27.580778846153844</v>
      </c>
      <c r="BG60" s="221"/>
      <c r="BH60" s="221">
        <v>5.7786778846153846</v>
      </c>
      <c r="BI60" s="221"/>
      <c r="BJ60" s="221">
        <v>7.0172499999999998</v>
      </c>
      <c r="BK60" s="221">
        <v>21.329288461538461</v>
      </c>
      <c r="BL60" s="221">
        <v>24.482288461538463</v>
      </c>
      <c r="BM60" s="221"/>
      <c r="BN60" s="221">
        <v>12.231028846153846</v>
      </c>
      <c r="BO60" s="221">
        <v>1.672123076923077</v>
      </c>
      <c r="BP60" s="221"/>
      <c r="BQ60" s="221"/>
      <c r="BR60" s="221">
        <v>5.6193317307692308</v>
      </c>
      <c r="BS60" s="221"/>
      <c r="BT60" s="221"/>
      <c r="BU60" s="221"/>
      <c r="BV60" s="221">
        <v>20.330269230769229</v>
      </c>
      <c r="BW60" s="221">
        <v>1.9985384615384616</v>
      </c>
      <c r="BX60" s="221"/>
      <c r="BY60" s="221">
        <v>28.788384615384615</v>
      </c>
      <c r="BZ60" s="221"/>
      <c r="CA60" s="221">
        <v>2.1376009615384617</v>
      </c>
      <c r="CB60" s="221"/>
      <c r="CC60" s="221">
        <v>8.2372932692307685</v>
      </c>
      <c r="CD60" s="252" t="s">
        <v>221</v>
      </c>
      <c r="CE60" s="254">
        <f t="shared" ref="CE60:CE70" si="0">SUM(C60:CD60)</f>
        <v>586.03615000000013</v>
      </c>
    </row>
    <row r="61" spans="1:84" ht="12.6" customHeight="1" x14ac:dyDescent="0.25">
      <c r="A61" s="171" t="s">
        <v>235</v>
      </c>
      <c r="B61" s="175"/>
      <c r="C61" s="184">
        <v>1812848.22</v>
      </c>
      <c r="D61" s="184"/>
      <c r="E61" s="184">
        <v>4340984.41</v>
      </c>
      <c r="F61" s="185"/>
      <c r="G61" s="184"/>
      <c r="H61" s="184"/>
      <c r="I61" s="185"/>
      <c r="J61" s="185">
        <v>0</v>
      </c>
      <c r="K61" s="185"/>
      <c r="L61" s="185"/>
      <c r="M61" s="184"/>
      <c r="N61" s="184"/>
      <c r="O61" s="184">
        <v>0</v>
      </c>
      <c r="P61" s="185">
        <v>1251063.7499999998</v>
      </c>
      <c r="Q61" s="185">
        <v>1244986.8499999996</v>
      </c>
      <c r="R61" s="185">
        <v>996649.32</v>
      </c>
      <c r="S61" s="185"/>
      <c r="T61" s="185"/>
      <c r="U61" s="185">
        <v>1767848.3499999999</v>
      </c>
      <c r="V61" s="185"/>
      <c r="W61" s="185">
        <v>191838.12000000002</v>
      </c>
      <c r="X61" s="185">
        <v>495616.19000000006</v>
      </c>
      <c r="Y61" s="185">
        <v>1718740.9000000001</v>
      </c>
      <c r="Z61" s="185"/>
      <c r="AA61" s="185">
        <v>80372.899999999994</v>
      </c>
      <c r="AB61" s="185">
        <v>1413015.74</v>
      </c>
      <c r="AC61" s="185">
        <v>795593.58</v>
      </c>
      <c r="AD61" s="185"/>
      <c r="AE61" s="185">
        <v>1606708.6000000003</v>
      </c>
      <c r="AF61" s="185"/>
      <c r="AG61" s="185">
        <v>3625431.1500000004</v>
      </c>
      <c r="AH61" s="185"/>
      <c r="AI61" s="185"/>
      <c r="AJ61" s="185"/>
      <c r="AK61" s="185"/>
      <c r="AL61" s="185"/>
      <c r="AM61" s="185"/>
      <c r="AN61" s="185"/>
      <c r="AO61" s="185"/>
      <c r="AP61" s="185">
        <v>14906519.67</v>
      </c>
      <c r="AQ61" s="185"/>
      <c r="AR61" s="185"/>
      <c r="AS61" s="185"/>
      <c r="AT61" s="185"/>
      <c r="AU61" s="185"/>
      <c r="AV61" s="185">
        <v>262040.78000000003</v>
      </c>
      <c r="AW61" s="185"/>
      <c r="AX61" s="185"/>
      <c r="AY61" s="185">
        <v>742253.25999999978</v>
      </c>
      <c r="AZ61" s="185"/>
      <c r="BA61" s="185">
        <v>60116.79</v>
      </c>
      <c r="BB61" s="185"/>
      <c r="BC61" s="185"/>
      <c r="BD61" s="185">
        <v>324553.23</v>
      </c>
      <c r="BE61" s="185">
        <v>870221.74</v>
      </c>
      <c r="BF61" s="185">
        <v>1119571.6700000002</v>
      </c>
      <c r="BG61" s="185"/>
      <c r="BH61" s="185">
        <v>458634.8</v>
      </c>
      <c r="BI61" s="185"/>
      <c r="BJ61" s="185">
        <v>508931.9</v>
      </c>
      <c r="BK61" s="185">
        <v>1173770.4999999998</v>
      </c>
      <c r="BL61" s="185">
        <v>1118235.2600000002</v>
      </c>
      <c r="BM61" s="185"/>
      <c r="BN61" s="185">
        <v>2185350.9699999997</v>
      </c>
      <c r="BO61" s="185">
        <v>115274.15</v>
      </c>
      <c r="BP61" s="185"/>
      <c r="BQ61" s="185"/>
      <c r="BR61" s="185">
        <v>473704.88</v>
      </c>
      <c r="BS61" s="185"/>
      <c r="BT61" s="185"/>
      <c r="BU61" s="185"/>
      <c r="BV61" s="185">
        <v>1139337.3900000001</v>
      </c>
      <c r="BW61" s="185">
        <v>159295.58000000002</v>
      </c>
      <c r="BX61" s="185"/>
      <c r="BY61" s="185">
        <v>2921489.4699999997</v>
      </c>
      <c r="BZ61" s="185"/>
      <c r="CA61" s="185">
        <v>202889.47000000003</v>
      </c>
      <c r="CB61" s="185"/>
      <c r="CC61" s="185">
        <v>674981.14</v>
      </c>
      <c r="CD61" s="252" t="s">
        <v>221</v>
      </c>
      <c r="CE61" s="195">
        <f t="shared" si="0"/>
        <v>50758870.729999989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526806</v>
      </c>
      <c r="D62" s="195">
        <f t="shared" si="1"/>
        <v>0</v>
      </c>
      <c r="E62" s="195">
        <f t="shared" si="1"/>
        <v>1270525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381976</v>
      </c>
      <c r="Q62" s="195">
        <f t="shared" si="1"/>
        <v>369186</v>
      </c>
      <c r="R62" s="195">
        <f t="shared" si="1"/>
        <v>218065</v>
      </c>
      <c r="S62" s="195">
        <f t="shared" si="1"/>
        <v>0</v>
      </c>
      <c r="T62" s="195">
        <f t="shared" si="1"/>
        <v>0</v>
      </c>
      <c r="U62" s="195">
        <f t="shared" si="1"/>
        <v>545607</v>
      </c>
      <c r="V62" s="195">
        <f t="shared" si="1"/>
        <v>0</v>
      </c>
      <c r="W62" s="195">
        <f t="shared" si="1"/>
        <v>62872</v>
      </c>
      <c r="X62" s="195">
        <f t="shared" si="1"/>
        <v>142247</v>
      </c>
      <c r="Y62" s="195">
        <f t="shared" si="1"/>
        <v>514216</v>
      </c>
      <c r="Z62" s="195">
        <f t="shared" si="1"/>
        <v>0</v>
      </c>
      <c r="AA62" s="195">
        <f t="shared" si="1"/>
        <v>20887</v>
      </c>
      <c r="AB62" s="195">
        <f t="shared" si="1"/>
        <v>408260</v>
      </c>
      <c r="AC62" s="195">
        <f t="shared" si="1"/>
        <v>275149</v>
      </c>
      <c r="AD62" s="195">
        <f t="shared" si="1"/>
        <v>0</v>
      </c>
      <c r="AE62" s="195">
        <f t="shared" si="1"/>
        <v>456861</v>
      </c>
      <c r="AF62" s="195">
        <f t="shared" si="1"/>
        <v>0</v>
      </c>
      <c r="AG62" s="195">
        <f t="shared" si="1"/>
        <v>802720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3840980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84412</v>
      </c>
      <c r="AW62" s="195">
        <f t="shared" si="1"/>
        <v>0</v>
      </c>
      <c r="AX62" s="195">
        <f t="shared" si="1"/>
        <v>0</v>
      </c>
      <c r="AY62" s="195">
        <f>ROUND(AY47+AY48,0)</f>
        <v>321873</v>
      </c>
      <c r="AZ62" s="195">
        <f>ROUND(AZ47+AZ48,0)</f>
        <v>0</v>
      </c>
      <c r="BA62" s="195">
        <f>ROUND(BA47+BA48,0)</f>
        <v>39016</v>
      </c>
      <c r="BB62" s="195">
        <f t="shared" si="1"/>
        <v>0</v>
      </c>
      <c r="BC62" s="195">
        <f t="shared" si="1"/>
        <v>0</v>
      </c>
      <c r="BD62" s="195">
        <f t="shared" si="1"/>
        <v>109085</v>
      </c>
      <c r="BE62" s="195">
        <f t="shared" si="1"/>
        <v>294822</v>
      </c>
      <c r="BF62" s="195">
        <f t="shared" si="1"/>
        <v>457979</v>
      </c>
      <c r="BG62" s="195">
        <f t="shared" si="1"/>
        <v>0</v>
      </c>
      <c r="BH62" s="195">
        <f t="shared" si="1"/>
        <v>153114</v>
      </c>
      <c r="BI62" s="195">
        <f t="shared" si="1"/>
        <v>0</v>
      </c>
      <c r="BJ62" s="195">
        <f t="shared" si="1"/>
        <v>180275</v>
      </c>
      <c r="BK62" s="195">
        <f t="shared" si="1"/>
        <v>457508</v>
      </c>
      <c r="BL62" s="195">
        <f t="shared" si="1"/>
        <v>455776</v>
      </c>
      <c r="BM62" s="195">
        <f t="shared" si="1"/>
        <v>0</v>
      </c>
      <c r="BN62" s="195">
        <f t="shared" si="1"/>
        <v>481114</v>
      </c>
      <c r="BO62" s="195">
        <f t="shared" ref="BO62:CC62" si="2">ROUND(BO47+BO48,0)</f>
        <v>48254</v>
      </c>
      <c r="BP62" s="195">
        <f t="shared" si="2"/>
        <v>0</v>
      </c>
      <c r="BQ62" s="195">
        <f t="shared" si="2"/>
        <v>0</v>
      </c>
      <c r="BR62" s="195">
        <f t="shared" si="2"/>
        <v>120357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473070</v>
      </c>
      <c r="BW62" s="195">
        <f t="shared" si="2"/>
        <v>50522</v>
      </c>
      <c r="BX62" s="195">
        <f t="shared" si="2"/>
        <v>0</v>
      </c>
      <c r="BY62" s="195">
        <f t="shared" si="2"/>
        <v>789751</v>
      </c>
      <c r="BZ62" s="195">
        <f t="shared" si="2"/>
        <v>0</v>
      </c>
      <c r="CA62" s="195">
        <f t="shared" si="2"/>
        <v>60179</v>
      </c>
      <c r="CB62" s="195">
        <f t="shared" si="2"/>
        <v>0</v>
      </c>
      <c r="CC62" s="195">
        <f t="shared" si="2"/>
        <v>217182</v>
      </c>
      <c r="CD62" s="252" t="s">
        <v>221</v>
      </c>
      <c r="CE62" s="195">
        <f t="shared" si="0"/>
        <v>14630646</v>
      </c>
      <c r="CF62" s="255"/>
    </row>
    <row r="63" spans="1:84" ht="12.6" customHeight="1" x14ac:dyDescent="0.25">
      <c r="A63" s="171" t="s">
        <v>236</v>
      </c>
      <c r="B63" s="175"/>
      <c r="C63" s="184">
        <v>336706.38</v>
      </c>
      <c r="D63" s="184"/>
      <c r="E63" s="184">
        <v>201623.29000000004</v>
      </c>
      <c r="F63" s="185"/>
      <c r="G63" s="184"/>
      <c r="H63" s="184"/>
      <c r="I63" s="185"/>
      <c r="J63" s="185">
        <v>0</v>
      </c>
      <c r="K63" s="185"/>
      <c r="L63" s="185"/>
      <c r="M63" s="184"/>
      <c r="N63" s="184"/>
      <c r="O63" s="184">
        <v>0</v>
      </c>
      <c r="P63" s="185">
        <v>491152.38</v>
      </c>
      <c r="Q63" s="185">
        <v>0</v>
      </c>
      <c r="R63" s="185">
        <v>3824.88</v>
      </c>
      <c r="S63" s="185">
        <v>0</v>
      </c>
      <c r="T63" s="185"/>
      <c r="U63" s="185">
        <v>13410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34362</v>
      </c>
      <c r="AF63" s="185"/>
      <c r="AG63" s="185">
        <v>2788684.11</v>
      </c>
      <c r="AH63" s="185"/>
      <c r="AI63" s="185"/>
      <c r="AJ63" s="185"/>
      <c r="AK63" s="185"/>
      <c r="AL63" s="185"/>
      <c r="AM63" s="185"/>
      <c r="AN63" s="185"/>
      <c r="AO63" s="185"/>
      <c r="AP63" s="185">
        <v>1772394.35</v>
      </c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0</v>
      </c>
      <c r="BE63" s="185">
        <v>0</v>
      </c>
      <c r="BF63" s="185">
        <v>0</v>
      </c>
      <c r="BG63" s="185"/>
      <c r="BH63" s="185">
        <v>0</v>
      </c>
      <c r="BI63" s="185"/>
      <c r="BJ63" s="185">
        <v>0</v>
      </c>
      <c r="BK63" s="185">
        <v>0</v>
      </c>
      <c r="BL63" s="185">
        <v>0</v>
      </c>
      <c r="BM63" s="185"/>
      <c r="BN63" s="185">
        <v>211537.34000000003</v>
      </c>
      <c r="BO63" s="185">
        <v>0</v>
      </c>
      <c r="BP63" s="185"/>
      <c r="BQ63" s="185"/>
      <c r="BR63" s="185">
        <v>0</v>
      </c>
      <c r="BS63" s="185"/>
      <c r="BT63" s="185"/>
      <c r="BU63" s="185"/>
      <c r="BV63" s="185">
        <v>62762</v>
      </c>
      <c r="BW63" s="185">
        <v>22500</v>
      </c>
      <c r="BX63" s="185"/>
      <c r="BY63" s="185">
        <v>0</v>
      </c>
      <c r="BZ63" s="185"/>
      <c r="CA63" s="185">
        <v>0</v>
      </c>
      <c r="CB63" s="185"/>
      <c r="CC63" s="185">
        <v>0</v>
      </c>
      <c r="CD63" s="252" t="s">
        <v>221</v>
      </c>
      <c r="CE63" s="195">
        <f t="shared" si="0"/>
        <v>5938956.7300000004</v>
      </c>
      <c r="CF63" s="255"/>
    </row>
    <row r="64" spans="1:84" ht="12.6" customHeight="1" x14ac:dyDescent="0.25">
      <c r="A64" s="171" t="s">
        <v>237</v>
      </c>
      <c r="B64" s="175"/>
      <c r="C64" s="184">
        <v>180921.67</v>
      </c>
      <c r="D64" s="184"/>
      <c r="E64" s="184">
        <v>175019.90999999997</v>
      </c>
      <c r="F64" s="185"/>
      <c r="G64" s="184"/>
      <c r="H64" s="184"/>
      <c r="I64" s="185"/>
      <c r="J64" s="185">
        <v>20068.609999999997</v>
      </c>
      <c r="K64" s="185"/>
      <c r="L64" s="185"/>
      <c r="M64" s="184"/>
      <c r="N64" s="184"/>
      <c r="O64" s="184">
        <v>80784.03</v>
      </c>
      <c r="P64" s="185">
        <v>689290.40999999992</v>
      </c>
      <c r="Q64" s="185">
        <v>114276.54</v>
      </c>
      <c r="R64" s="185">
        <v>89148.08</v>
      </c>
      <c r="S64" s="185">
        <v>3992375.34</v>
      </c>
      <c r="T64" s="185"/>
      <c r="U64" s="185">
        <v>1694210.9699999997</v>
      </c>
      <c r="V64" s="185"/>
      <c r="W64" s="185">
        <v>20288.11</v>
      </c>
      <c r="X64" s="185">
        <v>97314.329999999987</v>
      </c>
      <c r="Y64" s="185">
        <v>118330.46</v>
      </c>
      <c r="Z64" s="185"/>
      <c r="AA64" s="185">
        <v>29390.799999999999</v>
      </c>
      <c r="AB64" s="185">
        <v>2634255.0699999998</v>
      </c>
      <c r="AC64" s="185">
        <v>82898.42</v>
      </c>
      <c r="AD64" s="185"/>
      <c r="AE64" s="185">
        <v>36376.85</v>
      </c>
      <c r="AF64" s="185"/>
      <c r="AG64" s="185">
        <v>318231.88</v>
      </c>
      <c r="AH64" s="185"/>
      <c r="AI64" s="185"/>
      <c r="AJ64" s="185"/>
      <c r="AK64" s="185"/>
      <c r="AL64" s="185"/>
      <c r="AM64" s="185"/>
      <c r="AN64" s="185"/>
      <c r="AO64" s="185"/>
      <c r="AP64" s="185">
        <v>917295.04</v>
      </c>
      <c r="AQ64" s="185"/>
      <c r="AR64" s="185"/>
      <c r="AS64" s="185"/>
      <c r="AT64" s="185"/>
      <c r="AU64" s="185"/>
      <c r="AV64" s="185">
        <v>5654.8600000000006</v>
      </c>
      <c r="AW64" s="185"/>
      <c r="AX64" s="185"/>
      <c r="AY64" s="185">
        <v>813046.41999999993</v>
      </c>
      <c r="AZ64" s="185"/>
      <c r="BA64" s="185">
        <v>62811.78</v>
      </c>
      <c r="BB64" s="185"/>
      <c r="BC64" s="185"/>
      <c r="BD64" s="185">
        <v>4000.9800000000005</v>
      </c>
      <c r="BE64" s="185">
        <v>80910.960000000006</v>
      </c>
      <c r="BF64" s="185">
        <v>173249.49</v>
      </c>
      <c r="BG64" s="185"/>
      <c r="BH64" s="185">
        <v>571930.61999999988</v>
      </c>
      <c r="BI64" s="185"/>
      <c r="BJ64" s="185">
        <v>3951.0400000000004</v>
      </c>
      <c r="BK64" s="185">
        <v>14872.7</v>
      </c>
      <c r="BL64" s="185">
        <v>17139.749999999996</v>
      </c>
      <c r="BM64" s="185"/>
      <c r="BN64" s="185">
        <v>101525.38</v>
      </c>
      <c r="BO64" s="185">
        <v>4905.91</v>
      </c>
      <c r="BP64" s="185">
        <v>3743.09</v>
      </c>
      <c r="BQ64" s="185"/>
      <c r="BR64" s="185">
        <v>38222.18</v>
      </c>
      <c r="BS64" s="185"/>
      <c r="BT64" s="185"/>
      <c r="BU64" s="185"/>
      <c r="BV64" s="185">
        <v>11004.66</v>
      </c>
      <c r="BW64" s="185">
        <v>4966.58</v>
      </c>
      <c r="BX64" s="185"/>
      <c r="BY64" s="185">
        <v>11094.73</v>
      </c>
      <c r="BZ64" s="185"/>
      <c r="CA64" s="185">
        <v>6356.22</v>
      </c>
      <c r="CB64" s="185"/>
      <c r="CC64" s="185">
        <f>34405.02+353.77</f>
        <v>34758.789999999994</v>
      </c>
      <c r="CD64" s="252" t="s">
        <v>221</v>
      </c>
      <c r="CE64" s="195">
        <f t="shared" si="0"/>
        <v>13254622.659999998</v>
      </c>
      <c r="CF64" s="255"/>
    </row>
    <row r="65" spans="1:84" ht="12.6" customHeight="1" x14ac:dyDescent="0.25">
      <c r="A65" s="171" t="s">
        <v>238</v>
      </c>
      <c r="B65" s="175"/>
      <c r="C65" s="184">
        <v>798.2399999999999</v>
      </c>
      <c r="D65" s="184"/>
      <c r="E65" s="184">
        <v>727.82</v>
      </c>
      <c r="F65" s="184"/>
      <c r="G65" s="184"/>
      <c r="H65" s="184"/>
      <c r="I65" s="185"/>
      <c r="J65" s="184">
        <v>0</v>
      </c>
      <c r="K65" s="185"/>
      <c r="L65" s="185"/>
      <c r="M65" s="184"/>
      <c r="N65" s="184"/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1793.59</v>
      </c>
      <c r="V65" s="185"/>
      <c r="W65" s="185">
        <v>0</v>
      </c>
      <c r="X65" s="185">
        <v>0</v>
      </c>
      <c r="Y65" s="185">
        <v>28.17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320.08</v>
      </c>
      <c r="AH65" s="185"/>
      <c r="AI65" s="185"/>
      <c r="AJ65" s="185"/>
      <c r="AK65" s="185"/>
      <c r="AL65" s="185"/>
      <c r="AM65" s="185"/>
      <c r="AN65" s="185"/>
      <c r="AO65" s="185"/>
      <c r="AP65" s="185">
        <v>68310.06</v>
      </c>
      <c r="AQ65" s="185"/>
      <c r="AR65" s="185"/>
      <c r="AS65" s="185"/>
      <c r="AT65" s="185"/>
      <c r="AU65" s="185"/>
      <c r="AV65" s="185">
        <v>0</v>
      </c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2226.88</v>
      </c>
      <c r="BE65" s="185">
        <v>653808.82000000007</v>
      </c>
      <c r="BF65" s="185">
        <v>137894.75999999998</v>
      </c>
      <c r="BG65" s="185"/>
      <c r="BH65" s="185">
        <v>189349.63999999996</v>
      </c>
      <c r="BI65" s="185"/>
      <c r="BJ65" s="185">
        <v>445.1</v>
      </c>
      <c r="BK65" s="185">
        <v>0</v>
      </c>
      <c r="BL65" s="185">
        <v>0</v>
      </c>
      <c r="BM65" s="185"/>
      <c r="BN65" s="185">
        <v>1824.61</v>
      </c>
      <c r="BO65" s="185">
        <v>1365.69</v>
      </c>
      <c r="BP65" s="185">
        <v>0</v>
      </c>
      <c r="BQ65" s="185"/>
      <c r="BR65" s="185">
        <v>709.57999999999993</v>
      </c>
      <c r="BS65" s="185"/>
      <c r="BT65" s="185"/>
      <c r="BU65" s="185"/>
      <c r="BV65" s="185">
        <v>4350</v>
      </c>
      <c r="BW65" s="185">
        <v>0</v>
      </c>
      <c r="BX65" s="185"/>
      <c r="BY65" s="185">
        <v>9639.94</v>
      </c>
      <c r="BZ65" s="185"/>
      <c r="CA65" s="185">
        <v>699.64999999999986</v>
      </c>
      <c r="CB65" s="185"/>
      <c r="CC65" s="185">
        <v>4631.25</v>
      </c>
      <c r="CD65" s="252" t="s">
        <v>221</v>
      </c>
      <c r="CE65" s="195">
        <f t="shared" si="0"/>
        <v>1078923.8800000001</v>
      </c>
      <c r="CF65" s="255"/>
    </row>
    <row r="66" spans="1:84" ht="12.6" customHeight="1" x14ac:dyDescent="0.25">
      <c r="A66" s="171" t="s">
        <v>239</v>
      </c>
      <c r="B66" s="175"/>
      <c r="C66" s="184">
        <v>13402.19</v>
      </c>
      <c r="D66" s="184"/>
      <c r="E66" s="184">
        <v>14323.76</v>
      </c>
      <c r="F66" s="184"/>
      <c r="G66" s="184"/>
      <c r="H66" s="184"/>
      <c r="I66" s="184"/>
      <c r="J66" s="184">
        <v>1929.97</v>
      </c>
      <c r="K66" s="185"/>
      <c r="L66" s="185"/>
      <c r="M66" s="184"/>
      <c r="N66" s="184"/>
      <c r="O66" s="185">
        <v>11928.55</v>
      </c>
      <c r="P66" s="185">
        <v>243005.27000000002</v>
      </c>
      <c r="Q66" s="185">
        <v>2548.63</v>
      </c>
      <c r="R66" s="185">
        <v>44882.400000000001</v>
      </c>
      <c r="S66" s="184">
        <v>353.13</v>
      </c>
      <c r="T66" s="184"/>
      <c r="U66" s="185">
        <v>1000520.6499999999</v>
      </c>
      <c r="V66" s="185"/>
      <c r="W66" s="185">
        <v>13626.700000000003</v>
      </c>
      <c r="X66" s="185">
        <v>127798.82999999997</v>
      </c>
      <c r="Y66" s="185">
        <v>578378.19000000006</v>
      </c>
      <c r="Z66" s="185"/>
      <c r="AA66" s="185">
        <v>44445.4</v>
      </c>
      <c r="AB66" s="185">
        <v>257262.52999999997</v>
      </c>
      <c r="AC66" s="185">
        <v>28174.980000000003</v>
      </c>
      <c r="AD66" s="185"/>
      <c r="AE66" s="185">
        <v>27010.019999999997</v>
      </c>
      <c r="AF66" s="185"/>
      <c r="AG66" s="185">
        <v>398584.35000000003</v>
      </c>
      <c r="AH66" s="185"/>
      <c r="AI66" s="185"/>
      <c r="AJ66" s="185"/>
      <c r="AK66" s="185"/>
      <c r="AL66" s="185"/>
      <c r="AM66" s="185"/>
      <c r="AN66" s="185"/>
      <c r="AO66" s="185"/>
      <c r="AP66" s="185">
        <v>278156.51</v>
      </c>
      <c r="AQ66" s="185"/>
      <c r="AR66" s="185"/>
      <c r="AS66" s="185"/>
      <c r="AT66" s="185"/>
      <c r="AU66" s="185"/>
      <c r="AV66" s="185">
        <v>2769</v>
      </c>
      <c r="AW66" s="185"/>
      <c r="AX66" s="185"/>
      <c r="AY66" s="185">
        <v>28792.74</v>
      </c>
      <c r="AZ66" s="185"/>
      <c r="BA66" s="185">
        <v>161125.53999999998</v>
      </c>
      <c r="BB66" s="185"/>
      <c r="BC66" s="185"/>
      <c r="BD66" s="185">
        <v>7805.7</v>
      </c>
      <c r="BE66" s="185">
        <v>444008.69000000006</v>
      </c>
      <c r="BF66" s="185">
        <v>68368.860000000015</v>
      </c>
      <c r="BG66" s="185"/>
      <c r="BH66" s="185">
        <v>4153575.3999999994</v>
      </c>
      <c r="BI66" s="185"/>
      <c r="BJ66" s="185">
        <v>7613.39</v>
      </c>
      <c r="BK66" s="185">
        <v>317329.08</v>
      </c>
      <c r="BL66" s="185">
        <v>23249.999999999996</v>
      </c>
      <c r="BM66" s="185"/>
      <c r="BN66" s="185">
        <v>981969.25999999978</v>
      </c>
      <c r="BO66" s="185">
        <v>65364.28</v>
      </c>
      <c r="BP66" s="185">
        <v>169974.20999999996</v>
      </c>
      <c r="BQ66" s="185"/>
      <c r="BR66" s="185">
        <v>66154.509999999995</v>
      </c>
      <c r="BS66" s="185"/>
      <c r="BT66" s="185"/>
      <c r="BU66" s="185"/>
      <c r="BV66" s="185">
        <v>288666.76</v>
      </c>
      <c r="BW66" s="185">
        <v>21419.88</v>
      </c>
      <c r="BX66" s="185"/>
      <c r="BY66" s="185">
        <v>70101.14</v>
      </c>
      <c r="BZ66" s="185"/>
      <c r="CA66" s="185">
        <v>20515.93</v>
      </c>
      <c r="CB66" s="185"/>
      <c r="CC66" s="185">
        <v>384860.95000000007</v>
      </c>
      <c r="CD66" s="252" t="s">
        <v>221</v>
      </c>
      <c r="CE66" s="195">
        <f t="shared" si="0"/>
        <v>10369997.379999997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155436</v>
      </c>
      <c r="D67" s="195">
        <f>ROUND(D51+D52,0)</f>
        <v>0</v>
      </c>
      <c r="E67" s="195">
        <f t="shared" ref="E67:BP67" si="3">ROUND(E51+E52,0)</f>
        <v>459140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11495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23248</v>
      </c>
      <c r="P67" s="195">
        <f t="shared" si="3"/>
        <v>156566</v>
      </c>
      <c r="Q67" s="195">
        <f t="shared" si="3"/>
        <v>172823</v>
      </c>
      <c r="R67" s="195">
        <f t="shared" si="3"/>
        <v>7431</v>
      </c>
      <c r="S67" s="195">
        <f t="shared" si="3"/>
        <v>70834</v>
      </c>
      <c r="T67" s="195">
        <f t="shared" si="3"/>
        <v>0</v>
      </c>
      <c r="U67" s="195">
        <f t="shared" si="3"/>
        <v>99040</v>
      </c>
      <c r="V67" s="195">
        <f t="shared" si="3"/>
        <v>0</v>
      </c>
      <c r="W67" s="195">
        <f t="shared" si="3"/>
        <v>50972</v>
      </c>
      <c r="X67" s="195">
        <f t="shared" si="3"/>
        <v>18879</v>
      </c>
      <c r="Y67" s="195">
        <f t="shared" si="3"/>
        <v>127093</v>
      </c>
      <c r="Z67" s="195">
        <f t="shared" si="3"/>
        <v>0</v>
      </c>
      <c r="AA67" s="195">
        <f t="shared" si="3"/>
        <v>16458</v>
      </c>
      <c r="AB67" s="195">
        <f t="shared" si="3"/>
        <v>43341</v>
      </c>
      <c r="AC67" s="195">
        <f t="shared" si="3"/>
        <v>19209</v>
      </c>
      <c r="AD67" s="195">
        <f t="shared" si="3"/>
        <v>0</v>
      </c>
      <c r="AE67" s="195">
        <f t="shared" si="3"/>
        <v>92681</v>
      </c>
      <c r="AF67" s="195">
        <f t="shared" si="3"/>
        <v>0</v>
      </c>
      <c r="AG67" s="195">
        <f t="shared" si="3"/>
        <v>227570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1601341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6390</v>
      </c>
      <c r="AW67" s="195">
        <f t="shared" si="3"/>
        <v>0</v>
      </c>
      <c r="AX67" s="195">
        <f t="shared" si="3"/>
        <v>0</v>
      </c>
      <c r="AY67" s="195">
        <f t="shared" si="3"/>
        <v>120186</v>
      </c>
      <c r="AZ67" s="195">
        <f>ROUND(AZ51+AZ52,0)</f>
        <v>0</v>
      </c>
      <c r="BA67" s="195">
        <f>ROUND(BA51+BA52,0)</f>
        <v>34836</v>
      </c>
      <c r="BB67" s="195">
        <f t="shared" si="3"/>
        <v>0</v>
      </c>
      <c r="BC67" s="195">
        <f t="shared" si="3"/>
        <v>0</v>
      </c>
      <c r="BD67" s="195">
        <f t="shared" si="3"/>
        <v>81134</v>
      </c>
      <c r="BE67" s="195">
        <f t="shared" si="3"/>
        <v>593052</v>
      </c>
      <c r="BF67" s="195">
        <f t="shared" si="3"/>
        <v>50779</v>
      </c>
      <c r="BG67" s="195">
        <f t="shared" si="3"/>
        <v>0</v>
      </c>
      <c r="BH67" s="195">
        <f t="shared" si="3"/>
        <v>77624</v>
      </c>
      <c r="BI67" s="195">
        <f t="shared" si="3"/>
        <v>0</v>
      </c>
      <c r="BJ67" s="195">
        <f t="shared" si="3"/>
        <v>73292</v>
      </c>
      <c r="BK67" s="195">
        <f t="shared" si="3"/>
        <v>65293</v>
      </c>
      <c r="BL67" s="195">
        <f t="shared" si="3"/>
        <v>51520</v>
      </c>
      <c r="BM67" s="195">
        <f t="shared" si="3"/>
        <v>0</v>
      </c>
      <c r="BN67" s="195">
        <f t="shared" si="3"/>
        <v>112678</v>
      </c>
      <c r="BO67" s="195">
        <f t="shared" si="3"/>
        <v>6660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50772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108521</v>
      </c>
      <c r="BW67" s="195">
        <f t="shared" si="4"/>
        <v>24367</v>
      </c>
      <c r="BX67" s="195">
        <f t="shared" si="4"/>
        <v>0</v>
      </c>
      <c r="BY67" s="195">
        <f t="shared" si="4"/>
        <v>44643</v>
      </c>
      <c r="BZ67" s="195">
        <f t="shared" si="4"/>
        <v>0</v>
      </c>
      <c r="CA67" s="195">
        <f t="shared" si="4"/>
        <v>24976</v>
      </c>
      <c r="CB67" s="195">
        <f t="shared" si="4"/>
        <v>0</v>
      </c>
      <c r="CC67" s="195">
        <f t="shared" si="4"/>
        <v>95149</v>
      </c>
      <c r="CD67" s="252" t="s">
        <v>221</v>
      </c>
      <c r="CE67" s="195">
        <f t="shared" si="0"/>
        <v>4975429</v>
      </c>
      <c r="CF67" s="255"/>
    </row>
    <row r="68" spans="1:84" ht="12.6" customHeight="1" x14ac:dyDescent="0.25">
      <c r="A68" s="171" t="s">
        <v>240</v>
      </c>
      <c r="B68" s="175"/>
      <c r="C68" s="184">
        <v>2625.63</v>
      </c>
      <c r="D68" s="184"/>
      <c r="E68" s="184">
        <v>6550.4400000000014</v>
      </c>
      <c r="F68" s="184"/>
      <c r="G68" s="184"/>
      <c r="H68" s="184"/>
      <c r="I68" s="184"/>
      <c r="J68" s="184">
        <v>0</v>
      </c>
      <c r="K68" s="185"/>
      <c r="L68" s="185"/>
      <c r="M68" s="184"/>
      <c r="N68" s="184"/>
      <c r="O68" s="184">
        <v>4539.4699999999993</v>
      </c>
      <c r="P68" s="185">
        <v>182057.05</v>
      </c>
      <c r="Q68" s="185">
        <v>4248.75</v>
      </c>
      <c r="R68" s="185">
        <v>1371.3300000000002</v>
      </c>
      <c r="S68" s="185">
        <v>7230.5800000000008</v>
      </c>
      <c r="T68" s="185"/>
      <c r="U68" s="185">
        <v>12041.68</v>
      </c>
      <c r="V68" s="185"/>
      <c r="W68" s="185">
        <v>0</v>
      </c>
      <c r="X68" s="185"/>
      <c r="Y68" s="185">
        <v>6818.71</v>
      </c>
      <c r="Z68" s="185"/>
      <c r="AA68" s="185">
        <v>0</v>
      </c>
      <c r="AB68" s="185">
        <v>0</v>
      </c>
      <c r="AC68" s="185">
        <v>19118.21</v>
      </c>
      <c r="AD68" s="185"/>
      <c r="AE68" s="185">
        <v>7072.55</v>
      </c>
      <c r="AF68" s="185"/>
      <c r="AG68" s="185">
        <v>11613.02</v>
      </c>
      <c r="AH68" s="185"/>
      <c r="AI68" s="185"/>
      <c r="AJ68" s="185"/>
      <c r="AK68" s="185"/>
      <c r="AL68" s="185"/>
      <c r="AM68" s="185"/>
      <c r="AN68" s="185"/>
      <c r="AO68" s="185"/>
      <c r="AP68" s="185">
        <v>73285.56</v>
      </c>
      <c r="AQ68" s="185"/>
      <c r="AR68" s="185"/>
      <c r="AS68" s="185"/>
      <c r="AT68" s="185"/>
      <c r="AU68" s="185"/>
      <c r="AV68" s="185">
        <v>360</v>
      </c>
      <c r="AW68" s="185"/>
      <c r="AX68" s="185"/>
      <c r="AY68" s="185">
        <v>4509.24</v>
      </c>
      <c r="AZ68" s="185"/>
      <c r="BA68" s="185"/>
      <c r="BB68" s="185"/>
      <c r="BC68" s="185"/>
      <c r="BD68" s="185">
        <v>13365.28</v>
      </c>
      <c r="BE68" s="185">
        <v>35089.129999999997</v>
      </c>
      <c r="BF68" s="185">
        <v>3780.01</v>
      </c>
      <c r="BG68" s="185"/>
      <c r="BH68" s="185">
        <v>5146.0499999999993</v>
      </c>
      <c r="BI68" s="185"/>
      <c r="BJ68" s="185">
        <v>29589.29</v>
      </c>
      <c r="BK68" s="185">
        <v>49725.73000000001</v>
      </c>
      <c r="BL68" s="185">
        <v>7360.4000000000015</v>
      </c>
      <c r="BM68" s="185"/>
      <c r="BN68" s="185">
        <v>35144.28</v>
      </c>
      <c r="BO68" s="185">
        <v>4437.42</v>
      </c>
      <c r="BP68" s="185">
        <v>242.82</v>
      </c>
      <c r="BQ68" s="185"/>
      <c r="BR68" s="185">
        <v>26074.46</v>
      </c>
      <c r="BS68" s="185"/>
      <c r="BT68" s="185"/>
      <c r="BU68" s="185"/>
      <c r="BV68" s="185">
        <v>49085.24</v>
      </c>
      <c r="BW68" s="185">
        <v>182.45</v>
      </c>
      <c r="BX68" s="185"/>
      <c r="BY68" s="185">
        <v>6810.85</v>
      </c>
      <c r="BZ68" s="185"/>
      <c r="CA68" s="185">
        <v>17596.22</v>
      </c>
      <c r="CB68" s="185"/>
      <c r="CC68" s="185">
        <v>38823.35</v>
      </c>
      <c r="CD68" s="252" t="s">
        <v>221</v>
      </c>
      <c r="CE68" s="195">
        <f t="shared" si="0"/>
        <v>665895.19999999984</v>
      </c>
      <c r="CF68" s="255"/>
    </row>
    <row r="69" spans="1:84" ht="12.6" customHeight="1" x14ac:dyDescent="0.25">
      <c r="A69" s="171" t="s">
        <v>241</v>
      </c>
      <c r="B69" s="175"/>
      <c r="C69" s="184">
        <v>2223.6799999999998</v>
      </c>
      <c r="D69" s="184"/>
      <c r="E69" s="184">
        <v>2271.8100000000004</v>
      </c>
      <c r="F69" s="185"/>
      <c r="G69" s="184"/>
      <c r="H69" s="184"/>
      <c r="I69" s="185"/>
      <c r="J69" s="185">
        <v>2848.22</v>
      </c>
      <c r="K69" s="185"/>
      <c r="L69" s="185"/>
      <c r="M69" s="184"/>
      <c r="N69" s="184"/>
      <c r="O69" s="184">
        <v>1680.54</v>
      </c>
      <c r="P69" s="185">
        <v>8440.75</v>
      </c>
      <c r="Q69" s="185">
        <v>423</v>
      </c>
      <c r="R69" s="224">
        <v>16466.57</v>
      </c>
      <c r="S69" s="185">
        <v>0</v>
      </c>
      <c r="T69" s="184"/>
      <c r="U69" s="185">
        <v>5923.35</v>
      </c>
      <c r="V69" s="185"/>
      <c r="W69" s="184">
        <v>2564.89</v>
      </c>
      <c r="X69" s="185"/>
      <c r="Y69" s="185">
        <v>6194.02</v>
      </c>
      <c r="Z69" s="185"/>
      <c r="AA69" s="185">
        <v>6694.42</v>
      </c>
      <c r="AB69" s="185">
        <v>24220.080000000002</v>
      </c>
      <c r="AC69" s="185">
        <v>169</v>
      </c>
      <c r="AD69" s="185"/>
      <c r="AE69" s="185">
        <v>5238.619999999999</v>
      </c>
      <c r="AF69" s="185"/>
      <c r="AG69" s="185">
        <v>57860.810000000005</v>
      </c>
      <c r="AH69" s="185"/>
      <c r="AI69" s="185"/>
      <c r="AJ69" s="185"/>
      <c r="AK69" s="185"/>
      <c r="AL69" s="185"/>
      <c r="AM69" s="185"/>
      <c r="AN69" s="185"/>
      <c r="AO69" s="184"/>
      <c r="AP69" s="185">
        <v>413166.62</v>
      </c>
      <c r="AQ69" s="184"/>
      <c r="AR69" s="184"/>
      <c r="AS69" s="184"/>
      <c r="AT69" s="184"/>
      <c r="AU69" s="185"/>
      <c r="AV69" s="185">
        <v>4784.1099999999997</v>
      </c>
      <c r="AW69" s="185"/>
      <c r="AX69" s="185"/>
      <c r="AY69" s="185">
        <v>393.63000000000045</v>
      </c>
      <c r="AZ69" s="185"/>
      <c r="BA69" s="185"/>
      <c r="BB69" s="185"/>
      <c r="BC69" s="185"/>
      <c r="BD69" s="185">
        <v>34891.1</v>
      </c>
      <c r="BE69" s="185">
        <v>18183.82</v>
      </c>
      <c r="BF69" s="185">
        <v>8845.1</v>
      </c>
      <c r="BG69" s="185"/>
      <c r="BH69" s="224">
        <v>55348.7</v>
      </c>
      <c r="BI69" s="185"/>
      <c r="BJ69" s="185">
        <v>144950.81</v>
      </c>
      <c r="BK69" s="185">
        <v>8177.55</v>
      </c>
      <c r="BL69" s="185">
        <v>2928.3199999999997</v>
      </c>
      <c r="BM69" s="185"/>
      <c r="BN69" s="185">
        <v>357326.66000000003</v>
      </c>
      <c r="BO69" s="185">
        <v>2855</v>
      </c>
      <c r="BP69" s="185">
        <v>62431.61</v>
      </c>
      <c r="BQ69" s="185"/>
      <c r="BR69" s="185">
        <v>475392.02000000008</v>
      </c>
      <c r="BS69" s="185"/>
      <c r="BT69" s="185"/>
      <c r="BU69" s="185"/>
      <c r="BV69" s="185">
        <v>13310.13</v>
      </c>
      <c r="BW69" s="185">
        <v>35706.99</v>
      </c>
      <c r="BX69" s="185"/>
      <c r="BY69" s="185">
        <v>14683.4</v>
      </c>
      <c r="BZ69" s="185"/>
      <c r="CA69" s="185">
        <v>12242.67</v>
      </c>
      <c r="CB69" s="185"/>
      <c r="CC69" s="185">
        <v>46552.44</v>
      </c>
      <c r="CD69" s="185">
        <f>1104147.65+1010201.67</f>
        <v>2114349.3199999998</v>
      </c>
      <c r="CE69" s="195">
        <f t="shared" si="0"/>
        <v>3969739.76</v>
      </c>
      <c r="CF69" s="255"/>
    </row>
    <row r="70" spans="1:84" ht="12.6" customHeight="1" x14ac:dyDescent="0.25">
      <c r="A70" s="171" t="s">
        <v>242</v>
      </c>
      <c r="B70" s="175"/>
      <c r="C70" s="184">
        <v>0</v>
      </c>
      <c r="D70" s="184"/>
      <c r="E70" s="184">
        <v>0</v>
      </c>
      <c r="F70" s="185"/>
      <c r="G70" s="184"/>
      <c r="H70" s="184"/>
      <c r="I70" s="184"/>
      <c r="J70" s="185">
        <v>0</v>
      </c>
      <c r="K70" s="185"/>
      <c r="L70" s="185"/>
      <c r="M70" s="184"/>
      <c r="N70" s="184"/>
      <c r="O70" s="184">
        <v>0</v>
      </c>
      <c r="P70" s="184">
        <v>0</v>
      </c>
      <c r="Q70" s="184">
        <v>0</v>
      </c>
      <c r="R70" s="184">
        <v>1637271.18</v>
      </c>
      <c r="S70" s="184">
        <v>0</v>
      </c>
      <c r="T70" s="184"/>
      <c r="U70" s="185">
        <v>0</v>
      </c>
      <c r="V70" s="184"/>
      <c r="W70" s="184">
        <v>0</v>
      </c>
      <c r="X70" s="185"/>
      <c r="Y70" s="185">
        <v>0</v>
      </c>
      <c r="Z70" s="185"/>
      <c r="AA70" s="185">
        <v>0</v>
      </c>
      <c r="AB70" s="185">
        <v>3748553.4999999991</v>
      </c>
      <c r="AC70" s="185">
        <v>0</v>
      </c>
      <c r="AD70" s="185"/>
      <c r="AE70" s="185">
        <v>0</v>
      </c>
      <c r="AF70" s="185"/>
      <c r="AG70" s="185">
        <v>0</v>
      </c>
      <c r="AH70" s="185"/>
      <c r="AI70" s="185"/>
      <c r="AJ70" s="185"/>
      <c r="AK70" s="185"/>
      <c r="AL70" s="185"/>
      <c r="AM70" s="185"/>
      <c r="AN70" s="185"/>
      <c r="AO70" s="185"/>
      <c r="AP70" s="185">
        <v>33033.07</v>
      </c>
      <c r="AQ70" s="185"/>
      <c r="AR70" s="185"/>
      <c r="AS70" s="185"/>
      <c r="AT70" s="185"/>
      <c r="AU70" s="185"/>
      <c r="AV70" s="185">
        <v>1005</v>
      </c>
      <c r="AW70" s="185"/>
      <c r="AX70" s="185"/>
      <c r="AY70" s="185">
        <v>533507.71</v>
      </c>
      <c r="AZ70" s="185"/>
      <c r="BA70" s="185"/>
      <c r="BB70" s="185"/>
      <c r="BC70" s="185"/>
      <c r="BD70" s="185">
        <v>291.52</v>
      </c>
      <c r="BE70" s="185">
        <v>3710.79</v>
      </c>
      <c r="BF70" s="185">
        <v>0</v>
      </c>
      <c r="BG70" s="185"/>
      <c r="BH70" s="185">
        <v>0</v>
      </c>
      <c r="BI70" s="185"/>
      <c r="BJ70" s="185"/>
      <c r="BK70" s="185"/>
      <c r="BL70" s="185"/>
      <c r="BM70" s="185"/>
      <c r="BN70" s="185"/>
      <c r="BO70" s="185"/>
      <c r="BP70" s="185"/>
      <c r="BQ70" s="185"/>
      <c r="BR70" s="185">
        <v>0.66</v>
      </c>
      <c r="BS70" s="185"/>
      <c r="BT70" s="185"/>
      <c r="BU70" s="185"/>
      <c r="BV70" s="185">
        <v>34207.83</v>
      </c>
      <c r="BW70" s="185">
        <v>2950</v>
      </c>
      <c r="BX70" s="185"/>
      <c r="BY70" s="185">
        <v>0</v>
      </c>
      <c r="BZ70" s="185"/>
      <c r="CA70" s="185">
        <v>0</v>
      </c>
      <c r="CB70" s="185"/>
      <c r="CC70" s="185">
        <v>0</v>
      </c>
      <c r="CD70" s="185">
        <v>1800769.42</v>
      </c>
      <c r="CE70" s="195">
        <f t="shared" si="0"/>
        <v>7795300.6799999988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3031768.01</v>
      </c>
      <c r="D71" s="195">
        <f t="shared" ref="D71:AI71" si="5">SUM(D61:D69)-D70</f>
        <v>0</v>
      </c>
      <c r="E71" s="195">
        <f t="shared" si="5"/>
        <v>6471166.4400000004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36341.800000000003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122180.59</v>
      </c>
      <c r="P71" s="195">
        <f t="shared" si="5"/>
        <v>3403551.61</v>
      </c>
      <c r="Q71" s="195">
        <f t="shared" si="5"/>
        <v>1908492.7699999996</v>
      </c>
      <c r="R71" s="195">
        <f t="shared" si="5"/>
        <v>-259432.60000000009</v>
      </c>
      <c r="S71" s="195">
        <f t="shared" si="5"/>
        <v>4070793.05</v>
      </c>
      <c r="T71" s="195">
        <f t="shared" si="5"/>
        <v>0</v>
      </c>
      <c r="U71" s="195">
        <f t="shared" si="5"/>
        <v>5140395.589999998</v>
      </c>
      <c r="V71" s="195">
        <f t="shared" si="5"/>
        <v>0</v>
      </c>
      <c r="W71" s="195">
        <f t="shared" si="5"/>
        <v>342161.82000000007</v>
      </c>
      <c r="X71" s="195">
        <f t="shared" si="5"/>
        <v>881855.35</v>
      </c>
      <c r="Y71" s="195">
        <f t="shared" si="5"/>
        <v>3069799.45</v>
      </c>
      <c r="Z71" s="195">
        <f t="shared" si="5"/>
        <v>0</v>
      </c>
      <c r="AA71" s="195">
        <f t="shared" si="5"/>
        <v>198248.52000000002</v>
      </c>
      <c r="AB71" s="195">
        <f t="shared" si="5"/>
        <v>1031800.9200000009</v>
      </c>
      <c r="AC71" s="195">
        <f t="shared" si="5"/>
        <v>1220312.19</v>
      </c>
      <c r="AD71" s="195">
        <f t="shared" si="5"/>
        <v>0</v>
      </c>
      <c r="AE71" s="195">
        <f t="shared" si="5"/>
        <v>2266310.6400000006</v>
      </c>
      <c r="AF71" s="195">
        <f t="shared" si="5"/>
        <v>0</v>
      </c>
      <c r="AG71" s="195">
        <f t="shared" si="5"/>
        <v>8231015.3999999985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23838415.740000002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365405.75</v>
      </c>
      <c r="AW71" s="195">
        <f t="shared" si="6"/>
        <v>0</v>
      </c>
      <c r="AX71" s="195">
        <f t="shared" si="6"/>
        <v>0</v>
      </c>
      <c r="AY71" s="195">
        <f t="shared" si="6"/>
        <v>1497546.5799999996</v>
      </c>
      <c r="AZ71" s="195">
        <f t="shared" si="6"/>
        <v>0</v>
      </c>
      <c r="BA71" s="195">
        <f t="shared" si="6"/>
        <v>357906.11</v>
      </c>
      <c r="BB71" s="195">
        <f t="shared" si="6"/>
        <v>0</v>
      </c>
      <c r="BC71" s="195">
        <f t="shared" si="6"/>
        <v>0</v>
      </c>
      <c r="BD71" s="195">
        <f t="shared" si="6"/>
        <v>576770.65</v>
      </c>
      <c r="BE71" s="195">
        <f t="shared" si="6"/>
        <v>2986386.3699999996</v>
      </c>
      <c r="BF71" s="195">
        <f t="shared" si="6"/>
        <v>2020467.8900000004</v>
      </c>
      <c r="BG71" s="195">
        <f t="shared" si="6"/>
        <v>0</v>
      </c>
      <c r="BH71" s="195">
        <f t="shared" si="6"/>
        <v>5664723.209999999</v>
      </c>
      <c r="BI71" s="195">
        <f t="shared" si="6"/>
        <v>0</v>
      </c>
      <c r="BJ71" s="195">
        <f t="shared" si="6"/>
        <v>949048.53</v>
      </c>
      <c r="BK71" s="195">
        <f t="shared" si="6"/>
        <v>2086676.5599999998</v>
      </c>
      <c r="BL71" s="195">
        <f t="shared" si="6"/>
        <v>1676209.7300000002</v>
      </c>
      <c r="BM71" s="195">
        <f t="shared" si="6"/>
        <v>0</v>
      </c>
      <c r="BN71" s="195">
        <f t="shared" si="6"/>
        <v>4468470.4999999991</v>
      </c>
      <c r="BO71" s="195">
        <f t="shared" si="6"/>
        <v>249116.45</v>
      </c>
      <c r="BP71" s="195">
        <f t="shared" ref="BP71:CC71" si="7">SUM(BP61:BP69)-BP70</f>
        <v>236391.72999999998</v>
      </c>
      <c r="BQ71" s="195">
        <f t="shared" si="7"/>
        <v>0</v>
      </c>
      <c r="BR71" s="195">
        <f t="shared" si="7"/>
        <v>1251385.9700000002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2115899.35</v>
      </c>
      <c r="BW71" s="195">
        <f t="shared" si="7"/>
        <v>316010.48000000004</v>
      </c>
      <c r="BX71" s="195">
        <f t="shared" si="7"/>
        <v>0</v>
      </c>
      <c r="BY71" s="195">
        <f t="shared" si="7"/>
        <v>3868213.53</v>
      </c>
      <c r="BZ71" s="195">
        <f t="shared" si="7"/>
        <v>0</v>
      </c>
      <c r="CA71" s="195">
        <f t="shared" si="7"/>
        <v>345455.16</v>
      </c>
      <c r="CB71" s="195">
        <f t="shared" si="7"/>
        <v>0</v>
      </c>
      <c r="CC71" s="195">
        <f t="shared" si="7"/>
        <v>1496938.9200000002</v>
      </c>
      <c r="CD71" s="248">
        <f>CD69-CD70</f>
        <v>313579.89999999991</v>
      </c>
      <c r="CE71" s="195">
        <f>SUM(CE61:CE69)-CE70</f>
        <v>97847780.659999996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2266077.42</v>
      </c>
      <c r="CF72" s="255"/>
    </row>
    <row r="73" spans="1:84" ht="12.6" customHeight="1" x14ac:dyDescent="0.25">
      <c r="A73" s="171" t="s">
        <v>245</v>
      </c>
      <c r="B73" s="175"/>
      <c r="C73" s="184">
        <v>8590446.2100000009</v>
      </c>
      <c r="D73" s="184"/>
      <c r="E73" s="184">
        <v>16077234.869999999</v>
      </c>
      <c r="F73" s="185"/>
      <c r="G73" s="184"/>
      <c r="H73" s="184"/>
      <c r="I73" s="185"/>
      <c r="J73" s="185">
        <v>1248565.77</v>
      </c>
      <c r="K73" s="185"/>
      <c r="L73" s="185"/>
      <c r="M73" s="184"/>
      <c r="N73" s="184"/>
      <c r="O73" s="184">
        <v>2314884.86</v>
      </c>
      <c r="P73" s="185">
        <v>4232911.34</v>
      </c>
      <c r="Q73" s="185">
        <v>1081716.4000000001</v>
      </c>
      <c r="R73" s="185">
        <v>629097.52</v>
      </c>
      <c r="S73" s="185">
        <v>3399485.39</v>
      </c>
      <c r="T73" s="185"/>
      <c r="U73" s="185">
        <v>3985571.2500000009</v>
      </c>
      <c r="V73" s="185"/>
      <c r="W73" s="185">
        <v>385643.12</v>
      </c>
      <c r="X73" s="185">
        <v>1362044.11</v>
      </c>
      <c r="Y73" s="185">
        <v>1635745.8599999999</v>
      </c>
      <c r="Z73" s="185"/>
      <c r="AA73" s="185">
        <v>36684.089999999997</v>
      </c>
      <c r="AB73" s="185">
        <v>3376610.08</v>
      </c>
      <c r="AC73" s="185">
        <v>4451168.9400000004</v>
      </c>
      <c r="AD73" s="185"/>
      <c r="AE73" s="185">
        <v>512496.19</v>
      </c>
      <c r="AF73" s="185"/>
      <c r="AG73" s="185">
        <v>2812601.24</v>
      </c>
      <c r="AH73" s="185"/>
      <c r="AI73" s="185"/>
      <c r="AJ73" s="185"/>
      <c r="AK73" s="185"/>
      <c r="AL73" s="185"/>
      <c r="AM73" s="185"/>
      <c r="AN73" s="185"/>
      <c r="AO73" s="185"/>
      <c r="AP73" s="185">
        <v>0</v>
      </c>
      <c r="AQ73" s="185"/>
      <c r="AR73" s="185"/>
      <c r="AS73" s="185"/>
      <c r="AT73" s="185"/>
      <c r="AU73" s="185"/>
      <c r="AV73" s="185">
        <v>0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56132907.239999995</v>
      </c>
      <c r="CF73" s="255"/>
    </row>
    <row r="74" spans="1:84" ht="12.6" customHeight="1" x14ac:dyDescent="0.25">
      <c r="A74" s="171" t="s">
        <v>246</v>
      </c>
      <c r="B74" s="175"/>
      <c r="C74" s="184">
        <v>2463698.7000000002</v>
      </c>
      <c r="D74" s="184"/>
      <c r="E74" s="184">
        <v>5618392.8500000006</v>
      </c>
      <c r="F74" s="185"/>
      <c r="G74" s="184"/>
      <c r="H74" s="184"/>
      <c r="I74" s="184"/>
      <c r="J74" s="185">
        <v>80670.350000000006</v>
      </c>
      <c r="K74" s="185"/>
      <c r="L74" s="185"/>
      <c r="M74" s="184"/>
      <c r="N74" s="184"/>
      <c r="O74" s="184">
        <v>904748.80999999994</v>
      </c>
      <c r="P74" s="185">
        <v>10978180.359999998</v>
      </c>
      <c r="Q74" s="185">
        <v>4766639.6499999994</v>
      </c>
      <c r="R74" s="185">
        <v>1439975.3299999998</v>
      </c>
      <c r="S74" s="185">
        <v>3697662.1199999996</v>
      </c>
      <c r="T74" s="185"/>
      <c r="U74" s="185">
        <v>27007629.199999999</v>
      </c>
      <c r="V74" s="185"/>
      <c r="W74" s="185">
        <v>7360116.1899999995</v>
      </c>
      <c r="X74" s="185">
        <v>21539118.829999998</v>
      </c>
      <c r="Y74" s="185">
        <v>18970296.140000001</v>
      </c>
      <c r="Z74" s="185"/>
      <c r="AA74" s="185">
        <v>531083.28999999992</v>
      </c>
      <c r="AB74" s="185">
        <v>6702525.3399999999</v>
      </c>
      <c r="AC74" s="185">
        <v>2971435.61</v>
      </c>
      <c r="AD74" s="185"/>
      <c r="AE74" s="185">
        <v>7479447.6099999994</v>
      </c>
      <c r="AF74" s="185"/>
      <c r="AG74" s="185">
        <v>54481231.600000009</v>
      </c>
      <c r="AH74" s="185"/>
      <c r="AI74" s="185"/>
      <c r="AJ74" s="185"/>
      <c r="AK74" s="185"/>
      <c r="AL74" s="185"/>
      <c r="AM74" s="185"/>
      <c r="AN74" s="185"/>
      <c r="AO74" s="185"/>
      <c r="AP74" s="185">
        <v>30139355.539999999</v>
      </c>
      <c r="AQ74" s="185"/>
      <c r="AR74" s="185"/>
      <c r="AS74" s="185"/>
      <c r="AT74" s="185"/>
      <c r="AU74" s="185"/>
      <c r="AV74" s="185">
        <v>263457.43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207395664.95000002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11054144.91</v>
      </c>
      <c r="D75" s="195">
        <f t="shared" si="9"/>
        <v>0</v>
      </c>
      <c r="E75" s="195">
        <f t="shared" si="9"/>
        <v>21695627.719999999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1329236.1200000001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3219633.67</v>
      </c>
      <c r="P75" s="195">
        <f t="shared" si="9"/>
        <v>15211091.699999997</v>
      </c>
      <c r="Q75" s="195">
        <f t="shared" si="9"/>
        <v>5848356.0499999998</v>
      </c>
      <c r="R75" s="195">
        <f t="shared" si="9"/>
        <v>2069072.8499999999</v>
      </c>
      <c r="S75" s="195">
        <f t="shared" si="9"/>
        <v>7097147.5099999998</v>
      </c>
      <c r="T75" s="195">
        <f t="shared" si="9"/>
        <v>0</v>
      </c>
      <c r="U75" s="195">
        <f t="shared" si="9"/>
        <v>30993200.449999999</v>
      </c>
      <c r="V75" s="195">
        <f t="shared" si="9"/>
        <v>0</v>
      </c>
      <c r="W75" s="195">
        <f t="shared" si="9"/>
        <v>7745759.3099999996</v>
      </c>
      <c r="X75" s="195">
        <f t="shared" si="9"/>
        <v>22901162.939999998</v>
      </c>
      <c r="Y75" s="195">
        <f t="shared" si="9"/>
        <v>20606042</v>
      </c>
      <c r="Z75" s="195">
        <f t="shared" si="9"/>
        <v>0</v>
      </c>
      <c r="AA75" s="195">
        <f t="shared" si="9"/>
        <v>567767.37999999989</v>
      </c>
      <c r="AB75" s="195">
        <f t="shared" si="9"/>
        <v>10079135.42</v>
      </c>
      <c r="AC75" s="195">
        <f t="shared" si="9"/>
        <v>7422604.5500000007</v>
      </c>
      <c r="AD75" s="195">
        <f t="shared" si="9"/>
        <v>0</v>
      </c>
      <c r="AE75" s="195">
        <f t="shared" si="9"/>
        <v>7991943.7999999998</v>
      </c>
      <c r="AF75" s="195">
        <f t="shared" si="9"/>
        <v>0</v>
      </c>
      <c r="AG75" s="195">
        <f t="shared" si="9"/>
        <v>57293832.840000011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30139355.539999999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263457.43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263528572.19000003</v>
      </c>
      <c r="CF75" s="255"/>
    </row>
    <row r="76" spans="1:84" ht="12.6" customHeight="1" x14ac:dyDescent="0.25">
      <c r="A76" s="171" t="s">
        <v>248</v>
      </c>
      <c r="B76" s="175"/>
      <c r="C76" s="184">
        <v>6509.73</v>
      </c>
      <c r="D76" s="184"/>
      <c r="E76" s="184">
        <v>19228.939999999999</v>
      </c>
      <c r="F76" s="185"/>
      <c r="G76" s="184"/>
      <c r="H76" s="184"/>
      <c r="I76" s="185"/>
      <c r="J76" s="185">
        <v>481.41</v>
      </c>
      <c r="K76" s="185"/>
      <c r="L76" s="185"/>
      <c r="M76" s="185"/>
      <c r="N76" s="185"/>
      <c r="O76" s="185">
        <v>973.64</v>
      </c>
      <c r="P76" s="185">
        <v>6557.0400000000009</v>
      </c>
      <c r="Q76" s="185">
        <v>7237.91</v>
      </c>
      <c r="R76" s="185">
        <v>311.2</v>
      </c>
      <c r="S76" s="185">
        <v>2966.57</v>
      </c>
      <c r="T76" s="185"/>
      <c r="U76" s="185">
        <v>4147.83</v>
      </c>
      <c r="V76" s="185"/>
      <c r="W76" s="185">
        <v>2134.71</v>
      </c>
      <c r="X76" s="185">
        <v>790.65</v>
      </c>
      <c r="Y76" s="185">
        <v>5322.7199999999993</v>
      </c>
      <c r="Z76" s="185"/>
      <c r="AA76" s="185">
        <v>689.27</v>
      </c>
      <c r="AB76" s="185">
        <v>1815.12</v>
      </c>
      <c r="AC76" s="185">
        <v>804.46</v>
      </c>
      <c r="AD76" s="185"/>
      <c r="AE76" s="185">
        <v>3881.51</v>
      </c>
      <c r="AF76" s="185"/>
      <c r="AG76" s="185">
        <v>9530.74</v>
      </c>
      <c r="AH76" s="185"/>
      <c r="AI76" s="185"/>
      <c r="AJ76" s="185"/>
      <c r="AK76" s="185"/>
      <c r="AL76" s="185"/>
      <c r="AM76" s="185"/>
      <c r="AN76" s="185"/>
      <c r="AO76" s="185"/>
      <c r="AP76" s="185">
        <v>44145.299999999996</v>
      </c>
      <c r="AQ76" s="185"/>
      <c r="AR76" s="185"/>
      <c r="AS76" s="185"/>
      <c r="AT76" s="185"/>
      <c r="AU76" s="185"/>
      <c r="AV76" s="185">
        <v>267.60000000000002</v>
      </c>
      <c r="AW76" s="185"/>
      <c r="AX76" s="185"/>
      <c r="AY76" s="185">
        <v>5033.42</v>
      </c>
      <c r="AZ76" s="185"/>
      <c r="BA76" s="185">
        <v>1458.93</v>
      </c>
      <c r="BB76" s="185"/>
      <c r="BC76" s="185"/>
      <c r="BD76" s="185">
        <v>3397.94</v>
      </c>
      <c r="BE76" s="185">
        <v>24837.25</v>
      </c>
      <c r="BF76" s="185">
        <v>2126.66</v>
      </c>
      <c r="BG76" s="185"/>
      <c r="BH76" s="185">
        <v>3250.91</v>
      </c>
      <c r="BI76" s="185"/>
      <c r="BJ76" s="185">
        <v>3069.5</v>
      </c>
      <c r="BK76" s="185">
        <v>2734.5</v>
      </c>
      <c r="BL76" s="185">
        <v>2157.69</v>
      </c>
      <c r="BM76" s="185"/>
      <c r="BN76" s="185">
        <v>4719.0099999999993</v>
      </c>
      <c r="BO76" s="185">
        <v>278.91000000000003</v>
      </c>
      <c r="BP76" s="185"/>
      <c r="BQ76" s="185"/>
      <c r="BR76" s="185">
        <v>2126.35</v>
      </c>
      <c r="BS76" s="185"/>
      <c r="BT76" s="185"/>
      <c r="BU76" s="185"/>
      <c r="BV76" s="185">
        <v>4544.8999999999996</v>
      </c>
      <c r="BW76" s="185">
        <v>1020.52</v>
      </c>
      <c r="BX76" s="185"/>
      <c r="BY76" s="185">
        <v>1869.67</v>
      </c>
      <c r="BZ76" s="185"/>
      <c r="CA76" s="185">
        <v>1046</v>
      </c>
      <c r="CB76" s="185"/>
      <c r="CC76" s="185">
        <v>3984.87</v>
      </c>
      <c r="CD76" s="252" t="s">
        <v>221</v>
      </c>
      <c r="CE76" s="195">
        <f t="shared" si="8"/>
        <v>185453.38000000003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5140.2402179832534</v>
      </c>
      <c r="D77" s="184"/>
      <c r="E77" s="184">
        <v>20895.682603832662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313.01005199264438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989.69074242760985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27338.623616236171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6509.73</v>
      </c>
      <c r="D78" s="184"/>
      <c r="E78" s="184">
        <v>19228.939999999999</v>
      </c>
      <c r="F78" s="184"/>
      <c r="G78" s="184"/>
      <c r="H78" s="184"/>
      <c r="I78" s="184"/>
      <c r="J78" s="184">
        <v>481.41</v>
      </c>
      <c r="K78" s="184"/>
      <c r="L78" s="184"/>
      <c r="M78" s="184"/>
      <c r="N78" s="184"/>
      <c r="O78" s="184">
        <v>973.64</v>
      </c>
      <c r="P78" s="184">
        <v>6557.0400000000009</v>
      </c>
      <c r="Q78" s="184">
        <v>7237.91</v>
      </c>
      <c r="R78" s="184">
        <v>311.2</v>
      </c>
      <c r="S78" s="184">
        <v>2966.57</v>
      </c>
      <c r="T78" s="184"/>
      <c r="U78" s="184">
        <v>4147.83</v>
      </c>
      <c r="V78" s="184"/>
      <c r="W78" s="184">
        <v>2134.71</v>
      </c>
      <c r="X78" s="184">
        <v>790.65</v>
      </c>
      <c r="Y78" s="184">
        <v>5322.7199999999993</v>
      </c>
      <c r="Z78" s="184"/>
      <c r="AA78" s="184">
        <v>689.27</v>
      </c>
      <c r="AB78" s="184">
        <v>1815.12</v>
      </c>
      <c r="AC78" s="184">
        <v>804.46</v>
      </c>
      <c r="AD78" s="184"/>
      <c r="AE78" s="184">
        <v>3881.51</v>
      </c>
      <c r="AF78" s="184"/>
      <c r="AG78" s="184">
        <v>9530.74</v>
      </c>
      <c r="AH78" s="184"/>
      <c r="AI78" s="184"/>
      <c r="AJ78" s="184"/>
      <c r="AK78" s="184"/>
      <c r="AL78" s="184"/>
      <c r="AM78" s="184"/>
      <c r="AN78" s="184"/>
      <c r="AO78" s="184"/>
      <c r="AP78" s="184">
        <v>44145.299999999996</v>
      </c>
      <c r="AQ78" s="184"/>
      <c r="AR78" s="184"/>
      <c r="AS78" s="184"/>
      <c r="AT78" s="184"/>
      <c r="AU78" s="184"/>
      <c r="AV78" s="184">
        <v>267.60000000000002</v>
      </c>
      <c r="AW78" s="184"/>
      <c r="AX78" s="252" t="s">
        <v>221</v>
      </c>
      <c r="AY78" s="252" t="s">
        <v>221</v>
      </c>
      <c r="AZ78" s="252" t="s">
        <v>221</v>
      </c>
      <c r="BA78" s="184">
        <v>1458.93</v>
      </c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3250.91</v>
      </c>
      <c r="BI78" s="184"/>
      <c r="BJ78" s="252" t="s">
        <v>221</v>
      </c>
      <c r="BK78" s="184">
        <v>2734.5</v>
      </c>
      <c r="BL78" s="184">
        <v>2157.69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4544.8999999999996</v>
      </c>
      <c r="BW78" s="184">
        <v>1020.52</v>
      </c>
      <c r="BX78" s="184"/>
      <c r="BY78" s="184">
        <v>1869.67</v>
      </c>
      <c r="BZ78" s="184"/>
      <c r="CA78" s="184">
        <v>1046</v>
      </c>
      <c r="CB78" s="184"/>
      <c r="CC78" s="252" t="s">
        <v>221</v>
      </c>
      <c r="CD78" s="252" t="s">
        <v>221</v>
      </c>
      <c r="CE78" s="195">
        <f t="shared" si="8"/>
        <v>135879.47</v>
      </c>
      <c r="CF78" s="195"/>
    </row>
    <row r="79" spans="1:84" ht="12.6" customHeight="1" x14ac:dyDescent="0.25">
      <c r="A79" s="171" t="s">
        <v>251</v>
      </c>
      <c r="B79" s="175"/>
      <c r="C79" s="225">
        <v>35797</v>
      </c>
      <c r="D79" s="225"/>
      <c r="E79" s="225">
        <v>65137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33609</v>
      </c>
      <c r="P79" s="184">
        <v>31846</v>
      </c>
      <c r="Q79" s="184">
        <v>27700</v>
      </c>
      <c r="R79" s="184"/>
      <c r="S79" s="184"/>
      <c r="T79" s="184"/>
      <c r="U79" s="184">
        <v>709</v>
      </c>
      <c r="V79" s="184"/>
      <c r="W79" s="184"/>
      <c r="X79" s="184"/>
      <c r="Y79" s="184">
        <v>30961</v>
      </c>
      <c r="Z79" s="184"/>
      <c r="AA79" s="184"/>
      <c r="AB79" s="184"/>
      <c r="AC79" s="184"/>
      <c r="AD79" s="184"/>
      <c r="AE79" s="184">
        <v>9661</v>
      </c>
      <c r="AF79" s="184"/>
      <c r="AG79" s="184">
        <v>72843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308263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18.733985576923079</v>
      </c>
      <c r="D80" s="187"/>
      <c r="E80" s="187">
        <v>48.555714423076928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15.200120192307692</v>
      </c>
      <c r="Q80" s="187">
        <v>13.279192307692309</v>
      </c>
      <c r="R80" s="187">
        <v>5.2713990384615386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32.527299519230773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133.56771105769232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1270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1281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1448</v>
      </c>
      <c r="D111" s="174">
        <v>4530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300</v>
      </c>
      <c r="D114" s="174">
        <v>648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797</v>
      </c>
      <c r="C138" s="189">
        <v>403</v>
      </c>
      <c r="D138" s="174">
        <v>248</v>
      </c>
      <c r="E138" s="175">
        <f>SUM(B138:D138)</f>
        <v>1448</v>
      </c>
    </row>
    <row r="139" spans="1:6" ht="12.6" customHeight="1" x14ac:dyDescent="0.25">
      <c r="A139" s="173" t="s">
        <v>215</v>
      </c>
      <c r="B139" s="174">
        <v>2767</v>
      </c>
      <c r="C139" s="189">
        <v>1070</v>
      </c>
      <c r="D139" s="174">
        <v>693</v>
      </c>
      <c r="E139" s="175">
        <f>SUM(B139:D139)</f>
        <v>4530</v>
      </c>
    </row>
    <row r="140" spans="1:6" ht="12.6" customHeight="1" x14ac:dyDescent="0.25">
      <c r="A140" s="173" t="s">
        <v>298</v>
      </c>
      <c r="B140" s="174">
        <f>47026+30906</f>
        <v>77932</v>
      </c>
      <c r="C140" s="174">
        <f>28921+29294</f>
        <v>58215</v>
      </c>
      <c r="D140" s="174">
        <f>31217+26476</f>
        <v>57693</v>
      </c>
      <c r="E140" s="175">
        <f>SUM(B140:D140)</f>
        <v>193840</v>
      </c>
    </row>
    <row r="141" spans="1:6" ht="12.6" customHeight="1" x14ac:dyDescent="0.25">
      <c r="A141" s="173" t="s">
        <v>245</v>
      </c>
      <c r="B141" s="174">
        <v>30618993.34</v>
      </c>
      <c r="C141" s="189">
        <v>14884352.93</v>
      </c>
      <c r="D141" s="174">
        <v>10629560.970000001</v>
      </c>
      <c r="E141" s="175">
        <f>SUM(B141:D141)</f>
        <v>56132907.239999995</v>
      </c>
      <c r="F141" s="199"/>
    </row>
    <row r="142" spans="1:6" ht="12.6" customHeight="1" x14ac:dyDescent="0.25">
      <c r="A142" s="173" t="s">
        <v>246</v>
      </c>
      <c r="B142" s="174">
        <v>89527160.109999999</v>
      </c>
      <c r="C142" s="189">
        <v>60247304.5</v>
      </c>
      <c r="D142" s="174">
        <v>57621200.340000004</v>
      </c>
      <c r="E142" s="175">
        <f>SUM(B142:D142)</f>
        <v>207395664.95000002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7371625</v>
      </c>
      <c r="C157" s="174">
        <v>2760910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3456606.6100000003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99527.96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468034.28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8161904.6599999992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94099.46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2236000.9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114471.22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14630645.090000002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176343.91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489551.29000000004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665895.20000000007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341782.96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267528.57999999996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609311.54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679783.76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679783.76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1010201.6700000002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1010201.6700000002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2015497.22</v>
      </c>
      <c r="C195" s="189">
        <v>0</v>
      </c>
      <c r="D195" s="174">
        <v>0</v>
      </c>
      <c r="E195" s="175">
        <f t="shared" ref="E195:E203" si="10">SUM(B195:C195)-D195</f>
        <v>2015497.22</v>
      </c>
    </row>
    <row r="196" spans="1:8" ht="12.6" customHeight="1" x14ac:dyDescent="0.25">
      <c r="A196" s="173" t="s">
        <v>333</v>
      </c>
      <c r="B196" s="174">
        <v>2729455.78</v>
      </c>
      <c r="C196" s="189">
        <v>2036527.01</v>
      </c>
      <c r="D196" s="174">
        <v>28033.42</v>
      </c>
      <c r="E196" s="175">
        <f t="shared" si="10"/>
        <v>4737949.37</v>
      </c>
    </row>
    <row r="197" spans="1:8" ht="12.6" customHeight="1" x14ac:dyDescent="0.25">
      <c r="A197" s="173" t="s">
        <v>334</v>
      </c>
      <c r="B197" s="174">
        <v>36033915.340000004</v>
      </c>
      <c r="C197" s="189">
        <v>329243.24</v>
      </c>
      <c r="D197" s="174">
        <v>301080.43</v>
      </c>
      <c r="E197" s="175">
        <f t="shared" si="10"/>
        <v>36062078.150000006</v>
      </c>
    </row>
    <row r="198" spans="1:8" ht="12.6" customHeight="1" x14ac:dyDescent="0.25">
      <c r="A198" s="173" t="s">
        <v>335</v>
      </c>
      <c r="B198" s="174">
        <v>21304668.879999999</v>
      </c>
      <c r="C198" s="189">
        <v>0</v>
      </c>
      <c r="D198" s="174">
        <v>236204.89</v>
      </c>
      <c r="E198" s="175">
        <f t="shared" si="10"/>
        <v>21068463.989999998</v>
      </c>
    </row>
    <row r="199" spans="1:8" ht="12.6" customHeight="1" x14ac:dyDescent="0.25">
      <c r="A199" s="173" t="s">
        <v>336</v>
      </c>
      <c r="B199" s="174">
        <v>1750936</v>
      </c>
      <c r="C199" s="189">
        <v>-1750936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f>35598811.76-1750936</f>
        <v>33847875.759999998</v>
      </c>
      <c r="C200" s="189">
        <f>1853594.4+1750936</f>
        <v>3604530.4</v>
      </c>
      <c r="D200" s="174">
        <v>2015322.4200000002</v>
      </c>
      <c r="E200" s="175">
        <f t="shared" si="10"/>
        <v>35437083.739999995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1150714.8500000001</v>
      </c>
      <c r="C202" s="189">
        <v>12478.190000000002</v>
      </c>
      <c r="D202" s="174">
        <v>0</v>
      </c>
      <c r="E202" s="175">
        <f t="shared" si="10"/>
        <v>1163193.04</v>
      </c>
    </row>
    <row r="203" spans="1:8" ht="12.6" customHeight="1" x14ac:dyDescent="0.25">
      <c r="A203" s="173" t="s">
        <v>340</v>
      </c>
      <c r="B203" s="174">
        <v>6155455.5499999998</v>
      </c>
      <c r="C203" s="189">
        <v>33141579.18</v>
      </c>
      <c r="D203" s="174">
        <v>2615165.7599999998</v>
      </c>
      <c r="E203" s="175">
        <f t="shared" si="10"/>
        <v>36681868.969999999</v>
      </c>
    </row>
    <row r="204" spans="1:8" ht="12.6" customHeight="1" x14ac:dyDescent="0.25">
      <c r="A204" s="173" t="s">
        <v>203</v>
      </c>
      <c r="B204" s="175">
        <f>SUM(B195:B203)</f>
        <v>104988519.37999998</v>
      </c>
      <c r="C204" s="191">
        <f>SUM(C195:C203)</f>
        <v>37373422.020000003</v>
      </c>
      <c r="D204" s="175">
        <f>SUM(D195:D203)</f>
        <v>5195806.92</v>
      </c>
      <c r="E204" s="175">
        <f>SUM(E195:E203)</f>
        <v>137166134.48000002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1729922.91</v>
      </c>
      <c r="C209" s="189">
        <v>254128.39</v>
      </c>
      <c r="D209" s="174">
        <v>16883.72</v>
      </c>
      <c r="E209" s="175">
        <f t="shared" ref="E209:E216" si="11">SUM(B209:C209)-D209</f>
        <v>1967167.5799999998</v>
      </c>
      <c r="H209" s="262"/>
    </row>
    <row r="210" spans="1:8" ht="12.6" customHeight="1" x14ac:dyDescent="0.25">
      <c r="A210" s="173" t="s">
        <v>334</v>
      </c>
      <c r="B210" s="174">
        <v>17673482.559999999</v>
      </c>
      <c r="C210" s="189">
        <v>1484224.97</v>
      </c>
      <c r="D210" s="174">
        <v>301080.43</v>
      </c>
      <c r="E210" s="175">
        <f t="shared" si="11"/>
        <v>18856627.099999998</v>
      </c>
      <c r="H210" s="262"/>
    </row>
    <row r="211" spans="1:8" ht="12.6" customHeight="1" x14ac:dyDescent="0.25">
      <c r="A211" s="173" t="s">
        <v>335</v>
      </c>
      <c r="B211" s="174">
        <v>9745231.9399999995</v>
      </c>
      <c r="C211" s="189">
        <v>1206307.69</v>
      </c>
      <c r="D211" s="174">
        <v>227907.52</v>
      </c>
      <c r="E211" s="175">
        <f t="shared" si="11"/>
        <v>10723632.109999999</v>
      </c>
      <c r="H211" s="262"/>
    </row>
    <row r="212" spans="1:8" ht="12.6" customHeight="1" x14ac:dyDescent="0.25">
      <c r="A212" s="173" t="s">
        <v>336</v>
      </c>
      <c r="B212" s="174">
        <v>1602239</v>
      </c>
      <c r="C212" s="189">
        <f>-1602239</f>
        <v>-1602239</v>
      </c>
      <c r="D212" s="174">
        <v>0</v>
      </c>
      <c r="E212" s="175">
        <f t="shared" si="11"/>
        <v>0</v>
      </c>
      <c r="H212" s="262"/>
    </row>
    <row r="213" spans="1:8" ht="12.6" customHeight="1" x14ac:dyDescent="0.25">
      <c r="A213" s="173" t="s">
        <v>337</v>
      </c>
      <c r="B213" s="174">
        <f>29227203.31-1602239</f>
        <v>27624964.309999999</v>
      </c>
      <c r="C213" s="189">
        <f>1855634.78+1602239</f>
        <v>3457873.7800000003</v>
      </c>
      <c r="D213" s="174">
        <v>1971607.48</v>
      </c>
      <c r="E213" s="175">
        <f t="shared" si="11"/>
        <v>29111230.609999999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>
        <v>124622.46</v>
      </c>
      <c r="C215" s="189">
        <v>175132.04</v>
      </c>
      <c r="D215" s="174"/>
      <c r="E215" s="175">
        <f t="shared" si="11"/>
        <v>299754.5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58500463.18</v>
      </c>
      <c r="C217" s="191">
        <f>SUM(C208:C216)</f>
        <v>4975427.87</v>
      </c>
      <c r="D217" s="175">
        <f>SUM(D208:D216)</f>
        <v>2517479.15</v>
      </c>
      <c r="E217" s="175">
        <f>SUM(E208:E216)</f>
        <v>60958411.899999991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1257</v>
      </c>
      <c r="C220" s="288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4642552.5999999996</v>
      </c>
      <c r="D221" s="172">
        <f>C221</f>
        <v>4642552.5999999996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75097730.920000002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48516317.300000004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2315828.62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22227270.599999998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148157147.44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2112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543583.67</f>
        <v>543583.67000000004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C365-C233</f>
        <v>4313580.2300000004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4857163.9000000004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v>2227141.3000000007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2227141.3000000007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159884005.24000001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68625442.319999993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38686059.549999997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23556810.000000004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 t="s">
        <v>1282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472796.47000000003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1277976.0900000001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2095959.7499999995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87601424.179999992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8808016.9400000013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8808016.9400000013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2015497.22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4737949.3699999992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36062078.150000006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21068463.989999998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35437083.919999994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1163193.04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36681869.18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137166134.87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60958411.900000006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76207722.969999999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172617164.08999997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4603744.4600000009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13379603.63-1</f>
        <v>13379602.630000001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95802.290000000008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354332.69000000012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217631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1400000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20051113.070000004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1.9098999999999998E-11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1.9098999999999998E-11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63396639.630000003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63396639.630000003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1400000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61996639.630000003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90569410.88000001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172617163.58000001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172617164.08999997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56132907.240000002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207395664.94999999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263528572.19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4642552.5999999996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148157147.44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4857163.9000000004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2227141.3000000007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159884005.24000001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103644566.94999999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6587359.669999999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2266077.4200000004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8853437.0899999999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112498004.03999999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50758870.729999997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14630645.09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5938956.7300000004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13254622.659999998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1078923.8799999999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10369997.379999999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4975427.8699999992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665895.19999999995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609311.53999999992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679783.76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1010201.67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1670442.7900000003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105643079.30000001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6854924.7399999797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2218142.6800000002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9073067.4199999794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9073067.4199999794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Public Hospital District No 1 of Mason County, WA, DBA Mason General Hospital and Family of Clinics   H-0     FYE 12/31/2019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1448</v>
      </c>
      <c r="C414" s="194">
        <f>E138</f>
        <v>1448</v>
      </c>
      <c r="D414" s="179"/>
    </row>
    <row r="415" spans="1:5" ht="12.6" customHeight="1" x14ac:dyDescent="0.25">
      <c r="A415" s="179" t="s">
        <v>464</v>
      </c>
      <c r="B415" s="179">
        <f>D111</f>
        <v>4530</v>
      </c>
      <c r="C415" s="179">
        <f>E139</f>
        <v>4530</v>
      </c>
      <c r="D415" s="194">
        <f>SUM(C59:H59)+N59</f>
        <v>4530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300</v>
      </c>
    </row>
    <row r="424" spans="1:7" ht="12.6" customHeight="1" x14ac:dyDescent="0.25">
      <c r="A424" s="179" t="s">
        <v>1244</v>
      </c>
      <c r="B424" s="179">
        <f>D114</f>
        <v>648</v>
      </c>
      <c r="D424" s="179">
        <f>J59</f>
        <v>648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50758870.729999997</v>
      </c>
      <c r="C427" s="179">
        <f t="shared" ref="C427:C434" si="13">CE61</f>
        <v>50758870.729999989</v>
      </c>
      <c r="D427" s="179"/>
    </row>
    <row r="428" spans="1:7" ht="12.6" customHeight="1" x14ac:dyDescent="0.25">
      <c r="A428" s="179" t="s">
        <v>3</v>
      </c>
      <c r="B428" s="179">
        <f t="shared" si="12"/>
        <v>14630645.09</v>
      </c>
      <c r="C428" s="179">
        <f t="shared" si="13"/>
        <v>14630646</v>
      </c>
      <c r="D428" s="179">
        <f>D173</f>
        <v>14630645.090000002</v>
      </c>
    </row>
    <row r="429" spans="1:7" ht="12.6" customHeight="1" x14ac:dyDescent="0.25">
      <c r="A429" s="179" t="s">
        <v>236</v>
      </c>
      <c r="B429" s="179">
        <f t="shared" si="12"/>
        <v>5938956.7300000004</v>
      </c>
      <c r="C429" s="179">
        <f t="shared" si="13"/>
        <v>5938956.7300000004</v>
      </c>
      <c r="D429" s="179"/>
    </row>
    <row r="430" spans="1:7" ht="12.6" customHeight="1" x14ac:dyDescent="0.25">
      <c r="A430" s="179" t="s">
        <v>237</v>
      </c>
      <c r="B430" s="179">
        <f t="shared" si="12"/>
        <v>13254622.659999998</v>
      </c>
      <c r="C430" s="179">
        <f t="shared" si="13"/>
        <v>13254622.659999998</v>
      </c>
      <c r="D430" s="179"/>
    </row>
    <row r="431" spans="1:7" ht="12.6" customHeight="1" x14ac:dyDescent="0.25">
      <c r="A431" s="179" t="s">
        <v>444</v>
      </c>
      <c r="B431" s="179">
        <f t="shared" si="12"/>
        <v>1078923.8799999999</v>
      </c>
      <c r="C431" s="179">
        <f t="shared" si="13"/>
        <v>1078923.8800000001</v>
      </c>
      <c r="D431" s="179"/>
    </row>
    <row r="432" spans="1:7" ht="12.6" customHeight="1" x14ac:dyDescent="0.25">
      <c r="A432" s="179" t="s">
        <v>445</v>
      </c>
      <c r="B432" s="179">
        <f t="shared" si="12"/>
        <v>10369997.379999999</v>
      </c>
      <c r="C432" s="179">
        <f t="shared" si="13"/>
        <v>10369997.379999997</v>
      </c>
      <c r="D432" s="179"/>
    </row>
    <row r="433" spans="1:7" ht="12.6" customHeight="1" x14ac:dyDescent="0.25">
      <c r="A433" s="179" t="s">
        <v>6</v>
      </c>
      <c r="B433" s="179">
        <f t="shared" si="12"/>
        <v>4975427.8699999992</v>
      </c>
      <c r="C433" s="179">
        <f t="shared" si="13"/>
        <v>4975429</v>
      </c>
      <c r="D433" s="179">
        <f>C217</f>
        <v>4975427.87</v>
      </c>
    </row>
    <row r="434" spans="1:7" ht="12.6" customHeight="1" x14ac:dyDescent="0.25">
      <c r="A434" s="179" t="s">
        <v>474</v>
      </c>
      <c r="B434" s="179">
        <f t="shared" si="12"/>
        <v>665895.19999999995</v>
      </c>
      <c r="C434" s="179">
        <f t="shared" si="13"/>
        <v>665895.19999999984</v>
      </c>
      <c r="D434" s="179">
        <f>D177</f>
        <v>665895.20000000007</v>
      </c>
    </row>
    <row r="435" spans="1:7" ht="12.6" customHeight="1" x14ac:dyDescent="0.25">
      <c r="A435" s="179" t="s">
        <v>447</v>
      </c>
      <c r="B435" s="179">
        <f t="shared" si="12"/>
        <v>609311.53999999992</v>
      </c>
      <c r="C435" s="179"/>
      <c r="D435" s="179">
        <f>D181</f>
        <v>609311.54</v>
      </c>
    </row>
    <row r="436" spans="1:7" ht="12.6" customHeight="1" x14ac:dyDescent="0.25">
      <c r="A436" s="179" t="s">
        <v>475</v>
      </c>
      <c r="B436" s="179">
        <f t="shared" si="12"/>
        <v>679783.76</v>
      </c>
      <c r="C436" s="179"/>
      <c r="D436" s="179">
        <f>D186</f>
        <v>679783.76</v>
      </c>
    </row>
    <row r="437" spans="1:7" ht="12.6" customHeight="1" x14ac:dyDescent="0.25">
      <c r="A437" s="194" t="s">
        <v>449</v>
      </c>
      <c r="B437" s="194">
        <f t="shared" si="12"/>
        <v>1010201.67</v>
      </c>
      <c r="C437" s="194"/>
      <c r="D437" s="194">
        <f>D190</f>
        <v>1010201.6700000002</v>
      </c>
    </row>
    <row r="438" spans="1:7" ht="12.6" customHeight="1" x14ac:dyDescent="0.25">
      <c r="A438" s="194" t="s">
        <v>476</v>
      </c>
      <c r="B438" s="194">
        <f>C386+C387+C388</f>
        <v>2299296.9699999997</v>
      </c>
      <c r="C438" s="194">
        <f>CD69</f>
        <v>2114349.3199999998</v>
      </c>
      <c r="D438" s="194">
        <f>D181+D186+D190</f>
        <v>2299296.9700000002</v>
      </c>
    </row>
    <row r="439" spans="1:7" ht="12.6" customHeight="1" x14ac:dyDescent="0.25">
      <c r="A439" s="179" t="s">
        <v>451</v>
      </c>
      <c r="B439" s="194">
        <f>C389</f>
        <v>1670442.7900000003</v>
      </c>
      <c r="C439" s="194">
        <f>SUM(C69:CC69)</f>
        <v>1855390.4399999997</v>
      </c>
      <c r="D439" s="179"/>
    </row>
    <row r="440" spans="1:7" ht="12.6" customHeight="1" x14ac:dyDescent="0.25">
      <c r="A440" s="179" t="s">
        <v>477</v>
      </c>
      <c r="B440" s="194">
        <f>B438+B439</f>
        <v>3969739.76</v>
      </c>
      <c r="C440" s="194">
        <f>CE69</f>
        <v>3969739.76</v>
      </c>
      <c r="D440" s="179"/>
    </row>
    <row r="441" spans="1:7" ht="12.6" customHeight="1" x14ac:dyDescent="0.25">
      <c r="A441" s="179" t="s">
        <v>478</v>
      </c>
      <c r="B441" s="179">
        <f>D390</f>
        <v>105643079.30000001</v>
      </c>
      <c r="C441" s="179">
        <f>SUM(C427:C437)+C440</f>
        <v>105643081.33999999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4642552.5999999996</v>
      </c>
      <c r="C444" s="179">
        <f>C363</f>
        <v>4642552.5999999996</v>
      </c>
      <c r="D444" s="179"/>
    </row>
    <row r="445" spans="1:7" ht="12.6" customHeight="1" x14ac:dyDescent="0.25">
      <c r="A445" s="179" t="s">
        <v>343</v>
      </c>
      <c r="B445" s="179">
        <f>D229</f>
        <v>148157147.44</v>
      </c>
      <c r="C445" s="179">
        <f>C364</f>
        <v>148157147.44</v>
      </c>
      <c r="D445" s="179"/>
    </row>
    <row r="446" spans="1:7" ht="12.6" customHeight="1" x14ac:dyDescent="0.25">
      <c r="A446" s="179" t="s">
        <v>351</v>
      </c>
      <c r="B446" s="179">
        <f>D236</f>
        <v>4857163.9000000004</v>
      </c>
      <c r="C446" s="179">
        <f>C365</f>
        <v>4857163.9000000004</v>
      </c>
      <c r="D446" s="179"/>
    </row>
    <row r="447" spans="1:7" ht="12.6" customHeight="1" x14ac:dyDescent="0.25">
      <c r="A447" s="179" t="s">
        <v>356</v>
      </c>
      <c r="B447" s="179">
        <f>D240</f>
        <v>2227141.3000000007</v>
      </c>
      <c r="C447" s="179">
        <f>C366</f>
        <v>2227141.3000000007</v>
      </c>
      <c r="D447" s="179"/>
    </row>
    <row r="448" spans="1:7" ht="12.6" customHeight="1" x14ac:dyDescent="0.25">
      <c r="A448" s="179" t="s">
        <v>358</v>
      </c>
      <c r="B448" s="179">
        <f>D242</f>
        <v>159884005.24000001</v>
      </c>
      <c r="C448" s="179">
        <f>D367</f>
        <v>159884005.24000001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2112</v>
      </c>
    </row>
    <row r="454" spans="1:7" ht="12.6" customHeight="1" x14ac:dyDescent="0.25">
      <c r="A454" s="179" t="s">
        <v>168</v>
      </c>
      <c r="B454" s="179">
        <f>C233</f>
        <v>543583.67000000004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4313580.2300000004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6587359.669999999</v>
      </c>
      <c r="C458" s="194">
        <f>CE70</f>
        <v>7795300.6799999988</v>
      </c>
      <c r="D458" s="194"/>
    </row>
    <row r="459" spans="1:7" ht="12.6" customHeight="1" x14ac:dyDescent="0.25">
      <c r="A459" s="179" t="s">
        <v>244</v>
      </c>
      <c r="B459" s="194">
        <f>C371</f>
        <v>2266077.4200000004</v>
      </c>
      <c r="C459" s="194">
        <f>CE72</f>
        <v>2266077.42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56132907.240000002</v>
      </c>
      <c r="C463" s="194">
        <f>CE73</f>
        <v>56132907.239999995</v>
      </c>
      <c r="D463" s="194">
        <f>E141+E147+E153</f>
        <v>56132907.239999995</v>
      </c>
    </row>
    <row r="464" spans="1:7" ht="12.6" customHeight="1" x14ac:dyDescent="0.25">
      <c r="A464" s="179" t="s">
        <v>246</v>
      </c>
      <c r="B464" s="194">
        <f>C360</f>
        <v>207395664.94999999</v>
      </c>
      <c r="C464" s="194">
        <f>CE74</f>
        <v>207395664.95000002</v>
      </c>
      <c r="D464" s="194">
        <f>E142+E148+E154</f>
        <v>207395664.95000002</v>
      </c>
    </row>
    <row r="465" spans="1:7" ht="12.6" customHeight="1" x14ac:dyDescent="0.25">
      <c r="A465" s="179" t="s">
        <v>247</v>
      </c>
      <c r="B465" s="194">
        <f>D361</f>
        <v>263528572.19</v>
      </c>
      <c r="C465" s="194">
        <f>CE75</f>
        <v>263528572.19000003</v>
      </c>
      <c r="D465" s="194">
        <f>D463+D464</f>
        <v>263528572.19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2015497.22</v>
      </c>
      <c r="C468" s="179">
        <f>E195</f>
        <v>2015497.22</v>
      </c>
      <c r="D468" s="179"/>
    </row>
    <row r="469" spans="1:7" ht="12.6" customHeight="1" x14ac:dyDescent="0.25">
      <c r="A469" s="179" t="s">
        <v>333</v>
      </c>
      <c r="B469" s="179">
        <f t="shared" si="14"/>
        <v>4737949.3699999992</v>
      </c>
      <c r="C469" s="179">
        <f>E196</f>
        <v>4737949.37</v>
      </c>
      <c r="D469" s="179"/>
    </row>
    <row r="470" spans="1:7" ht="12.6" customHeight="1" x14ac:dyDescent="0.25">
      <c r="A470" s="179" t="s">
        <v>334</v>
      </c>
      <c r="B470" s="179">
        <f t="shared" si="14"/>
        <v>36062078.150000006</v>
      </c>
      <c r="C470" s="179">
        <f>E197</f>
        <v>36062078.150000006</v>
      </c>
      <c r="D470" s="179"/>
    </row>
    <row r="471" spans="1:7" ht="12.6" customHeight="1" x14ac:dyDescent="0.25">
      <c r="A471" s="179" t="s">
        <v>494</v>
      </c>
      <c r="B471" s="179">
        <f t="shared" si="14"/>
        <v>21068463.989999998</v>
      </c>
      <c r="C471" s="179">
        <f>E198</f>
        <v>21068463.989999998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35437083.919999994</v>
      </c>
      <c r="C473" s="179">
        <f>SUM(E200:E201)</f>
        <v>35437083.739999995</v>
      </c>
      <c r="D473" s="179"/>
    </row>
    <row r="474" spans="1:7" ht="12.6" customHeight="1" x14ac:dyDescent="0.25">
      <c r="A474" s="179" t="s">
        <v>339</v>
      </c>
      <c r="B474" s="179">
        <f t="shared" si="14"/>
        <v>1163193.04</v>
      </c>
      <c r="C474" s="179">
        <f>E202</f>
        <v>1163193.04</v>
      </c>
      <c r="D474" s="179"/>
    </row>
    <row r="475" spans="1:7" ht="12.6" customHeight="1" x14ac:dyDescent="0.25">
      <c r="A475" s="179" t="s">
        <v>340</v>
      </c>
      <c r="B475" s="179">
        <f t="shared" si="14"/>
        <v>36681869.18</v>
      </c>
      <c r="C475" s="179">
        <f>E203</f>
        <v>36681868.969999999</v>
      </c>
      <c r="D475" s="179"/>
    </row>
    <row r="476" spans="1:7" ht="12.6" customHeight="1" x14ac:dyDescent="0.25">
      <c r="A476" s="179" t="s">
        <v>203</v>
      </c>
      <c r="B476" s="179">
        <f>D275</f>
        <v>137166134.87</v>
      </c>
      <c r="C476" s="179">
        <f>E204</f>
        <v>137166134.48000002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60958411.900000006</v>
      </c>
      <c r="C478" s="179">
        <f>E217</f>
        <v>60958411.899999991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172617164.08999997</v>
      </c>
    </row>
    <row r="482" spans="1:12" ht="12.6" customHeight="1" x14ac:dyDescent="0.25">
      <c r="A482" s="180" t="s">
        <v>499</v>
      </c>
      <c r="C482" s="180">
        <f>D339</f>
        <v>172617163.58000001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152</v>
      </c>
      <c r="B493" s="264" t="str">
        <f>RIGHT('Prior Year'!C83,4)</f>
        <v>2018</v>
      </c>
      <c r="C493" s="264" t="str">
        <f>RIGHT(C82,4)</f>
        <v>2019</v>
      </c>
      <c r="D493" s="264" t="str">
        <f>RIGHT('Prior Year'!C83,4)</f>
        <v>2018</v>
      </c>
      <c r="E493" s="264" t="str">
        <f>RIGHT(C82,4)</f>
        <v>2019</v>
      </c>
      <c r="F493" s="264" t="str">
        <f>RIGHT('Prior Year'!C83,4)</f>
        <v>2018</v>
      </c>
      <c r="G493" s="264" t="str">
        <f>RIGHT(C82,4)</f>
        <v>2019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Year'!C72</f>
        <v>2776885</v>
      </c>
      <c r="C496" s="243">
        <f>C71</f>
        <v>3031768.01</v>
      </c>
      <c r="D496" s="243">
        <f>'Prior Year'!C59</f>
        <v>899</v>
      </c>
      <c r="E496" s="180">
        <f>C59</f>
        <v>1155</v>
      </c>
      <c r="F496" s="266">
        <f t="shared" ref="F496:G511" si="15">IF(B496=0,"",IF(D496=0,"",B496/D496))</f>
        <v>3088.8598442714128</v>
      </c>
      <c r="G496" s="267">
        <f t="shared" si="15"/>
        <v>2624.9073679653679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514</v>
      </c>
      <c r="B498" s="243">
        <f>'Prior Year'!E72</f>
        <v>7453079</v>
      </c>
      <c r="C498" s="243">
        <f>E71</f>
        <v>6471166.4400000004</v>
      </c>
      <c r="D498" s="243">
        <f>'Prior Year'!E59</f>
        <v>3291</v>
      </c>
      <c r="E498" s="180">
        <f>E59</f>
        <v>3375</v>
      </c>
      <c r="F498" s="266">
        <f t="shared" si="15"/>
        <v>2264.6852020662413</v>
      </c>
      <c r="G498" s="266">
        <f t="shared" si="15"/>
        <v>1917.382648888889</v>
      </c>
      <c r="H498" s="268" t="str">
        <f t="shared" si="16"/>
        <v/>
      </c>
      <c r="I498" s="270"/>
      <c r="K498" s="264"/>
      <c r="L498" s="264"/>
    </row>
    <row r="499" spans="1:12" ht="12.6" customHeight="1" x14ac:dyDescent="0.2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517</v>
      </c>
      <c r="B501" s="243">
        <f>'Prior Year'!H72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Year'!J72</f>
        <v>45742</v>
      </c>
      <c r="C503" s="243">
        <f>J71</f>
        <v>36341.800000000003</v>
      </c>
      <c r="D503" s="243">
        <f>'Prior Year'!J59</f>
        <v>582</v>
      </c>
      <c r="E503" s="180">
        <f>J59</f>
        <v>648</v>
      </c>
      <c r="F503" s="266">
        <f t="shared" si="15"/>
        <v>78.594501718213053</v>
      </c>
      <c r="G503" s="266">
        <f t="shared" si="15"/>
        <v>56.083024691358027</v>
      </c>
      <c r="H503" s="268">
        <f t="shared" si="16"/>
        <v>-0.28642559638034248</v>
      </c>
      <c r="I503" s="270"/>
      <c r="K503" s="264"/>
      <c r="L503" s="264"/>
    </row>
    <row r="504" spans="1:12" ht="12.6" customHeight="1" x14ac:dyDescent="0.2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" customHeight="1" x14ac:dyDescent="0.2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524</v>
      </c>
      <c r="B508" s="243">
        <f>'Prior Year'!O72</f>
        <v>114517</v>
      </c>
      <c r="C508" s="243">
        <f>O71</f>
        <v>122180.59</v>
      </c>
      <c r="D508" s="243">
        <f>'Prior Year'!O59</f>
        <v>747</v>
      </c>
      <c r="E508" s="180">
        <f>O59</f>
        <v>951</v>
      </c>
      <c r="F508" s="266">
        <f t="shared" si="15"/>
        <v>153.30254350736277</v>
      </c>
      <c r="G508" s="266">
        <f t="shared" si="15"/>
        <v>128.47590956887487</v>
      </c>
      <c r="H508" s="268" t="str">
        <f t="shared" si="16"/>
        <v/>
      </c>
      <c r="I508" s="270"/>
      <c r="K508" s="264"/>
      <c r="L508" s="264"/>
    </row>
    <row r="509" spans="1:12" ht="12.6" customHeight="1" x14ac:dyDescent="0.25">
      <c r="A509" s="180" t="s">
        <v>525</v>
      </c>
      <c r="B509" s="243">
        <f>'Prior Year'!P72</f>
        <v>3127337</v>
      </c>
      <c r="C509" s="243">
        <f>P71</f>
        <v>3403551.61</v>
      </c>
      <c r="D509" s="243">
        <f>'Prior Year'!P59</f>
        <v>109409</v>
      </c>
      <c r="E509" s="180">
        <f>P59</f>
        <v>117668</v>
      </c>
      <c r="F509" s="266">
        <f t="shared" si="15"/>
        <v>28.583909916003254</v>
      </c>
      <c r="G509" s="266">
        <f t="shared" si="15"/>
        <v>28.925040027875038</v>
      </c>
      <c r="H509" s="268" t="str">
        <f t="shared" si="16"/>
        <v/>
      </c>
      <c r="I509" s="270"/>
      <c r="K509" s="264"/>
      <c r="L509" s="264"/>
    </row>
    <row r="510" spans="1:12" ht="12.6" customHeight="1" x14ac:dyDescent="0.25">
      <c r="A510" s="180" t="s">
        <v>526</v>
      </c>
      <c r="B510" s="243">
        <f>'Prior Year'!Q72</f>
        <v>1838349</v>
      </c>
      <c r="C510" s="243">
        <f>Q71</f>
        <v>1908492.7699999996</v>
      </c>
      <c r="D510" s="243">
        <f>'Prior Year'!Q59</f>
        <v>117610</v>
      </c>
      <c r="E510" s="180">
        <f>Q59</f>
        <v>129253</v>
      </c>
      <c r="F510" s="266">
        <f t="shared" si="15"/>
        <v>15.630890230422583</v>
      </c>
      <c r="G510" s="266">
        <f t="shared" si="15"/>
        <v>14.76555878780376</v>
      </c>
      <c r="H510" s="268" t="str">
        <f t="shared" si="16"/>
        <v/>
      </c>
      <c r="I510" s="270"/>
      <c r="K510" s="264"/>
      <c r="L510" s="264"/>
    </row>
    <row r="511" spans="1:12" ht="12.6" customHeight="1" x14ac:dyDescent="0.25">
      <c r="A511" s="180" t="s">
        <v>527</v>
      </c>
      <c r="B511" s="243">
        <f>'Prior Year'!R72</f>
        <v>-186382</v>
      </c>
      <c r="C511" s="243">
        <f>R71</f>
        <v>-259432.60000000009</v>
      </c>
      <c r="D511" s="243">
        <f>'Prior Year'!R59</f>
        <v>109409</v>
      </c>
      <c r="E511" s="180">
        <f>R59</f>
        <v>117668</v>
      </c>
      <c r="F511" s="266">
        <f t="shared" si="15"/>
        <v>-1.7035344441499327</v>
      </c>
      <c r="G511" s="266">
        <f t="shared" si="15"/>
        <v>-2.2047846483325975</v>
      </c>
      <c r="H511" s="268">
        <f t="shared" si="16"/>
        <v>0.29424130865330977</v>
      </c>
      <c r="I511" s="270"/>
      <c r="K511" s="264"/>
      <c r="L511" s="264"/>
    </row>
    <row r="512" spans="1:12" ht="12.6" customHeight="1" x14ac:dyDescent="0.25">
      <c r="A512" s="180" t="s">
        <v>528</v>
      </c>
      <c r="B512" s="243">
        <f>'Prior Year'!S72</f>
        <v>3729203</v>
      </c>
      <c r="C512" s="243">
        <f>S71</f>
        <v>4070793.05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Year'!U72</f>
        <v>4627117</v>
      </c>
      <c r="C514" s="243">
        <f>U71</f>
        <v>5140395.589999998</v>
      </c>
      <c r="D514" s="243">
        <f>'Prior Year'!U59</f>
        <v>204576</v>
      </c>
      <c r="E514" s="180">
        <f>U59</f>
        <v>238993</v>
      </c>
      <c r="F514" s="266">
        <f t="shared" si="17"/>
        <v>22.618083255122791</v>
      </c>
      <c r="G514" s="266">
        <f t="shared" si="17"/>
        <v>21.508561296774374</v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Year'!V72</f>
        <v>0</v>
      </c>
      <c r="C515" s="243">
        <f>V71</f>
        <v>0</v>
      </c>
      <c r="D515" s="243">
        <f>'Prior Year'!V59</f>
        <v>0</v>
      </c>
      <c r="E515" s="180">
        <f>V59</f>
        <v>0</v>
      </c>
      <c r="F515" s="266" t="str">
        <f t="shared" si="17"/>
        <v/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Year'!W72</f>
        <v>449103</v>
      </c>
      <c r="C516" s="243">
        <f>W71</f>
        <v>342161.82000000007</v>
      </c>
      <c r="D516" s="243">
        <f>'Prior Year'!W59</f>
        <v>1833</v>
      </c>
      <c r="E516" s="180">
        <f>W59</f>
        <v>1983</v>
      </c>
      <c r="F516" s="266">
        <f t="shared" si="17"/>
        <v>245.00981996726676</v>
      </c>
      <c r="G516" s="266">
        <f t="shared" si="17"/>
        <v>172.54756429652045</v>
      </c>
      <c r="H516" s="268">
        <f t="shared" si="16"/>
        <v>-0.29575245465845923</v>
      </c>
      <c r="I516" s="270"/>
      <c r="K516" s="264"/>
      <c r="L516" s="264"/>
    </row>
    <row r="517" spans="1:12" ht="12.6" customHeight="1" x14ac:dyDescent="0.25">
      <c r="A517" s="180" t="s">
        <v>533</v>
      </c>
      <c r="B517" s="243">
        <f>'Prior Year'!X72</f>
        <v>776034</v>
      </c>
      <c r="C517" s="243">
        <f>X71</f>
        <v>881855.35</v>
      </c>
      <c r="D517" s="243">
        <f>'Prior Year'!X59</f>
        <v>26503</v>
      </c>
      <c r="E517" s="180">
        <f>X59</f>
        <v>28963</v>
      </c>
      <c r="F517" s="266">
        <f t="shared" si="17"/>
        <v>29.280987058068899</v>
      </c>
      <c r="G517" s="266">
        <f t="shared" si="17"/>
        <v>30.447652176915373</v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534</v>
      </c>
      <c r="B518" s="243">
        <f>'Prior Year'!Y72</f>
        <v>3077000</v>
      </c>
      <c r="C518" s="243">
        <f>Y71</f>
        <v>3069799.45</v>
      </c>
      <c r="D518" s="243">
        <f>'Prior Year'!Y59</f>
        <v>36371</v>
      </c>
      <c r="E518" s="180">
        <f>Y59</f>
        <v>42814</v>
      </c>
      <c r="F518" s="266">
        <f t="shared" si="17"/>
        <v>84.600368425393853</v>
      </c>
      <c r="G518" s="266">
        <f t="shared" si="17"/>
        <v>71.700832671556043</v>
      </c>
      <c r="H518" s="268" t="str">
        <f t="shared" si="16"/>
        <v/>
      </c>
      <c r="I518" s="270"/>
      <c r="K518" s="264"/>
      <c r="L518" s="264"/>
    </row>
    <row r="519" spans="1:12" ht="12.6" customHeight="1" x14ac:dyDescent="0.25">
      <c r="A519" s="180" t="s">
        <v>535</v>
      </c>
      <c r="B519" s="243">
        <f>'Prior Year'!Z72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536</v>
      </c>
      <c r="B520" s="243">
        <f>'Prior Year'!AA72</f>
        <v>214320</v>
      </c>
      <c r="C520" s="243">
        <f>AA71</f>
        <v>198248.52000000002</v>
      </c>
      <c r="D520" s="243">
        <f>'Prior Year'!AA59</f>
        <v>0</v>
      </c>
      <c r="E520" s="180">
        <f>AA59</f>
        <v>1325</v>
      </c>
      <c r="F520" s="266" t="str">
        <f t="shared" si="17"/>
        <v/>
      </c>
      <c r="G520" s="266">
        <f t="shared" si="17"/>
        <v>149.6215245283019</v>
      </c>
      <c r="H520" s="268" t="str">
        <f t="shared" si="16"/>
        <v/>
      </c>
      <c r="I520" s="270"/>
      <c r="K520" s="264"/>
      <c r="L520" s="264"/>
    </row>
    <row r="521" spans="1:12" ht="12.6" customHeight="1" x14ac:dyDescent="0.25">
      <c r="A521" s="180" t="s">
        <v>537</v>
      </c>
      <c r="B521" s="243">
        <f>'Prior Year'!AB72</f>
        <v>741964</v>
      </c>
      <c r="C521" s="243">
        <f>AB71</f>
        <v>1031800.9200000009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538</v>
      </c>
      <c r="B522" s="243">
        <f>'Prior Year'!AC72</f>
        <v>1144642</v>
      </c>
      <c r="C522" s="243">
        <f>AC71</f>
        <v>1220312.19</v>
      </c>
      <c r="D522" s="243">
        <f>'Prior Year'!AC59</f>
        <v>6206</v>
      </c>
      <c r="E522" s="180">
        <f>AC59</f>
        <v>6616</v>
      </c>
      <c r="F522" s="266">
        <f t="shared" si="17"/>
        <v>184.44118594908153</v>
      </c>
      <c r="G522" s="266">
        <f t="shared" si="17"/>
        <v>184.44863814993954</v>
      </c>
      <c r="H522" s="268" t="str">
        <f t="shared" si="16"/>
        <v/>
      </c>
      <c r="I522" s="270"/>
      <c r="K522" s="264"/>
      <c r="L522" s="264"/>
    </row>
    <row r="523" spans="1:12" ht="12.6" customHeight="1" x14ac:dyDescent="0.25">
      <c r="A523" s="180" t="s">
        <v>539</v>
      </c>
      <c r="B523" s="243">
        <f>'Prior Year'!AD72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" customHeight="1" x14ac:dyDescent="0.25">
      <c r="A524" s="180" t="s">
        <v>540</v>
      </c>
      <c r="B524" s="243">
        <f>'Prior Year'!AE72</f>
        <v>2214269</v>
      </c>
      <c r="C524" s="243">
        <f>AE71</f>
        <v>2266310.6400000006</v>
      </c>
      <c r="D524" s="243">
        <f>'Prior Year'!AE59</f>
        <v>22498</v>
      </c>
      <c r="E524" s="180">
        <f>AE59</f>
        <v>22468</v>
      </c>
      <c r="F524" s="266">
        <f t="shared" si="17"/>
        <v>98.42070406258334</v>
      </c>
      <c r="G524" s="266">
        <f t="shared" si="17"/>
        <v>100.86837457717645</v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542</v>
      </c>
      <c r="B526" s="243">
        <f>'Prior Year'!AG72</f>
        <v>6441027</v>
      </c>
      <c r="C526" s="243">
        <f>AG71</f>
        <v>8231015.3999999985</v>
      </c>
      <c r="D526" s="243">
        <f>'Prior Year'!AG59</f>
        <v>19855</v>
      </c>
      <c r="E526" s="180">
        <f>AG59</f>
        <v>20224</v>
      </c>
      <c r="F526" s="266">
        <f t="shared" si="17"/>
        <v>324.40327373457569</v>
      </c>
      <c r="G526" s="266">
        <f t="shared" si="17"/>
        <v>406.9924545094936</v>
      </c>
      <c r="H526" s="268">
        <f t="shared" si="16"/>
        <v>0.25458800037416318</v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Year'!AH72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545</v>
      </c>
      <c r="B529" s="243">
        <f>'Prior Year'!AJ72</f>
        <v>0</v>
      </c>
      <c r="C529" s="243">
        <f>AJ71</f>
        <v>0</v>
      </c>
      <c r="D529" s="243">
        <f>'Prior Year'!AJ59</f>
        <v>0</v>
      </c>
      <c r="E529" s="180">
        <f>AJ59</f>
        <v>0</v>
      </c>
      <c r="F529" s="266" t="str">
        <f t="shared" si="18"/>
        <v/>
      </c>
      <c r="G529" s="266" t="str">
        <f t="shared" si="18"/>
        <v/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Year'!AK72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550</v>
      </c>
      <c r="B535" s="243">
        <f>'Prior Year'!AP72</f>
        <v>22765699</v>
      </c>
      <c r="C535" s="243">
        <f>AP71</f>
        <v>23838415.740000002</v>
      </c>
      <c r="D535" s="243">
        <f>'Prior Year'!AP59</f>
        <v>85586</v>
      </c>
      <c r="E535" s="180">
        <f>AP59</f>
        <v>86676</v>
      </c>
      <c r="F535" s="266">
        <f t="shared" si="18"/>
        <v>265.99793190475077</v>
      </c>
      <c r="G535" s="266">
        <f t="shared" si="18"/>
        <v>275.02902464349995</v>
      </c>
      <c r="H535" s="268" t="str">
        <f t="shared" si="16"/>
        <v/>
      </c>
      <c r="I535" s="270"/>
      <c r="K535" s="264"/>
      <c r="L535" s="264"/>
    </row>
    <row r="536" spans="1:12" ht="12.6" customHeight="1" x14ac:dyDescent="0.2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Year'!AV72</f>
        <v>363071</v>
      </c>
      <c r="C541" s="243">
        <f>AV71</f>
        <v>365405.75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Year'!AY72</f>
        <v>1353638</v>
      </c>
      <c r="C544" s="243">
        <f>AY71</f>
        <v>1497546.5799999996</v>
      </c>
      <c r="D544" s="243">
        <f>'Prior Year'!AY59</f>
        <v>28442</v>
      </c>
      <c r="E544" s="180">
        <f>AY59</f>
        <v>27338.623616236167</v>
      </c>
      <c r="F544" s="266">
        <f t="shared" ref="F544:G550" si="19">IF(B544=0,"",IF(D544=0,"",B544/D544))</f>
        <v>47.59292595457422</v>
      </c>
      <c r="G544" s="266">
        <f t="shared" si="19"/>
        <v>54.777687458655379</v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559</v>
      </c>
      <c r="B545" s="243">
        <f>'Prior Year'!AZ72</f>
        <v>0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Year'!BA72</f>
        <v>335672</v>
      </c>
      <c r="C546" s="243">
        <f>BA71</f>
        <v>357906.11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Year'!BB72</f>
        <v>0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Year'!BD72</f>
        <v>584236</v>
      </c>
      <c r="C549" s="243">
        <f>BD71</f>
        <v>576770.65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Year'!BE72</f>
        <v>3014216</v>
      </c>
      <c r="C550" s="243">
        <f>BE71</f>
        <v>2986386.3699999996</v>
      </c>
      <c r="D550" s="243">
        <f>'Prior Year'!BE59</f>
        <v>186976.5</v>
      </c>
      <c r="E550" s="180">
        <f>BE59</f>
        <v>185453.38000000003</v>
      </c>
      <c r="F550" s="266">
        <f t="shared" si="19"/>
        <v>16.120828018494304</v>
      </c>
      <c r="G550" s="266">
        <f t="shared" si="19"/>
        <v>16.103164957144482</v>
      </c>
      <c r="H550" s="268" t="str">
        <f t="shared" si="16"/>
        <v/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Year'!BF72</f>
        <v>1747286</v>
      </c>
      <c r="C551" s="243">
        <f>BF71</f>
        <v>2020467.8900000004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Year'!BG72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Year'!BH72</f>
        <v>5130173</v>
      </c>
      <c r="C553" s="243">
        <f>BH71</f>
        <v>5664723.209999999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Year'!BI72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Year'!BJ72</f>
        <v>879918</v>
      </c>
      <c r="C555" s="243">
        <f>BJ71</f>
        <v>949048.53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Year'!BK72</f>
        <v>1892076</v>
      </c>
      <c r="C556" s="243">
        <f>BK71</f>
        <v>2086676.5599999998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Year'!BL72</f>
        <v>1552287</v>
      </c>
      <c r="C557" s="243">
        <f>BL71</f>
        <v>1676209.7300000002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Year'!BN72</f>
        <v>4293308</v>
      </c>
      <c r="C559" s="243">
        <f>BN71</f>
        <v>4468470.4999999991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Year'!BO72</f>
        <v>277958</v>
      </c>
      <c r="C560" s="243">
        <f>BO71</f>
        <v>249116.45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Year'!BP72</f>
        <v>287844</v>
      </c>
      <c r="C561" s="243">
        <f>BP71</f>
        <v>236391.72999999998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Year'!BR72</f>
        <v>810604</v>
      </c>
      <c r="C563" s="243">
        <f>BR71</f>
        <v>1251385.9700000002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Year'!BS72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Year'!BV72</f>
        <v>2114987</v>
      </c>
      <c r="C567" s="243">
        <f>BV71</f>
        <v>2115899.35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Year'!BW72</f>
        <v>291675</v>
      </c>
      <c r="C568" s="243">
        <f>BW71</f>
        <v>316010.48000000004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Year'!BX72</f>
        <v>0</v>
      </c>
      <c r="C569" s="243">
        <f>BX71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Year'!BY72</f>
        <v>3731436</v>
      </c>
      <c r="C570" s="243">
        <f>BY71</f>
        <v>3868213.53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Year'!BZ72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Year'!CA72</f>
        <v>353276</v>
      </c>
      <c r="C572" s="243">
        <f>CA71</f>
        <v>345455.16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Year'!CB72</f>
        <v>0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Year'!CC72</f>
        <v>2024203</v>
      </c>
      <c r="C574" s="243">
        <f>CC71</f>
        <v>1496938.9200000002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3800122</v>
      </c>
      <c r="C575" s="243">
        <f>CD71</f>
        <v>313579.89999999991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160616.13000000003</v>
      </c>
      <c r="E612" s="180">
        <f>SUM(C624:D647)+SUM(C668:D713)</f>
        <v>90455038.980212107</v>
      </c>
      <c r="F612" s="180">
        <f>CE64-(AX64+BD64+BE64+BG64+BJ64+BN64+BP64+BQ64+CB64+CC64+CD64)</f>
        <v>13025732.419999998</v>
      </c>
      <c r="G612" s="180">
        <f>CE77-(AX77+AY77+BD77+BE77+BG77+BJ77+BN77+BP77+BQ77+CB77+CC77+CD77)</f>
        <v>27338.623616236171</v>
      </c>
      <c r="H612" s="197">
        <f>CE60-(AX60+AY60+AZ60+BD60+BE60+BG60+BJ60+BN60+BO60+BP60+BQ60+BR60+CB60+CC60+CD60)</f>
        <v>516.1760461538463</v>
      </c>
      <c r="I612" s="180">
        <f>CE78-(AX78+AY78+AZ78+BD78+BE78+BF78+BG78+BJ78+BN78+BO78+BP78+BQ78+BR78+CB78+CC78+CD78)</f>
        <v>135879.47</v>
      </c>
      <c r="J612" s="180">
        <f>CE79-(AX79+AY79+AZ79+BA79+BD79+BE79+BF79+BG79+BJ79+BN79+BO79+BP79+BQ79+BR79+CB79+CC79+CD79)</f>
        <v>308263</v>
      </c>
      <c r="K612" s="180">
        <f>CE75-(AW75+AX75+AY75+AZ75+BA75+BB75+BC75+BD75+BE75+BF75+BG75+BH75+BI75+BJ75+BK75+BL75+BM75+BN75+BO75+BP75+BQ75+BR75+BS75+BT75+BU75+BV75+BW75+BX75+CB75+CC75+CD75)</f>
        <v>263528572.19000003</v>
      </c>
      <c r="L612" s="197">
        <f>CE80-(AW80+AX80+AY80+AZ80+BA80+BB80+BC80+BD80+BE80+BF80+BG80+BH80+BI80+BJ80+BK80+BL80+BM80+BN80+BO80+BP80+BQ80+BR80+BS80+BT80+BU80+BV80+BW80+BX80+BY80+BZ80+CA80+CB80+CC80+CD80)</f>
        <v>133.56771105769232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2986386.3699999996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313579.89999999991</v>
      </c>
      <c r="D615" s="269">
        <f>SUM(C614:C615)</f>
        <v>3299966.2699999996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949048.53</v>
      </c>
      <c r="D617" s="180">
        <f>(D615/D612)*BJ76</f>
        <v>63064.939155021333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4468470.4999999991</v>
      </c>
      <c r="D619" s="180">
        <f>(D615/D612)*BN76</f>
        <v>96955.230012033615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1496938.9200000002</v>
      </c>
      <c r="D620" s="180">
        <f>(D615/D612)*CC76</f>
        <v>81871.830620840483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236391.72999999998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7392741.6797878947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576770.65</v>
      </c>
      <c r="D624" s="180">
        <f>(D615/D612)*BD76</f>
        <v>69812.959554459419</v>
      </c>
      <c r="E624" s="180">
        <f>(E623/E612)*SUM(C624:D624)</f>
        <v>52844.215797271732</v>
      </c>
      <c r="F624" s="180">
        <f>SUM(C624:E624)</f>
        <v>699427.82535173115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1497546.5799999996</v>
      </c>
      <c r="D625" s="180">
        <f>(D615/D612)*AY76</f>
        <v>103414.99463810636</v>
      </c>
      <c r="E625" s="180">
        <f>(E623/E612)*SUM(C625:D625)</f>
        <v>130843.95843503103</v>
      </c>
      <c r="F625" s="180">
        <f>(F624/F612)*AY64</f>
        <v>43657.221806388858</v>
      </c>
      <c r="G625" s="180">
        <f>SUM(C625:F625)</f>
        <v>1775462.7548795259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1251385.9700000002</v>
      </c>
      <c r="D626" s="180">
        <f>(D615/D612)*BR76</f>
        <v>43687.288930535789</v>
      </c>
      <c r="E626" s="180">
        <f>(E623/E612)*SUM(C626:D626)</f>
        <v>105844.20909673089</v>
      </c>
      <c r="F626" s="180">
        <f>(F624/F612)*BR64</f>
        <v>2052.3725941548582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249116.45</v>
      </c>
      <c r="D627" s="180">
        <f>(D615/D612)*BO76</f>
        <v>5730.3932822045945</v>
      </c>
      <c r="E627" s="180">
        <f>(E623/E612)*SUM(C627:D627)</f>
        <v>20828.21367980256</v>
      </c>
      <c r="F627" s="180">
        <f>(F624/F612)*BO64</f>
        <v>263.42702675227468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1678908.3246101814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2020467.8900000004</v>
      </c>
      <c r="D629" s="180">
        <f>(D615/D612)*BF76</f>
        <v>43693.658088749849</v>
      </c>
      <c r="E629" s="180">
        <f>(E623/E612)*SUM(C629:D629)</f>
        <v>168700.5310307747</v>
      </c>
      <c r="F629" s="180">
        <f>(F624/F612)*BF64</f>
        <v>9302.7793084357327</v>
      </c>
      <c r="G629" s="180">
        <f>(G625/G612)*BF77</f>
        <v>0</v>
      </c>
      <c r="H629" s="180">
        <f>(H628/H612)*BF60</f>
        <v>89708.926923429332</v>
      </c>
      <c r="I629" s="180">
        <f>SUM(C629:H629)</f>
        <v>2331873.7853513896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357906.11</v>
      </c>
      <c r="D630" s="180">
        <f>(D615/D612)*BA76</f>
        <v>29974.696752381584</v>
      </c>
      <c r="E630" s="180">
        <f>(E623/E612)*SUM(C630:D630)</f>
        <v>31700.860882889876</v>
      </c>
      <c r="F630" s="180">
        <f>(F624/F612)*BA64</f>
        <v>3372.73216394471</v>
      </c>
      <c r="G630" s="180">
        <f>(G625/G612)*BA77</f>
        <v>0</v>
      </c>
      <c r="H630" s="180">
        <f>(H628/H612)*BA60</f>
        <v>5040.7304616348001</v>
      </c>
      <c r="I630" s="180">
        <f>(I629/I612)*BA78</f>
        <v>25037.193784040392</v>
      </c>
      <c r="J630" s="180">
        <f>SUM(C630:I630)</f>
        <v>453032.32404489134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2086676.5599999998</v>
      </c>
      <c r="D635" s="180">
        <f>(D615/D612)*BK76</f>
        <v>56182.139149505078</v>
      </c>
      <c r="E635" s="180">
        <f>(E623/E612)*SUM(C635:D635)</f>
        <v>175132.31985411129</v>
      </c>
      <c r="F635" s="180">
        <f>(F624/F612)*BK64</f>
        <v>798.60232674031045</v>
      </c>
      <c r="G635" s="180">
        <f>(G625/G612)*BK77</f>
        <v>0</v>
      </c>
      <c r="H635" s="180">
        <f>(H628/H612)*BK60</f>
        <v>69375.400549710248</v>
      </c>
      <c r="I635" s="180">
        <f>(I629/I612)*BK78</f>
        <v>46927.684263438583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5664723.209999999</v>
      </c>
      <c r="D636" s="180">
        <f>(D615/D612)*BH76</f>
        <v>66792.129450545821</v>
      </c>
      <c r="E636" s="180">
        <f>(E623/E612)*SUM(C636:D636)</f>
        <v>468427.32937817753</v>
      </c>
      <c r="F636" s="180">
        <f>(F624/F612)*BH64</f>
        <v>30710.303029445105</v>
      </c>
      <c r="G636" s="180">
        <f>(G625/G612)*BH77</f>
        <v>0</v>
      </c>
      <c r="H636" s="180">
        <f>(H628/H612)*BH60</f>
        <v>18795.661825093448</v>
      </c>
      <c r="I636" s="180">
        <f>(I629/I612)*BH78</f>
        <v>55789.971859153447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1676209.7300000002</v>
      </c>
      <c r="D637" s="180">
        <f>(D615/D612)*BL76</f>
        <v>44331.190280305578</v>
      </c>
      <c r="E637" s="180">
        <f>(E623/E612)*SUM(C637:D637)</f>
        <v>140616.98183469195</v>
      </c>
      <c r="F637" s="180">
        <f>(F624/F612)*BL64</f>
        <v>920.33351239164585</v>
      </c>
      <c r="G637" s="180">
        <f>(G625/G612)*BL77</f>
        <v>0</v>
      </c>
      <c r="H637" s="180">
        <f>(H628/H612)*BL60</f>
        <v>79630.812413433479</v>
      </c>
      <c r="I637" s="180">
        <f>(I629/I612)*BL78</f>
        <v>37028.851730985116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2115899.35</v>
      </c>
      <c r="D642" s="180">
        <f>(D615/D612)*BV76</f>
        <v>93378.023119614416</v>
      </c>
      <c r="E642" s="180">
        <f>(E623/E612)*SUM(C642:D642)</f>
        <v>180560.60892358469</v>
      </c>
      <c r="F642" s="180">
        <f>(F624/F612)*BV64</f>
        <v>590.90461590605764</v>
      </c>
      <c r="G642" s="180">
        <f>(G625/G612)*BV77</f>
        <v>0</v>
      </c>
      <c r="H642" s="180">
        <f>(H628/H612)*BV60</f>
        <v>66126.001986019022</v>
      </c>
      <c r="I642" s="180">
        <f>(I629/I612)*BV78</f>
        <v>77996.574221576884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316010.48000000004</v>
      </c>
      <c r="D643" s="180">
        <f>(D615/D612)*BW76</f>
        <v>20967.268840684923</v>
      </c>
      <c r="E643" s="180">
        <f>(E623/E612)*SUM(C643:D643)</f>
        <v>27540.637615120588</v>
      </c>
      <c r="F643" s="180">
        <f>(F624/F612)*BW64</f>
        <v>266.68475421018985</v>
      </c>
      <c r="G643" s="180">
        <f>(G625/G612)*BW77</f>
        <v>0</v>
      </c>
      <c r="H643" s="180">
        <f>(H628/H612)*BW60</f>
        <v>6500.4234216836985</v>
      </c>
      <c r="I643" s="180">
        <f>(I629/I612)*BW78</f>
        <v>17513.490709279333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13642419.659665406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3868213.53</v>
      </c>
      <c r="D645" s="180">
        <f>(D615/D612)*BY76</f>
        <v>38413.625929294263</v>
      </c>
      <c r="E645" s="180">
        <f>(E623/E612)*SUM(C645:D645)</f>
        <v>319282.21720569552</v>
      </c>
      <c r="F645" s="180">
        <f>(F624/F612)*BY64</f>
        <v>595.74100146950605</v>
      </c>
      <c r="G645" s="180">
        <f>(G625/G612)*BY77</f>
        <v>0</v>
      </c>
      <c r="H645" s="180">
        <f>(H628/H612)*BY60</f>
        <v>93636.771684758176</v>
      </c>
      <c r="I645" s="180">
        <f>(I629/I612)*BY78</f>
        <v>32086.042580663088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345455.16</v>
      </c>
      <c r="D647" s="180">
        <f>(D615/D612)*CA76</f>
        <v>21490.772554537325</v>
      </c>
      <c r="E647" s="180">
        <f>(E623/E612)*SUM(C647:D647)</f>
        <v>29989.888019593938</v>
      </c>
      <c r="F647" s="180">
        <f>(F624/F612)*CA64</f>
        <v>341.30266066506391</v>
      </c>
      <c r="G647" s="180">
        <f>(G625/G612)*CA77</f>
        <v>0</v>
      </c>
      <c r="H647" s="180">
        <f>(H628/H612)*CA60</f>
        <v>6952.7365242206506</v>
      </c>
      <c r="I647" s="180">
        <f>(I629/I612)*CA78</f>
        <v>17950.761652790916</v>
      </c>
      <c r="J647" s="180">
        <f>(J630/J612)*CA79</f>
        <v>0</v>
      </c>
      <c r="K647" s="180">
        <v>0</v>
      </c>
      <c r="L647" s="180">
        <f>SUM(C645:K647)</f>
        <v>4774408.5498136887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32477197.620000001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3031768.01</v>
      </c>
      <c r="D668" s="180">
        <f>(D615/D612)*C76</f>
        <v>133746.77516390846</v>
      </c>
      <c r="E668" s="180">
        <f>(E623/E612)*SUM(C668:D668)</f>
        <v>258712.32110557621</v>
      </c>
      <c r="F668" s="180">
        <f>(F624/F612)*C64</f>
        <v>9714.7435650381321</v>
      </c>
      <c r="G668" s="180">
        <f>(G625/G612)*C77</f>
        <v>333824.59871692478</v>
      </c>
      <c r="H668" s="180">
        <f>(H628/H612)*C60</f>
        <v>60933.947967141365</v>
      </c>
      <c r="I668" s="180">
        <f>(I629/I612)*C78</f>
        <v>111715.68991780363</v>
      </c>
      <c r="J668" s="180">
        <f>(J630/J612)*C79</f>
        <v>52608.318558617073</v>
      </c>
      <c r="K668" s="180">
        <f>(K644/K612)*C75</f>
        <v>572254.01628270501</v>
      </c>
      <c r="L668" s="180">
        <f>(L647/L612)*C80</f>
        <v>669650.6229107586</v>
      </c>
      <c r="M668" s="180">
        <f t="shared" ref="M668:M713" si="20">ROUND(SUM(D668:L668),0)</f>
        <v>2203161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6471166.4400000004</v>
      </c>
      <c r="D670" s="180">
        <f>(D615/D612)*E76</f>
        <v>395071.48757633357</v>
      </c>
      <c r="E670" s="180">
        <f>(E623/E612)*SUM(C670:D670)</f>
        <v>561166.34167432424</v>
      </c>
      <c r="F670" s="180">
        <f>(F624/F612)*E64</f>
        <v>9397.8435221499585</v>
      </c>
      <c r="G670" s="180">
        <f>(G625/G612)*E77</f>
        <v>1357036.357121353</v>
      </c>
      <c r="H670" s="180">
        <f>(H628/H612)*E60</f>
        <v>157931.76331937202</v>
      </c>
      <c r="I670" s="180">
        <f>(I629/I612)*E78</f>
        <v>329994.37741473928</v>
      </c>
      <c r="J670" s="180">
        <f>(J630/J612)*E79</f>
        <v>95727.240996525987</v>
      </c>
      <c r="K670" s="180">
        <f>(K644/K612)*E75</f>
        <v>1123145.2273900383</v>
      </c>
      <c r="L670" s="180">
        <f>(L647/L612)*E80</f>
        <v>1735635.1789521759</v>
      </c>
      <c r="M670" s="180">
        <f t="shared" si="20"/>
        <v>5765106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36341.800000000003</v>
      </c>
      <c r="D675" s="180">
        <f>(D615/D612)*J76</f>
        <v>9890.8917930017342</v>
      </c>
      <c r="E675" s="180">
        <f>(E623/E612)*SUM(C675:D675)</f>
        <v>3778.5219202844041</v>
      </c>
      <c r="F675" s="180">
        <f>(F624/F612)*J64</f>
        <v>1077.6011511321992</v>
      </c>
      <c r="G675" s="180">
        <f>(G625/G612)*J77</f>
        <v>0</v>
      </c>
      <c r="H675" s="180">
        <f>(H628/H612)*J60</f>
        <v>0</v>
      </c>
      <c r="I675" s="180">
        <f>(I629/I612)*J78</f>
        <v>8261.6406952868783</v>
      </c>
      <c r="J675" s="180">
        <f>(J630/J612)*J79</f>
        <v>0</v>
      </c>
      <c r="K675" s="180">
        <f>(K644/K612)*J75</f>
        <v>68812.261323796934</v>
      </c>
      <c r="L675" s="180">
        <f>(L647/L612)*J80</f>
        <v>0</v>
      </c>
      <c r="M675" s="180">
        <f t="shared" si="20"/>
        <v>91821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122180.59</v>
      </c>
      <c r="D680" s="180">
        <f>(D615/D612)*O76</f>
        <v>20004.087753345812</v>
      </c>
      <c r="E680" s="180">
        <f>(E623/E612)*SUM(C680:D680)</f>
        <v>11620.520042938855</v>
      </c>
      <c r="F680" s="180">
        <f>(F624/F612)*O64</f>
        <v>4337.7674747328347</v>
      </c>
      <c r="G680" s="180">
        <f>(G625/G612)*O77</f>
        <v>0</v>
      </c>
      <c r="H680" s="180">
        <f>(H628/H612)*O60</f>
        <v>0</v>
      </c>
      <c r="I680" s="180">
        <f>(I629/I612)*O78</f>
        <v>16708.967089506066</v>
      </c>
      <c r="J680" s="180">
        <f>(J630/J612)*O79</f>
        <v>49392.769741502394</v>
      </c>
      <c r="K680" s="180">
        <f>(K644/K612)*O75</f>
        <v>166674.88201188465</v>
      </c>
      <c r="L680" s="180">
        <f>(L647/L612)*O80</f>
        <v>0</v>
      </c>
      <c r="M680" s="180">
        <f t="shared" si="20"/>
        <v>268739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3403551.61</v>
      </c>
      <c r="D681" s="180">
        <f>(D615/D612)*P76</f>
        <v>134718.79089006063</v>
      </c>
      <c r="E681" s="180">
        <f>(E623/E612)*SUM(C681:D681)</f>
        <v>289177.02498300816</v>
      </c>
      <c r="F681" s="180">
        <f>(F624/F612)*P64</f>
        <v>37012.037170505857</v>
      </c>
      <c r="G681" s="180">
        <f>(G625/G612)*P77</f>
        <v>20327.93226963322</v>
      </c>
      <c r="H681" s="180">
        <f>(H628/H612)*P60</f>
        <v>49439.737694326432</v>
      </c>
      <c r="I681" s="180">
        <f>(I629/I612)*P78</f>
        <v>112527.59291378218</v>
      </c>
      <c r="J681" s="180">
        <f>(J630/J612)*P79</f>
        <v>46801.813359156338</v>
      </c>
      <c r="K681" s="180">
        <f>(K644/K612)*P75</f>
        <v>787451.98188011791</v>
      </c>
      <c r="L681" s="180">
        <f>(L647/L612)*P80</f>
        <v>543331.79201523832</v>
      </c>
      <c r="M681" s="180">
        <f t="shared" si="20"/>
        <v>2020789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1908492.7699999996</v>
      </c>
      <c r="D682" s="180">
        <f>(D615/D612)*Q76</f>
        <v>148707.72235201838</v>
      </c>
      <c r="E682" s="180">
        <f>(E623/E612)*SUM(C682:D682)</f>
        <v>168131.61538538401</v>
      </c>
      <c r="F682" s="180">
        <f>(F624/F612)*Q64</f>
        <v>6136.176399431989</v>
      </c>
      <c r="G682" s="180">
        <f>(G625/G612)*Q77</f>
        <v>0</v>
      </c>
      <c r="H682" s="180">
        <f>(H628/H612)*Q60</f>
        <v>43191.749550577195</v>
      </c>
      <c r="I682" s="180">
        <f>(I629/I612)*Q78</f>
        <v>124212.23448790811</v>
      </c>
      <c r="J682" s="180">
        <f>(J630/J612)*Q79</f>
        <v>40708.730454331177</v>
      </c>
      <c r="K682" s="180">
        <f>(K644/K612)*Q75</f>
        <v>302759.30571854213</v>
      </c>
      <c r="L682" s="180">
        <f>(L647/L612)*Q80</f>
        <v>474667.78300244769</v>
      </c>
      <c r="M682" s="180">
        <f t="shared" si="20"/>
        <v>1308515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-259432.60000000009</v>
      </c>
      <c r="D683" s="180">
        <f>(D615/D612)*R76</f>
        <v>6393.8130200497271</v>
      </c>
      <c r="E683" s="180">
        <f>(E623/E612)*SUM(C683:D683)</f>
        <v>-20680.444209624096</v>
      </c>
      <c r="F683" s="180">
        <f>(F624/F612)*R64</f>
        <v>4786.882281793577</v>
      </c>
      <c r="G683" s="180">
        <f>(G625/G612)*R77</f>
        <v>0</v>
      </c>
      <c r="H683" s="180">
        <f>(H628/H612)*R60</f>
        <v>17145.692431797546</v>
      </c>
      <c r="I683" s="180">
        <f>(I629/I612)*R78</f>
        <v>5340.6090118054799</v>
      </c>
      <c r="J683" s="180">
        <f>(J630/J612)*R79</f>
        <v>0</v>
      </c>
      <c r="K683" s="180">
        <f>(K644/K612)*R75</f>
        <v>107112.33279770735</v>
      </c>
      <c r="L683" s="180">
        <f>(L647/L612)*R80</f>
        <v>188427.3709522477</v>
      </c>
      <c r="M683" s="180">
        <f t="shared" si="20"/>
        <v>308526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4070793.05</v>
      </c>
      <c r="D684" s="180">
        <f>(D615/D612)*S76</f>
        <v>60950.173171236893</v>
      </c>
      <c r="E684" s="180">
        <f>(E623/E612)*SUM(C684:D684)</f>
        <v>337680.58342002559</v>
      </c>
      <c r="F684" s="180">
        <f>(F624/F612)*S64</f>
        <v>214374.00308919279</v>
      </c>
      <c r="G684" s="180">
        <f>(G625/G612)*S77</f>
        <v>0</v>
      </c>
      <c r="H684" s="180">
        <f>(H628/H612)*S60</f>
        <v>0</v>
      </c>
      <c r="I684" s="180">
        <f>(I629/I612)*S78</f>
        <v>50910.316440076429</v>
      </c>
      <c r="J684" s="180">
        <f>(J630/J612)*S79</f>
        <v>0</v>
      </c>
      <c r="K684" s="180">
        <f>(K644/K612)*S75</f>
        <v>367407.08574158716</v>
      </c>
      <c r="L684" s="180">
        <f>(L647/L612)*S80</f>
        <v>0</v>
      </c>
      <c r="M684" s="180">
        <f t="shared" si="20"/>
        <v>1031322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5140395.589999998</v>
      </c>
      <c r="D686" s="180">
        <f>(D615/D612)*U76</f>
        <v>85219.953274270112</v>
      </c>
      <c r="E686" s="180">
        <f>(E623/E612)*SUM(C686:D686)</f>
        <v>427080.97044502053</v>
      </c>
      <c r="F686" s="180">
        <f>(F624/F612)*U64</f>
        <v>90972.104771222308</v>
      </c>
      <c r="G686" s="180">
        <f>(G625/G612)*U77</f>
        <v>0</v>
      </c>
      <c r="H686" s="180">
        <f>(H628/H612)*U60</f>
        <v>85885.665395627453</v>
      </c>
      <c r="I686" s="180">
        <f>(I629/I612)*U78</f>
        <v>71182.32094292136</v>
      </c>
      <c r="J686" s="180">
        <f>(J630/J612)*U79</f>
        <v>1041.9671441198846</v>
      </c>
      <c r="K686" s="180">
        <f>(K644/K612)*U75</f>
        <v>1604464.5315733824</v>
      </c>
      <c r="L686" s="180">
        <f>(L647/L612)*U80</f>
        <v>0</v>
      </c>
      <c r="M686" s="180">
        <f t="shared" si="20"/>
        <v>2365848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342161.82000000007</v>
      </c>
      <c r="D688" s="180">
        <f>(D615/D612)*W76</f>
        <v>43859.050745598826</v>
      </c>
      <c r="E688" s="180">
        <f>(E623/E612)*SUM(C688:D688)</f>
        <v>31548.851369720709</v>
      </c>
      <c r="F688" s="180">
        <f>(F624/F612)*W64</f>
        <v>1089.3873910697694</v>
      </c>
      <c r="G688" s="180">
        <f>(G625/G612)*W77</f>
        <v>0</v>
      </c>
      <c r="H688" s="180">
        <f>(H628/H612)*W60</f>
        <v>6797.9883664780173</v>
      </c>
      <c r="I688" s="180">
        <f>(I629/I612)*W78</f>
        <v>36634.484137504107</v>
      </c>
      <c r="J688" s="180">
        <f>(J630/J612)*W79</f>
        <v>0</v>
      </c>
      <c r="K688" s="180">
        <f>(K644/K612)*W75</f>
        <v>400984.59993018617</v>
      </c>
      <c r="L688" s="180">
        <f>(L647/L612)*W80</f>
        <v>0</v>
      </c>
      <c r="M688" s="180">
        <f t="shared" si="20"/>
        <v>520914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881855.35</v>
      </c>
      <c r="D689" s="180">
        <f>(D615/D612)*X76</f>
        <v>16244.435296601276</v>
      </c>
      <c r="E689" s="180">
        <f>(E623/E612)*SUM(C689:D689)</f>
        <v>73400.219492726974</v>
      </c>
      <c r="F689" s="180">
        <f>(F624/F612)*X64</f>
        <v>5225.3760489470224</v>
      </c>
      <c r="G689" s="180">
        <f>(G625/G612)*X77</f>
        <v>0</v>
      </c>
      <c r="H689" s="180">
        <f>(H628/H612)*X60</f>
        <v>16053.401246825766</v>
      </c>
      <c r="I689" s="180">
        <f>(I629/I612)*X78</f>
        <v>13568.613480668389</v>
      </c>
      <c r="J689" s="180">
        <f>(J630/J612)*X79</f>
        <v>0</v>
      </c>
      <c r="K689" s="180">
        <f>(K644/K612)*X75</f>
        <v>1185553.7064747633</v>
      </c>
      <c r="L689" s="180">
        <f>(L647/L612)*X80</f>
        <v>0</v>
      </c>
      <c r="M689" s="180">
        <f t="shared" si="20"/>
        <v>1310046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3069799.45</v>
      </c>
      <c r="D690" s="180">
        <f>(D615/D612)*Y76</f>
        <v>109358.85744884024</v>
      </c>
      <c r="E690" s="180">
        <f>(E623/E612)*SUM(C690:D690)</f>
        <v>259827.38375981923</v>
      </c>
      <c r="F690" s="180">
        <f>(F624/F612)*Y64</f>
        <v>6353.8550955946957</v>
      </c>
      <c r="G690" s="180">
        <f>(G625/G612)*Y77</f>
        <v>0</v>
      </c>
      <c r="H690" s="180">
        <f>(H628/H612)*Y60</f>
        <v>66480.096295227224</v>
      </c>
      <c r="I690" s="180">
        <f>(I629/I612)*Y78</f>
        <v>91345.007709888378</v>
      </c>
      <c r="J690" s="180">
        <f>(J630/J612)*Y79</f>
        <v>45501.19146557933</v>
      </c>
      <c r="K690" s="180">
        <f>(K644/K612)*Y75</f>
        <v>1066739.2539356628</v>
      </c>
      <c r="L690" s="180">
        <f>(L647/L612)*Y80</f>
        <v>0</v>
      </c>
      <c r="M690" s="180">
        <f t="shared" si="20"/>
        <v>1645606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198248.52000000002</v>
      </c>
      <c r="D692" s="180">
        <f>(D615/D612)*AA76</f>
        <v>14161.515103887132</v>
      </c>
      <c r="E692" s="180">
        <f>(E623/E612)*SUM(C692:D692)</f>
        <v>17359.923089096592</v>
      </c>
      <c r="F692" s="180">
        <f>(F624/F612)*AA64</f>
        <v>1578.1641036771475</v>
      </c>
      <c r="G692" s="180">
        <f>(G625/G612)*AA77</f>
        <v>0</v>
      </c>
      <c r="H692" s="180">
        <f>(H628/H612)*AA60</f>
        <v>2553.9857380068365</v>
      </c>
      <c r="I692" s="180">
        <f>(I629/I612)*AA78</f>
        <v>11828.796830228674</v>
      </c>
      <c r="J692" s="180">
        <f>(J630/J612)*AA79</f>
        <v>0</v>
      </c>
      <c r="K692" s="180">
        <f>(K644/K612)*AA75</f>
        <v>29392.33800213577</v>
      </c>
      <c r="L692" s="180">
        <f>(L647/L612)*AA80</f>
        <v>0</v>
      </c>
      <c r="M692" s="180">
        <f t="shared" si="20"/>
        <v>76875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1031800.9200000009</v>
      </c>
      <c r="D693" s="180">
        <f>(D615/D612)*AB76</f>
        <v>37292.859540336314</v>
      </c>
      <c r="E693" s="180">
        <f>(E623/E612)*SUM(C693:D693)</f>
        <v>87375.277626476891</v>
      </c>
      <c r="F693" s="180">
        <f>(F624/F612)*AB64</f>
        <v>141448.57545230247</v>
      </c>
      <c r="G693" s="180">
        <f>(G625/G612)*AB77</f>
        <v>0</v>
      </c>
      <c r="H693" s="180">
        <f>(H628/H612)*AB60</f>
        <v>42447.407158848277</v>
      </c>
      <c r="I693" s="180">
        <f>(I629/I612)*AB78</f>
        <v>31149.891482996027</v>
      </c>
      <c r="J693" s="180">
        <f>(J630/J612)*AB79</f>
        <v>0</v>
      </c>
      <c r="K693" s="180">
        <f>(K644/K612)*AB75</f>
        <v>521779.45663933485</v>
      </c>
      <c r="L693" s="180">
        <f>(L647/L612)*AB80</f>
        <v>0</v>
      </c>
      <c r="M693" s="180">
        <f t="shared" si="20"/>
        <v>861493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1220312.19</v>
      </c>
      <c r="D694" s="180">
        <f>(D615/D612)*AC76</f>
        <v>16528.171022201812</v>
      </c>
      <c r="E694" s="180">
        <f>(E623/E612)*SUM(C694:D694)</f>
        <v>101084.9300520781</v>
      </c>
      <c r="F694" s="180">
        <f>(F624/F612)*AC64</f>
        <v>4451.301451323262</v>
      </c>
      <c r="G694" s="180">
        <f>(G625/G612)*AC77</f>
        <v>0</v>
      </c>
      <c r="H694" s="180">
        <f>(H628/H612)*AC60</f>
        <v>29331.875292351888</v>
      </c>
      <c r="I694" s="180">
        <f>(I629/I612)*AC78</f>
        <v>13805.611586237266</v>
      </c>
      <c r="J694" s="180">
        <f>(J630/J612)*AC79</f>
        <v>0</v>
      </c>
      <c r="K694" s="180">
        <f>(K644/K612)*AC75</f>
        <v>384255.43536825053</v>
      </c>
      <c r="L694" s="180">
        <f>(L647/L612)*AC80</f>
        <v>0</v>
      </c>
      <c r="M694" s="180">
        <f t="shared" si="20"/>
        <v>549457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2266310.6400000006</v>
      </c>
      <c r="D696" s="180">
        <f>(D615/D612)*AE76</f>
        <v>79748.229998242998</v>
      </c>
      <c r="E696" s="180">
        <f>(E623/E612)*SUM(C696:D696)</f>
        <v>191739.53587335502</v>
      </c>
      <c r="F696" s="180">
        <f>(F624/F612)*AE64</f>
        <v>1953.2860240227569</v>
      </c>
      <c r="G696" s="180">
        <f>(G625/G612)*AE77</f>
        <v>0</v>
      </c>
      <c r="H696" s="180">
        <f>(H628/H612)*AE60</f>
        <v>65835.129867772179</v>
      </c>
      <c r="I696" s="180">
        <f>(I629/I612)*AE78</f>
        <v>66611.912870864689</v>
      </c>
      <c r="J696" s="180">
        <f>(J630/J612)*AE79</f>
        <v>14198.08826423442</v>
      </c>
      <c r="K696" s="180">
        <f>(K644/K612)*AE75</f>
        <v>413729.14636919333</v>
      </c>
      <c r="L696" s="180">
        <f>(L647/L612)*AE80</f>
        <v>0</v>
      </c>
      <c r="M696" s="180">
        <f t="shared" si="20"/>
        <v>833815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8231015.3999999985</v>
      </c>
      <c r="D698" s="180">
        <f>(D615/D612)*AG76</f>
        <v>195815.45470022087</v>
      </c>
      <c r="E698" s="180">
        <f>(E623/E612)*SUM(C698:D698)</f>
        <v>688711.03689085913</v>
      </c>
      <c r="F698" s="180">
        <f>(F624/F612)*AG64</f>
        <v>17087.73254425513</v>
      </c>
      <c r="G698" s="180">
        <f>(G625/G612)*AG77</f>
        <v>64273.86677161487</v>
      </c>
      <c r="H698" s="180">
        <f>(H628/H612)*AG60</f>
        <v>105797.92368677387</v>
      </c>
      <c r="I698" s="180">
        <f>(I629/I612)*AG78</f>
        <v>163560.26970814576</v>
      </c>
      <c r="J698" s="180">
        <f>(J630/J612)*AG79</f>
        <v>107052.20406082475</v>
      </c>
      <c r="K698" s="180">
        <f>(K644/K612)*AG75</f>
        <v>2966002.9082177053</v>
      </c>
      <c r="L698" s="180">
        <f>(L647/L612)*AG80</f>
        <v>1162695.8019808205</v>
      </c>
      <c r="M698" s="180">
        <f t="shared" si="20"/>
        <v>5470997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23838415.740000002</v>
      </c>
      <c r="D707" s="180">
        <f>(D615/D612)*AP76</f>
        <v>906994.8390552738</v>
      </c>
      <c r="E707" s="180">
        <f>(E623/E612)*SUM(C707:D707)</f>
        <v>2022401.7394018846</v>
      </c>
      <c r="F707" s="180">
        <f>(F624/F612)*AP64</f>
        <v>49254.940478282093</v>
      </c>
      <c r="G707" s="180">
        <f>(G625/G612)*AP77</f>
        <v>0</v>
      </c>
      <c r="H707" s="180">
        <f>(H628/H612)*AP60</f>
        <v>483273.69124333386</v>
      </c>
      <c r="I707" s="180">
        <f>(I629/I612)*AP78</f>
        <v>757592.50324182666</v>
      </c>
      <c r="J707" s="180">
        <f>(J630/J612)*AP79</f>
        <v>0</v>
      </c>
      <c r="K707" s="180">
        <f>(K644/K612)*AP75</f>
        <v>1560262.4532572185</v>
      </c>
      <c r="L707" s="180">
        <f>(L647/L612)*AP80</f>
        <v>0</v>
      </c>
      <c r="M707" s="180">
        <f t="shared" si="20"/>
        <v>5779780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365405.75</v>
      </c>
      <c r="D713" s="180">
        <f>(D615/D612)*AV76</f>
        <v>5498.0217357497022</v>
      </c>
      <c r="E713" s="180">
        <f>(E623/E612)*SUM(C713:D713)</f>
        <v>30313.3557114629</v>
      </c>
      <c r="F713" s="180">
        <f>(F624/F612)*AV64</f>
        <v>303.64253655292663</v>
      </c>
      <c r="G713" s="180">
        <f>(G625/G612)*AV77</f>
        <v>0</v>
      </c>
      <c r="H713" s="180">
        <f>(H628/H612)*AV60</f>
        <v>10040.80356573819</v>
      </c>
      <c r="I713" s="180">
        <f>(I629/I612)*AV78</f>
        <v>4592.3745872723221</v>
      </c>
      <c r="J713" s="180">
        <f>(J630/J612)*AV79</f>
        <v>0</v>
      </c>
      <c r="K713" s="180">
        <f>(K644/K612)*AV75</f>
        <v>13638.736751192057</v>
      </c>
      <c r="L713" s="180">
        <f>(L647/L612)*AV80</f>
        <v>0</v>
      </c>
      <c r="M713" s="180">
        <f t="shared" si="20"/>
        <v>64387</v>
      </c>
      <c r="N713" s="199" t="s">
        <v>741</v>
      </c>
    </row>
    <row r="715" spans="1:15" ht="12.6" customHeight="1" x14ac:dyDescent="0.25">
      <c r="C715" s="180">
        <f>SUM(C614:C647)+SUM(C668:C713)</f>
        <v>97847780.659999996</v>
      </c>
      <c r="D715" s="180">
        <f>SUM(D616:D647)+SUM(D668:D713)</f>
        <v>3299966.2699999986</v>
      </c>
      <c r="E715" s="180">
        <f>SUM(E624:E647)+SUM(E668:E713)</f>
        <v>7392741.6797878947</v>
      </c>
      <c r="F715" s="180">
        <f>SUM(F625:F648)+SUM(F668:F713)</f>
        <v>699427.82535173115</v>
      </c>
      <c r="G715" s="180">
        <f>SUM(G626:G647)+SUM(G668:G713)</f>
        <v>1775462.7548795261</v>
      </c>
      <c r="H715" s="180">
        <f>SUM(H629:H647)+SUM(H668:H713)</f>
        <v>1678908.3246101812</v>
      </c>
      <c r="I715" s="180">
        <f>SUM(I630:I647)+SUM(I668:I713)</f>
        <v>2331873.7853513896</v>
      </c>
      <c r="J715" s="180">
        <f>SUM(J631:J647)+SUM(J668:J713)</f>
        <v>453032.3240448914</v>
      </c>
      <c r="K715" s="180">
        <f>SUM(K668:K713)</f>
        <v>13642419.659665404</v>
      </c>
      <c r="L715" s="180">
        <f>SUM(L668:L713)</f>
        <v>4774408.5498136887</v>
      </c>
      <c r="M715" s="180">
        <f>SUM(M668:M713)</f>
        <v>32477197</v>
      </c>
      <c r="N715" s="198" t="s">
        <v>742</v>
      </c>
    </row>
    <row r="716" spans="1:15" ht="12.6" customHeight="1" x14ac:dyDescent="0.25">
      <c r="C716" s="180">
        <f>CE71</f>
        <v>97847780.659999996</v>
      </c>
      <c r="D716" s="180">
        <f>D615</f>
        <v>3299966.2699999996</v>
      </c>
      <c r="E716" s="180">
        <f>E623</f>
        <v>7392741.6797878947</v>
      </c>
      <c r="F716" s="180">
        <f>F624</f>
        <v>699427.82535173115</v>
      </c>
      <c r="G716" s="180">
        <f>G625</f>
        <v>1775462.7548795259</v>
      </c>
      <c r="H716" s="180">
        <f>H628</f>
        <v>1678908.3246101814</v>
      </c>
      <c r="I716" s="180">
        <f>I629</f>
        <v>2331873.7853513896</v>
      </c>
      <c r="J716" s="180">
        <f>J630</f>
        <v>453032.32404489134</v>
      </c>
      <c r="K716" s="180">
        <f>K644</f>
        <v>13642419.659665406</v>
      </c>
      <c r="L716" s="180">
        <f>L647</f>
        <v>4774408.5498136887</v>
      </c>
      <c r="M716" s="180">
        <f>C648</f>
        <v>32477197.620000001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5" transitionEvaluation="1" transitionEntry="1" codeName="Sheet10">
    <pageSetUpPr autoPageBreaks="0" fitToPage="1"/>
  </sheetPr>
  <dimension ref="A1:CF816"/>
  <sheetViews>
    <sheetView showGridLines="0" topLeftCell="A55" zoomScale="75" workbookViewId="0">
      <selection activeCell="C88" sqref="C8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485665</v>
      </c>
      <c r="D47" s="184"/>
      <c r="E47" s="184">
        <v>1264561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450108</v>
      </c>
      <c r="Q47" s="184">
        <v>350396</v>
      </c>
      <c r="R47" s="184">
        <v>206085</v>
      </c>
      <c r="S47" s="184"/>
      <c r="T47" s="184"/>
      <c r="U47" s="184">
        <v>475178</v>
      </c>
      <c r="V47" s="184"/>
      <c r="W47" s="184">
        <v>55186</v>
      </c>
      <c r="X47" s="184">
        <v>110347</v>
      </c>
      <c r="Y47" s="184">
        <v>489542</v>
      </c>
      <c r="Z47" s="184"/>
      <c r="AA47" s="184">
        <v>28331</v>
      </c>
      <c r="AB47" s="184">
        <v>406806</v>
      </c>
      <c r="AC47" s="184">
        <v>247454</v>
      </c>
      <c r="AD47" s="184"/>
      <c r="AE47" s="184">
        <v>400265</v>
      </c>
      <c r="AF47" s="184"/>
      <c r="AG47" s="184">
        <v>579279</v>
      </c>
      <c r="AH47" s="184"/>
      <c r="AI47" s="184"/>
      <c r="AJ47" s="184"/>
      <c r="AK47" s="184"/>
      <c r="AL47" s="184"/>
      <c r="AM47" s="184"/>
      <c r="AN47" s="184"/>
      <c r="AO47" s="184"/>
      <c r="AP47" s="184">
        <v>3594259</v>
      </c>
      <c r="AQ47" s="184"/>
      <c r="AR47" s="184"/>
      <c r="AS47" s="184"/>
      <c r="AT47" s="184"/>
      <c r="AU47" s="184"/>
      <c r="AV47" s="184">
        <v>78870</v>
      </c>
      <c r="AW47" s="184"/>
      <c r="AX47" s="184"/>
      <c r="AY47" s="184">
        <v>298567</v>
      </c>
      <c r="AZ47" s="184"/>
      <c r="BA47" s="184">
        <v>32332</v>
      </c>
      <c r="BB47" s="184"/>
      <c r="BC47" s="184"/>
      <c r="BD47" s="184">
        <v>97486</v>
      </c>
      <c r="BE47" s="184">
        <v>262940</v>
      </c>
      <c r="BF47" s="184">
        <v>349985</v>
      </c>
      <c r="BG47" s="184"/>
      <c r="BH47" s="184">
        <v>141616</v>
      </c>
      <c r="BI47" s="184"/>
      <c r="BJ47" s="184">
        <v>130910</v>
      </c>
      <c r="BK47" s="184">
        <v>410145</v>
      </c>
      <c r="BL47" s="184">
        <v>389536</v>
      </c>
      <c r="BM47" s="184"/>
      <c r="BN47" s="184">
        <v>555727</v>
      </c>
      <c r="BO47" s="184">
        <v>50160</v>
      </c>
      <c r="BP47" s="184"/>
      <c r="BQ47" s="184"/>
      <c r="BR47" s="184">
        <v>74852</v>
      </c>
      <c r="BS47" s="184"/>
      <c r="BT47" s="184"/>
      <c r="BU47" s="184"/>
      <c r="BV47" s="184">
        <v>422125</v>
      </c>
      <c r="BW47" s="184">
        <v>44169</v>
      </c>
      <c r="BX47" s="184"/>
      <c r="BY47" s="184">
        <v>741653</v>
      </c>
      <c r="BZ47" s="184"/>
      <c r="CA47" s="184">
        <v>58108</v>
      </c>
      <c r="CB47" s="184"/>
      <c r="CC47" s="184">
        <f>177462+3</f>
        <v>177465</v>
      </c>
      <c r="CD47" s="195"/>
      <c r="CE47" s="195">
        <f>SUM(C47:CC47)</f>
        <v>13460108</v>
      </c>
    </row>
    <row r="48" spans="1:83" ht="12.6" customHeight="1" x14ac:dyDescent="0.2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826739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>
        <f>826739-174364</f>
        <v>652375</v>
      </c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652375</v>
      </c>
    </row>
    <row r="52" spans="1:84" ht="12.6" customHeight="1" x14ac:dyDescent="0.25">
      <c r="A52" s="171" t="s">
        <v>208</v>
      </c>
      <c r="B52" s="184">
        <f>6663533-B51</f>
        <v>5836794</v>
      </c>
      <c r="C52" s="195">
        <f>ROUND((B52/(CE77+CF77)*C77),0)</f>
        <v>203212</v>
      </c>
      <c r="D52" s="195">
        <f>ROUND((B52/(CE77+CF77)*D77),0)</f>
        <v>0</v>
      </c>
      <c r="E52" s="195">
        <f>ROUND((B52/(CE77+CF77)*E77),0)</f>
        <v>600265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15028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30394</v>
      </c>
      <c r="P52" s="195">
        <f>ROUND((B52/(CE77+CF77)*P77),0)</f>
        <v>204689</v>
      </c>
      <c r="Q52" s="195">
        <f>ROUND((B52/(CE77+CF77)*Q77),0)</f>
        <v>225944</v>
      </c>
      <c r="R52" s="195">
        <f>ROUND((B52/(CE77+CF77)*R77),0)</f>
        <v>9715</v>
      </c>
      <c r="S52" s="195">
        <f>ROUND((B52/(CE77+CF77)*S77),0)</f>
        <v>92607</v>
      </c>
      <c r="T52" s="195">
        <f>ROUND((B52/(CE77+CF77)*T77),0)</f>
        <v>0</v>
      </c>
      <c r="U52" s="195">
        <f>ROUND((B52/(CE77+CF77)*U77),0)</f>
        <v>129482</v>
      </c>
      <c r="V52" s="195">
        <f>ROUND((B52/(CE77+CF77)*V77),0)</f>
        <v>0</v>
      </c>
      <c r="W52" s="195">
        <f>ROUND((B52/(CE77+CF77)*W77),0)</f>
        <v>66639</v>
      </c>
      <c r="X52" s="195">
        <f>ROUND((B52/(CE77+CF77)*X77),0)</f>
        <v>24682</v>
      </c>
      <c r="Y52" s="195">
        <f>ROUND((B52/(CE77+CF77)*Y77),0)</f>
        <v>166158</v>
      </c>
      <c r="Z52" s="195">
        <f>ROUND((B52/(CE77+CF77)*Z77),0)</f>
        <v>0</v>
      </c>
      <c r="AA52" s="195">
        <f>ROUND((B52/(CE77+CF77)*AA77),0)</f>
        <v>21517</v>
      </c>
      <c r="AB52" s="195">
        <f>ROUND((B52/(CE77+CF77)*AB77),0)</f>
        <v>56662</v>
      </c>
      <c r="AC52" s="195">
        <f>ROUND((B52/(CE77+CF77)*AC77),0)</f>
        <v>25113</v>
      </c>
      <c r="AD52" s="195">
        <f>ROUND((B52/(CE77+CF77)*AD77),0)</f>
        <v>0</v>
      </c>
      <c r="AE52" s="195">
        <f>ROUND((B52/(CE77+CF77)*AE77),0)</f>
        <v>121168</v>
      </c>
      <c r="AF52" s="195">
        <f>ROUND((B52/(CE77+CF77)*AF77),0)</f>
        <v>0</v>
      </c>
      <c r="AG52" s="195">
        <f>ROUND((B52/(CE77+CF77)*AG77),0)</f>
        <v>297518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1379467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8354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157127</v>
      </c>
      <c r="AZ52" s="195">
        <f>ROUND((B52/(CE77+CF77)*AZ77),0)</f>
        <v>0</v>
      </c>
      <c r="BA52" s="195">
        <f>ROUND((B52/(CE77+CF77)*BA77),0)</f>
        <v>45543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106073</v>
      </c>
      <c r="BE52" s="195">
        <f>ROUND((B52/(CE77+CF77)*BE77),0)</f>
        <v>772341</v>
      </c>
      <c r="BF52" s="195">
        <f>ROUND((B52/(CE77+CF77)*BF77),0)</f>
        <v>66387</v>
      </c>
      <c r="BG52" s="195">
        <f>ROUND((B52/(CE77+CF77)*BG77),0)</f>
        <v>0</v>
      </c>
      <c r="BH52" s="195">
        <f>ROUND((B52/(CE77+CF77)*BH77),0)</f>
        <v>101483</v>
      </c>
      <c r="BI52" s="195">
        <f>ROUND((B52/(CE77+CF77)*BI77),0)</f>
        <v>0</v>
      </c>
      <c r="BJ52" s="195">
        <f>ROUND((B52/(CE77+CF77)*BJ77),0)</f>
        <v>95820</v>
      </c>
      <c r="BK52" s="195">
        <f>ROUND((B52/(CE77+CF77)*BK77),0)</f>
        <v>85362</v>
      </c>
      <c r="BL52" s="195">
        <f>ROUND((B52/(CE77+CF77)*BL77),0)</f>
        <v>67356</v>
      </c>
      <c r="BM52" s="195">
        <f>ROUND((B52/(CE77+CF77)*BM77),0)</f>
        <v>0</v>
      </c>
      <c r="BN52" s="195">
        <f>ROUND((B52/(CE77+CF77)*BN77),0)</f>
        <v>139770</v>
      </c>
      <c r="BO52" s="195">
        <f>ROUND((B52/(CE77+CF77)*BO77),0)</f>
        <v>9955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59145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131160</v>
      </c>
      <c r="BW52" s="195">
        <f>ROUND((B52/(CE77+CF77)*BW77),0)</f>
        <v>31857</v>
      </c>
      <c r="BX52" s="195">
        <f>ROUND((B52/(CE77+CF77)*BX77),0)</f>
        <v>0</v>
      </c>
      <c r="BY52" s="195">
        <f>ROUND((B52/(CE77+CF77)*BY77),0)</f>
        <v>75715</v>
      </c>
      <c r="BZ52" s="195">
        <f>ROUND((B52/(CE77+CF77)*BZ77),0)</f>
        <v>0</v>
      </c>
      <c r="CA52" s="195">
        <f>ROUND((B52/(CE77+CF77)*CA77),0)</f>
        <v>32653</v>
      </c>
      <c r="CB52" s="195">
        <f>ROUND((B52/(CE77+CF77)*CB77),0)</f>
        <v>0</v>
      </c>
      <c r="CC52" s="195">
        <f>ROUND((B52/(CE77+CF77)*CC77),0)</f>
        <v>180435</v>
      </c>
      <c r="CD52" s="195"/>
      <c r="CE52" s="195">
        <f>SUM(C52:CD52)</f>
        <v>5836796</v>
      </c>
    </row>
    <row r="53" spans="1:84" ht="12.6" customHeight="1" x14ac:dyDescent="0.25">
      <c r="A53" s="175" t="s">
        <v>206</v>
      </c>
      <c r="B53" s="195">
        <f>B51+B52</f>
        <v>6663533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899</v>
      </c>
      <c r="D59" s="184"/>
      <c r="E59" s="184">
        <f>2709+582</f>
        <v>3291</v>
      </c>
      <c r="F59" s="184"/>
      <c r="G59" s="184"/>
      <c r="H59" s="184"/>
      <c r="I59" s="184"/>
      <c r="J59" s="184">
        <v>582</v>
      </c>
      <c r="K59" s="184"/>
      <c r="L59" s="184"/>
      <c r="M59" s="184"/>
      <c r="N59" s="184"/>
      <c r="O59" s="184">
        <v>747</v>
      </c>
      <c r="P59" s="185">
        <v>109409</v>
      </c>
      <c r="Q59" s="185">
        <v>117610</v>
      </c>
      <c r="R59" s="185">
        <v>109409</v>
      </c>
      <c r="S59" s="251"/>
      <c r="T59" s="251"/>
      <c r="U59" s="224">
        <v>204576</v>
      </c>
      <c r="V59" s="185"/>
      <c r="W59" s="185">
        <v>1833</v>
      </c>
      <c r="X59" s="185">
        <v>26503</v>
      </c>
      <c r="Y59" s="185">
        <v>36371</v>
      </c>
      <c r="Z59" s="185"/>
      <c r="AA59" s="185"/>
      <c r="AB59" s="251"/>
      <c r="AC59" s="185">
        <v>6206</v>
      </c>
      <c r="AD59" s="185"/>
      <c r="AE59" s="185">
        <v>22498</v>
      </c>
      <c r="AF59" s="185"/>
      <c r="AG59" s="185">
        <v>19855</v>
      </c>
      <c r="AH59" s="185"/>
      <c r="AI59" s="185"/>
      <c r="AJ59" s="185"/>
      <c r="AK59" s="185"/>
      <c r="AL59" s="185"/>
      <c r="AM59" s="185"/>
      <c r="AN59" s="185"/>
      <c r="AO59" s="185"/>
      <c r="AP59" s="185">
        <v>85586</v>
      </c>
      <c r="AQ59" s="185"/>
      <c r="AR59" s="185"/>
      <c r="AS59" s="185"/>
      <c r="AT59" s="185"/>
      <c r="AU59" s="185"/>
      <c r="AV59" s="251"/>
      <c r="AW59" s="251"/>
      <c r="AX59" s="251"/>
      <c r="AY59" s="185">
        <v>28442</v>
      </c>
      <c r="AZ59" s="185"/>
      <c r="BA59" s="251"/>
      <c r="BB59" s="251"/>
      <c r="BC59" s="251"/>
      <c r="BD59" s="251"/>
      <c r="BE59" s="185">
        <f>121662+3069.5+242+238.2+316.3+637+144+2884.8+1046+1066.1+3373.6+1650+40+1317+112+886+1539+1347+2734+2734+2038+4297+3686+6393.4+1642+2734.5+254.5+17668.6+1475+1157-1408</f>
        <v>186976.5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18.5</v>
      </c>
      <c r="D60" s="187"/>
      <c r="E60" s="187">
        <f>29.27+16.28+3.48</f>
        <v>49.029999999999994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f>14.19+1.98+1.97+1.27</f>
        <v>19.409999999999997</v>
      </c>
      <c r="Q60" s="221">
        <v>13.47</v>
      </c>
      <c r="R60" s="221">
        <v>5.2</v>
      </c>
      <c r="S60" s="221"/>
      <c r="T60" s="221"/>
      <c r="U60" s="221">
        <f>26.11</f>
        <v>26.11</v>
      </c>
      <c r="V60" s="221"/>
      <c r="W60" s="221">
        <v>1.61</v>
      </c>
      <c r="X60" s="221">
        <v>4.0199999999999996</v>
      </c>
      <c r="Y60" s="221">
        <f>16.1+5.27</f>
        <v>21.37</v>
      </c>
      <c r="Z60" s="221"/>
      <c r="AA60" s="221">
        <v>1.01</v>
      </c>
      <c r="AB60" s="221">
        <f>11.54+2.7</f>
        <v>14.239999999999998</v>
      </c>
      <c r="AC60" s="221">
        <v>8.99</v>
      </c>
      <c r="AD60" s="221"/>
      <c r="AE60" s="221">
        <v>20.170000000000002</v>
      </c>
      <c r="AF60" s="221"/>
      <c r="AG60" s="221">
        <v>28.26</v>
      </c>
      <c r="AH60" s="221"/>
      <c r="AI60" s="221"/>
      <c r="AJ60" s="221"/>
      <c r="AK60" s="221"/>
      <c r="AL60" s="221"/>
      <c r="AM60" s="221"/>
      <c r="AN60" s="221"/>
      <c r="AO60" s="221"/>
      <c r="AP60" s="221">
        <f>12.82+6.4+4.33+6.92+48.12+12.24+6.45+7.19+36.39+5.44</f>
        <v>146.30000000000001</v>
      </c>
      <c r="AQ60" s="221"/>
      <c r="AR60" s="221"/>
      <c r="AS60" s="221"/>
      <c r="AT60" s="221"/>
      <c r="AU60" s="221"/>
      <c r="AV60" s="221">
        <f>3.16</f>
        <v>3.16</v>
      </c>
      <c r="AW60" s="221"/>
      <c r="AX60" s="221"/>
      <c r="AY60" s="221">
        <v>16.55</v>
      </c>
      <c r="AZ60" s="221"/>
      <c r="BA60" s="221">
        <v>1.49</v>
      </c>
      <c r="BB60" s="221"/>
      <c r="BC60" s="221"/>
      <c r="BD60" s="221">
        <f>5.7</f>
        <v>5.7</v>
      </c>
      <c r="BE60" s="221">
        <v>11.54</v>
      </c>
      <c r="BF60" s="221">
        <v>23.93</v>
      </c>
      <c r="BG60" s="221"/>
      <c r="BH60" s="221">
        <f>5.79</f>
        <v>5.79</v>
      </c>
      <c r="BI60" s="221"/>
      <c r="BJ60" s="221">
        <v>6.41</v>
      </c>
      <c r="BK60" s="221">
        <v>21.86</v>
      </c>
      <c r="BL60" s="221">
        <v>22.97</v>
      </c>
      <c r="BM60" s="221"/>
      <c r="BN60" s="221">
        <f>12.13</f>
        <v>12.13</v>
      </c>
      <c r="BO60" s="221">
        <v>2.0099999999999998</v>
      </c>
      <c r="BP60" s="221"/>
      <c r="BQ60" s="221"/>
      <c r="BR60" s="221">
        <f>3.67+0.59</f>
        <v>4.26</v>
      </c>
      <c r="BS60" s="221"/>
      <c r="BT60" s="221"/>
      <c r="BU60" s="221"/>
      <c r="BV60" s="221">
        <v>20.78</v>
      </c>
      <c r="BW60" s="221">
        <v>2</v>
      </c>
      <c r="BX60" s="221"/>
      <c r="BY60" s="221">
        <f>6.85+10.22+0.08+10.41</f>
        <v>27.56</v>
      </c>
      <c r="BZ60" s="221"/>
      <c r="CA60" s="221">
        <f>2.23</f>
        <v>2.23</v>
      </c>
      <c r="CB60" s="221"/>
      <c r="CC60" s="221">
        <f>1+2.66+1.43+2.81+1.83</f>
        <v>9.73</v>
      </c>
      <c r="CD60" s="252" t="s">
        <v>221</v>
      </c>
      <c r="CE60" s="254">
        <f t="shared" ref="CE60:CE71" si="0">SUM(C60:CD60)</f>
        <v>577.79000000000008</v>
      </c>
    </row>
    <row r="61" spans="1:84" ht="12.6" customHeight="1" x14ac:dyDescent="0.25">
      <c r="A61" s="171" t="s">
        <v>235</v>
      </c>
      <c r="B61" s="175"/>
      <c r="C61" s="184">
        <v>1824438</v>
      </c>
      <c r="D61" s="184"/>
      <c r="E61" s="184">
        <v>4887238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0</v>
      </c>
      <c r="P61" s="185">
        <v>1404480</v>
      </c>
      <c r="Q61" s="185">
        <v>1158389</v>
      </c>
      <c r="R61" s="185">
        <v>916014</v>
      </c>
      <c r="S61" s="185"/>
      <c r="T61" s="185"/>
      <c r="U61" s="185">
        <v>1693842</v>
      </c>
      <c r="V61" s="185"/>
      <c r="W61" s="185">
        <v>162160</v>
      </c>
      <c r="X61" s="185">
        <v>405120</v>
      </c>
      <c r="Y61" s="185">
        <f>1745932</f>
        <v>1745932</v>
      </c>
      <c r="Z61" s="185"/>
      <c r="AA61" s="185">
        <v>101250</v>
      </c>
      <c r="AB61" s="185">
        <v>1468528</v>
      </c>
      <c r="AC61" s="185">
        <v>779345</v>
      </c>
      <c r="AD61" s="185"/>
      <c r="AE61" s="185">
        <v>1552220</v>
      </c>
      <c r="AF61" s="185"/>
      <c r="AG61" s="185">
        <v>2462978</v>
      </c>
      <c r="AH61" s="185"/>
      <c r="AI61" s="185"/>
      <c r="AJ61" s="185"/>
      <c r="AK61" s="185"/>
      <c r="AL61" s="185"/>
      <c r="AM61" s="185"/>
      <c r="AN61" s="185"/>
      <c r="AO61" s="185"/>
      <c r="AP61" s="185">
        <v>14403966</v>
      </c>
      <c r="AQ61" s="185"/>
      <c r="AR61" s="185"/>
      <c r="AS61" s="185"/>
      <c r="AT61" s="185"/>
      <c r="AU61" s="185"/>
      <c r="AV61" s="185">
        <v>261978</v>
      </c>
      <c r="AW61" s="185"/>
      <c r="AX61" s="185"/>
      <c r="AY61" s="185">
        <v>697896</v>
      </c>
      <c r="AZ61" s="185"/>
      <c r="BA61" s="185">
        <v>55745</v>
      </c>
      <c r="BB61" s="185"/>
      <c r="BC61" s="185"/>
      <c r="BD61" s="185">
        <v>311381</v>
      </c>
      <c r="BE61" s="185">
        <v>834715</v>
      </c>
      <c r="BF61" s="185">
        <v>966825</v>
      </c>
      <c r="BG61" s="185"/>
      <c r="BH61" s="185">
        <v>462384</v>
      </c>
      <c r="BI61" s="185"/>
      <c r="BJ61" s="185">
        <v>458662</v>
      </c>
      <c r="BK61" s="185">
        <v>1143042</v>
      </c>
      <c r="BL61" s="185">
        <v>1020513</v>
      </c>
      <c r="BM61" s="185"/>
      <c r="BN61" s="185">
        <v>2487265</v>
      </c>
      <c r="BO61" s="185">
        <v>152431</v>
      </c>
      <c r="BP61" s="185"/>
      <c r="BQ61" s="185"/>
      <c r="BR61" s="185">
        <v>317860</v>
      </c>
      <c r="BS61" s="185"/>
      <c r="BT61" s="185"/>
      <c r="BU61" s="185"/>
      <c r="BV61" s="185">
        <v>1116065</v>
      </c>
      <c r="BW61" s="185">
        <v>141222</v>
      </c>
      <c r="BX61" s="185"/>
      <c r="BY61" s="185">
        <v>2633851</v>
      </c>
      <c r="BZ61" s="185"/>
      <c r="CA61" s="185">
        <v>199041</v>
      </c>
      <c r="CB61" s="185"/>
      <c r="CC61" s="185">
        <f>571020-3</f>
        <v>571017</v>
      </c>
      <c r="CD61" s="252" t="s">
        <v>221</v>
      </c>
      <c r="CE61" s="195">
        <f t="shared" si="0"/>
        <v>48797793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485665</v>
      </c>
      <c r="D62" s="195">
        <f t="shared" si="1"/>
        <v>0</v>
      </c>
      <c r="E62" s="195">
        <f t="shared" si="1"/>
        <v>1264561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450108</v>
      </c>
      <c r="Q62" s="195">
        <f t="shared" si="1"/>
        <v>350396</v>
      </c>
      <c r="R62" s="195">
        <f t="shared" si="1"/>
        <v>206085</v>
      </c>
      <c r="S62" s="195">
        <f t="shared" si="1"/>
        <v>0</v>
      </c>
      <c r="T62" s="195">
        <f t="shared" si="1"/>
        <v>0</v>
      </c>
      <c r="U62" s="195">
        <f t="shared" si="1"/>
        <v>475178</v>
      </c>
      <c r="V62" s="195">
        <f t="shared" si="1"/>
        <v>0</v>
      </c>
      <c r="W62" s="195">
        <f t="shared" si="1"/>
        <v>55186</v>
      </c>
      <c r="X62" s="195">
        <f t="shared" si="1"/>
        <v>110347</v>
      </c>
      <c r="Y62" s="195">
        <f t="shared" si="1"/>
        <v>489542</v>
      </c>
      <c r="Z62" s="195">
        <f t="shared" si="1"/>
        <v>0</v>
      </c>
      <c r="AA62" s="195">
        <f t="shared" si="1"/>
        <v>28331</v>
      </c>
      <c r="AB62" s="195">
        <f t="shared" si="1"/>
        <v>406806</v>
      </c>
      <c r="AC62" s="195">
        <f t="shared" si="1"/>
        <v>247454</v>
      </c>
      <c r="AD62" s="195">
        <f t="shared" si="1"/>
        <v>0</v>
      </c>
      <c r="AE62" s="195">
        <f t="shared" si="1"/>
        <v>400265</v>
      </c>
      <c r="AF62" s="195">
        <f t="shared" si="1"/>
        <v>0</v>
      </c>
      <c r="AG62" s="195">
        <f t="shared" si="1"/>
        <v>579279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3594259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78870</v>
      </c>
      <c r="AW62" s="195">
        <f t="shared" si="1"/>
        <v>0</v>
      </c>
      <c r="AX62" s="195">
        <f t="shared" si="1"/>
        <v>0</v>
      </c>
      <c r="AY62" s="195">
        <f>ROUND(AY47+AY48,0)</f>
        <v>298567</v>
      </c>
      <c r="AZ62" s="195">
        <f>ROUND(AZ47+AZ48,0)</f>
        <v>0</v>
      </c>
      <c r="BA62" s="195">
        <f>ROUND(BA47+BA48,0)</f>
        <v>32332</v>
      </c>
      <c r="BB62" s="195">
        <f t="shared" si="1"/>
        <v>0</v>
      </c>
      <c r="BC62" s="195">
        <f t="shared" si="1"/>
        <v>0</v>
      </c>
      <c r="BD62" s="195">
        <f t="shared" si="1"/>
        <v>97486</v>
      </c>
      <c r="BE62" s="195">
        <f t="shared" si="1"/>
        <v>262940</v>
      </c>
      <c r="BF62" s="195">
        <f t="shared" si="1"/>
        <v>349985</v>
      </c>
      <c r="BG62" s="195">
        <f t="shared" si="1"/>
        <v>0</v>
      </c>
      <c r="BH62" s="195">
        <f t="shared" si="1"/>
        <v>141616</v>
      </c>
      <c r="BI62" s="195">
        <f t="shared" si="1"/>
        <v>0</v>
      </c>
      <c r="BJ62" s="195">
        <f t="shared" si="1"/>
        <v>130910</v>
      </c>
      <c r="BK62" s="195">
        <f t="shared" si="1"/>
        <v>410145</v>
      </c>
      <c r="BL62" s="195">
        <f t="shared" si="1"/>
        <v>389536</v>
      </c>
      <c r="BM62" s="195">
        <f t="shared" si="1"/>
        <v>0</v>
      </c>
      <c r="BN62" s="195">
        <f t="shared" si="1"/>
        <v>555727</v>
      </c>
      <c r="BO62" s="195">
        <f t="shared" ref="BO62:CC62" si="2">ROUND(BO47+BO48,0)</f>
        <v>50160</v>
      </c>
      <c r="BP62" s="195">
        <f t="shared" si="2"/>
        <v>0</v>
      </c>
      <c r="BQ62" s="195">
        <f t="shared" si="2"/>
        <v>0</v>
      </c>
      <c r="BR62" s="195">
        <f t="shared" si="2"/>
        <v>74852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422125</v>
      </c>
      <c r="BW62" s="195">
        <f t="shared" si="2"/>
        <v>44169</v>
      </c>
      <c r="BX62" s="195">
        <f t="shared" si="2"/>
        <v>0</v>
      </c>
      <c r="BY62" s="195">
        <f t="shared" si="2"/>
        <v>741653</v>
      </c>
      <c r="BZ62" s="195">
        <f t="shared" si="2"/>
        <v>0</v>
      </c>
      <c r="CA62" s="195">
        <f t="shared" si="2"/>
        <v>58108</v>
      </c>
      <c r="CB62" s="195">
        <f t="shared" si="2"/>
        <v>0</v>
      </c>
      <c r="CC62" s="195">
        <f t="shared" si="2"/>
        <v>177465</v>
      </c>
      <c r="CD62" s="252" t="s">
        <v>221</v>
      </c>
      <c r="CE62" s="195">
        <f t="shared" si="0"/>
        <v>13460108</v>
      </c>
      <c r="CF62" s="255"/>
    </row>
    <row r="63" spans="1:84" ht="12.6" customHeight="1" x14ac:dyDescent="0.25">
      <c r="A63" s="171" t="s">
        <v>236</v>
      </c>
      <c r="B63" s="175"/>
      <c r="C63" s="184">
        <v>101915</v>
      </c>
      <c r="D63" s="184"/>
      <c r="E63" s="184">
        <v>100097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31429</v>
      </c>
      <c r="Q63" s="185"/>
      <c r="R63" s="185">
        <v>1040</v>
      </c>
      <c r="S63" s="185"/>
      <c r="T63" s="185"/>
      <c r="U63" s="185">
        <v>8145</v>
      </c>
      <c r="V63" s="185"/>
      <c r="W63" s="185">
        <v>0</v>
      </c>
      <c r="X63" s="185">
        <v>0</v>
      </c>
      <c r="Y63" s="185"/>
      <c r="Z63" s="185"/>
      <c r="AA63" s="185">
        <v>0</v>
      </c>
      <c r="AB63" s="185">
        <v>0</v>
      </c>
      <c r="AC63" s="185">
        <v>0</v>
      </c>
      <c r="AD63" s="185"/>
      <c r="AE63" s="185">
        <v>65392</v>
      </c>
      <c r="AF63" s="185"/>
      <c r="AG63" s="185">
        <v>2761051</v>
      </c>
      <c r="AH63" s="185"/>
      <c r="AI63" s="185"/>
      <c r="AJ63" s="185"/>
      <c r="AK63" s="185"/>
      <c r="AL63" s="185"/>
      <c r="AM63" s="185"/>
      <c r="AN63" s="185"/>
      <c r="AO63" s="185"/>
      <c r="AP63" s="185">
        <v>1059947</v>
      </c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0</v>
      </c>
      <c r="BE63" s="185">
        <v>0</v>
      </c>
      <c r="BF63" s="185">
        <v>0</v>
      </c>
      <c r="BG63" s="185"/>
      <c r="BH63" s="185">
        <v>0</v>
      </c>
      <c r="BI63" s="185"/>
      <c r="BJ63" s="185">
        <v>0</v>
      </c>
      <c r="BK63" s="185">
        <v>189</v>
      </c>
      <c r="BL63" s="185">
        <v>0</v>
      </c>
      <c r="BM63" s="185"/>
      <c r="BN63" s="185">
        <v>164800</v>
      </c>
      <c r="BO63" s="185">
        <v>0</v>
      </c>
      <c r="BP63" s="185">
        <v>0</v>
      </c>
      <c r="BQ63" s="185"/>
      <c r="BR63" s="185">
        <v>0</v>
      </c>
      <c r="BS63" s="185"/>
      <c r="BT63" s="185"/>
      <c r="BU63" s="185"/>
      <c r="BV63" s="185">
        <v>0</v>
      </c>
      <c r="BW63" s="185">
        <v>6800</v>
      </c>
      <c r="BX63" s="185"/>
      <c r="BY63" s="185"/>
      <c r="BZ63" s="185"/>
      <c r="CA63" s="185">
        <v>0</v>
      </c>
      <c r="CB63" s="185"/>
      <c r="CC63" s="185"/>
      <c r="CD63" s="252" t="s">
        <v>221</v>
      </c>
      <c r="CE63" s="195">
        <f t="shared" si="0"/>
        <v>4300805</v>
      </c>
      <c r="CF63" s="255"/>
    </row>
    <row r="64" spans="1:84" ht="12.6" customHeight="1" x14ac:dyDescent="0.25">
      <c r="A64" s="171" t="s">
        <v>237</v>
      </c>
      <c r="B64" s="175"/>
      <c r="C64" s="184">
        <v>147711</v>
      </c>
      <c r="D64" s="184"/>
      <c r="E64" s="184">
        <v>138744</v>
      </c>
      <c r="F64" s="185"/>
      <c r="G64" s="184"/>
      <c r="H64" s="184"/>
      <c r="I64" s="185"/>
      <c r="J64" s="185">
        <v>24966</v>
      </c>
      <c r="K64" s="185"/>
      <c r="L64" s="185"/>
      <c r="M64" s="184"/>
      <c r="N64" s="184"/>
      <c r="O64" s="184">
        <v>57725</v>
      </c>
      <c r="P64" s="185">
        <v>655273</v>
      </c>
      <c r="Q64" s="185">
        <v>90810</v>
      </c>
      <c r="R64" s="185">
        <v>62908</v>
      </c>
      <c r="S64" s="185">
        <v>3620942</v>
      </c>
      <c r="T64" s="185"/>
      <c r="U64" s="185">
        <v>1467300</v>
      </c>
      <c r="V64" s="185"/>
      <c r="W64" s="185">
        <v>14363</v>
      </c>
      <c r="X64" s="185">
        <v>96402</v>
      </c>
      <c r="Y64" s="185">
        <v>110464</v>
      </c>
      <c r="Z64" s="185"/>
      <c r="AA64" s="185">
        <v>31128</v>
      </c>
      <c r="AB64" s="185">
        <v>2431817</v>
      </c>
      <c r="AC64" s="185">
        <v>48081</v>
      </c>
      <c r="AD64" s="185"/>
      <c r="AE64" s="185">
        <v>36510</v>
      </c>
      <c r="AF64" s="185"/>
      <c r="AG64" s="185">
        <v>272309</v>
      </c>
      <c r="AH64" s="185"/>
      <c r="AI64" s="185"/>
      <c r="AJ64" s="185"/>
      <c r="AK64" s="185"/>
      <c r="AL64" s="185"/>
      <c r="AM64" s="185"/>
      <c r="AN64" s="185"/>
      <c r="AO64" s="185"/>
      <c r="AP64" s="185">
        <v>845062</v>
      </c>
      <c r="AQ64" s="185"/>
      <c r="AR64" s="185"/>
      <c r="AS64" s="185"/>
      <c r="AT64" s="185"/>
      <c r="AU64" s="185"/>
      <c r="AV64" s="185">
        <v>4111</v>
      </c>
      <c r="AW64" s="185"/>
      <c r="AX64" s="185"/>
      <c r="AY64" s="185">
        <v>719900</v>
      </c>
      <c r="AZ64" s="185"/>
      <c r="BA64" s="185">
        <v>60812</v>
      </c>
      <c r="BB64" s="185"/>
      <c r="BC64" s="185"/>
      <c r="BD64" s="185">
        <v>30565</v>
      </c>
      <c r="BE64" s="185">
        <v>90554</v>
      </c>
      <c r="BF64" s="185">
        <v>149365</v>
      </c>
      <c r="BG64" s="185"/>
      <c r="BH64" s="185">
        <v>432304</v>
      </c>
      <c r="BI64" s="185"/>
      <c r="BJ64" s="185">
        <v>5251</v>
      </c>
      <c r="BK64" s="185">
        <v>9834</v>
      </c>
      <c r="BL64" s="185">
        <v>15461</v>
      </c>
      <c r="BM64" s="185"/>
      <c r="BN64" s="185">
        <v>68760</v>
      </c>
      <c r="BO64" s="185">
        <v>14958</v>
      </c>
      <c r="BP64" s="185">
        <v>1932</v>
      </c>
      <c r="BQ64" s="185"/>
      <c r="BR64" s="185">
        <v>33661</v>
      </c>
      <c r="BS64" s="185"/>
      <c r="BT64" s="185"/>
      <c r="BU64" s="185"/>
      <c r="BV64" s="185">
        <v>11894</v>
      </c>
      <c r="BW64" s="185">
        <v>5139</v>
      </c>
      <c r="BX64" s="185"/>
      <c r="BY64" s="185">
        <v>8887</v>
      </c>
      <c r="BZ64" s="185"/>
      <c r="CA64" s="185">
        <v>5996</v>
      </c>
      <c r="CB64" s="185"/>
      <c r="CC64" s="185">
        <f>32230+1167</f>
        <v>33397</v>
      </c>
      <c r="CD64" s="252" t="s">
        <v>221</v>
      </c>
      <c r="CE64" s="195">
        <f t="shared" si="0"/>
        <v>11855296</v>
      </c>
      <c r="CF64" s="255"/>
    </row>
    <row r="65" spans="1:84" ht="12.6" customHeight="1" x14ac:dyDescent="0.25">
      <c r="A65" s="171" t="s">
        <v>238</v>
      </c>
      <c r="B65" s="175"/>
      <c r="C65" s="184">
        <v>1852</v>
      </c>
      <c r="D65" s="184"/>
      <c r="E65" s="184">
        <v>1389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0</v>
      </c>
      <c r="P65" s="185"/>
      <c r="Q65" s="185">
        <v>0</v>
      </c>
      <c r="R65" s="185">
        <v>0</v>
      </c>
      <c r="S65" s="185"/>
      <c r="T65" s="185"/>
      <c r="U65" s="185">
        <v>970</v>
      </c>
      <c r="V65" s="185"/>
      <c r="W65" s="185">
        <v>0</v>
      </c>
      <c r="X65" s="185">
        <v>0</v>
      </c>
      <c r="Y65" s="185">
        <v>695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/>
      <c r="AJ65" s="185"/>
      <c r="AK65" s="185"/>
      <c r="AL65" s="185"/>
      <c r="AM65" s="185"/>
      <c r="AN65" s="185"/>
      <c r="AO65" s="185"/>
      <c r="AP65" s="185">
        <v>54649</v>
      </c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1352</v>
      </c>
      <c r="BE65" s="185">
        <v>649624</v>
      </c>
      <c r="BF65" s="185">
        <v>122094</v>
      </c>
      <c r="BG65" s="185"/>
      <c r="BH65" s="185">
        <v>177769</v>
      </c>
      <c r="BI65" s="185"/>
      <c r="BJ65" s="185">
        <v>0</v>
      </c>
      <c r="BK65" s="185">
        <v>0</v>
      </c>
      <c r="BL65" s="185">
        <v>0</v>
      </c>
      <c r="BM65" s="185"/>
      <c r="BN65" s="185">
        <v>1871</v>
      </c>
      <c r="BO65" s="185">
        <v>1356</v>
      </c>
      <c r="BP65" s="185">
        <v>0</v>
      </c>
      <c r="BQ65" s="185"/>
      <c r="BR65" s="185">
        <v>0</v>
      </c>
      <c r="BS65" s="185"/>
      <c r="BT65" s="185"/>
      <c r="BU65" s="185"/>
      <c r="BV65" s="185">
        <v>4597</v>
      </c>
      <c r="BW65" s="185">
        <v>0</v>
      </c>
      <c r="BX65" s="185"/>
      <c r="BY65" s="185">
        <v>10966</v>
      </c>
      <c r="BZ65" s="185"/>
      <c r="CA65" s="185">
        <v>696</v>
      </c>
      <c r="CB65" s="185"/>
      <c r="CC65" s="185">
        <v>4090</v>
      </c>
      <c r="CD65" s="252" t="s">
        <v>221</v>
      </c>
      <c r="CE65" s="195">
        <f t="shared" si="0"/>
        <v>1033970</v>
      </c>
      <c r="CF65" s="255"/>
    </row>
    <row r="66" spans="1:84" ht="12.6" customHeight="1" x14ac:dyDescent="0.25">
      <c r="A66" s="171" t="s">
        <v>239</v>
      </c>
      <c r="B66" s="175"/>
      <c r="C66" s="184">
        <v>8557</v>
      </c>
      <c r="D66" s="184"/>
      <c r="E66" s="184">
        <v>427347</v>
      </c>
      <c r="F66" s="184"/>
      <c r="G66" s="184"/>
      <c r="H66" s="184"/>
      <c r="I66" s="184"/>
      <c r="J66" s="184">
        <v>3506</v>
      </c>
      <c r="K66" s="185"/>
      <c r="L66" s="185"/>
      <c r="M66" s="184"/>
      <c r="N66" s="184"/>
      <c r="O66" s="185">
        <v>19404</v>
      </c>
      <c r="P66" s="185">
        <v>182002</v>
      </c>
      <c r="Q66" s="185">
        <v>4675</v>
      </c>
      <c r="R66" s="185">
        <v>62643</v>
      </c>
      <c r="S66" s="184">
        <v>0</v>
      </c>
      <c r="T66" s="184"/>
      <c r="U66" s="185">
        <v>831247</v>
      </c>
      <c r="V66" s="185"/>
      <c r="W66" s="185">
        <v>148629</v>
      </c>
      <c r="X66" s="185">
        <v>138183</v>
      </c>
      <c r="Y66" s="185">
        <v>543080</v>
      </c>
      <c r="Z66" s="185"/>
      <c r="AA66" s="185">
        <v>25486</v>
      </c>
      <c r="AB66" s="185">
        <v>318226</v>
      </c>
      <c r="AC66" s="185">
        <v>29083</v>
      </c>
      <c r="AD66" s="185"/>
      <c r="AE66" s="185">
        <v>19158</v>
      </c>
      <c r="AF66" s="185"/>
      <c r="AG66" s="185">
        <v>21468</v>
      </c>
      <c r="AH66" s="185"/>
      <c r="AI66" s="185"/>
      <c r="AJ66" s="185"/>
      <c r="AK66" s="185"/>
      <c r="AL66" s="185"/>
      <c r="AM66" s="185"/>
      <c r="AN66" s="185"/>
      <c r="AO66" s="185"/>
      <c r="AP66" s="185">
        <v>274110</v>
      </c>
      <c r="AQ66" s="185"/>
      <c r="AR66" s="185"/>
      <c r="AS66" s="185"/>
      <c r="AT66" s="185"/>
      <c r="AU66" s="185"/>
      <c r="AV66" s="185">
        <v>4153</v>
      </c>
      <c r="AW66" s="185"/>
      <c r="AX66" s="185"/>
      <c r="AY66" s="185">
        <v>15983</v>
      </c>
      <c r="AZ66" s="185"/>
      <c r="BA66" s="185">
        <v>141240</v>
      </c>
      <c r="BB66" s="185"/>
      <c r="BC66" s="185"/>
      <c r="BD66" s="185">
        <v>211</v>
      </c>
      <c r="BE66" s="185">
        <v>363089</v>
      </c>
      <c r="BF66" s="185">
        <v>70980</v>
      </c>
      <c r="BG66" s="185"/>
      <c r="BH66" s="185">
        <v>3679873</v>
      </c>
      <c r="BI66" s="185"/>
      <c r="BJ66" s="185">
        <v>23125</v>
      </c>
      <c r="BK66" s="185">
        <v>173669</v>
      </c>
      <c r="BL66" s="185">
        <v>38515</v>
      </c>
      <c r="BM66" s="185"/>
      <c r="BN66" s="185">
        <v>683693</v>
      </c>
      <c r="BO66" s="185">
        <v>41391</v>
      </c>
      <c r="BP66" s="185">
        <v>218322</v>
      </c>
      <c r="BQ66" s="185"/>
      <c r="BR66" s="185">
        <v>152160</v>
      </c>
      <c r="BS66" s="185"/>
      <c r="BT66" s="185"/>
      <c r="BU66" s="185"/>
      <c r="BV66" s="185">
        <v>397607</v>
      </c>
      <c r="BW66" s="185">
        <v>11534</v>
      </c>
      <c r="BX66" s="185"/>
      <c r="BY66" s="185">
        <v>230607</v>
      </c>
      <c r="BZ66" s="185"/>
      <c r="CA66" s="185">
        <v>19761</v>
      </c>
      <c r="CB66" s="185"/>
      <c r="CC66" s="185">
        <v>140114</v>
      </c>
      <c r="CD66" s="252" t="s">
        <v>221</v>
      </c>
      <c r="CE66" s="195">
        <f t="shared" si="0"/>
        <v>9462831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203212</v>
      </c>
      <c r="D67" s="195">
        <f>ROUND(D51+D52,0)</f>
        <v>0</v>
      </c>
      <c r="E67" s="195">
        <f t="shared" ref="E67:BP67" si="3">ROUND(E51+E52,0)</f>
        <v>600265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15028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30394</v>
      </c>
      <c r="P67" s="195">
        <f t="shared" si="3"/>
        <v>204689</v>
      </c>
      <c r="Q67" s="195">
        <f t="shared" si="3"/>
        <v>225944</v>
      </c>
      <c r="R67" s="195">
        <f t="shared" si="3"/>
        <v>9715</v>
      </c>
      <c r="S67" s="195">
        <f t="shared" si="3"/>
        <v>92607</v>
      </c>
      <c r="T67" s="195">
        <f t="shared" si="3"/>
        <v>0</v>
      </c>
      <c r="U67" s="195">
        <f t="shared" si="3"/>
        <v>129482</v>
      </c>
      <c r="V67" s="195">
        <f t="shared" si="3"/>
        <v>0</v>
      </c>
      <c r="W67" s="195">
        <f t="shared" si="3"/>
        <v>66639</v>
      </c>
      <c r="X67" s="195">
        <f t="shared" si="3"/>
        <v>24682</v>
      </c>
      <c r="Y67" s="195">
        <f t="shared" si="3"/>
        <v>166158</v>
      </c>
      <c r="Z67" s="195">
        <f t="shared" si="3"/>
        <v>0</v>
      </c>
      <c r="AA67" s="195">
        <f t="shared" si="3"/>
        <v>21517</v>
      </c>
      <c r="AB67" s="195">
        <f t="shared" si="3"/>
        <v>56662</v>
      </c>
      <c r="AC67" s="195">
        <f t="shared" si="3"/>
        <v>25113</v>
      </c>
      <c r="AD67" s="195">
        <f t="shared" si="3"/>
        <v>0</v>
      </c>
      <c r="AE67" s="195">
        <f t="shared" si="3"/>
        <v>121168</v>
      </c>
      <c r="AF67" s="195">
        <f t="shared" si="3"/>
        <v>0</v>
      </c>
      <c r="AG67" s="195">
        <f t="shared" si="3"/>
        <v>297518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2031842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8354</v>
      </c>
      <c r="AW67" s="195">
        <f t="shared" si="3"/>
        <v>0</v>
      </c>
      <c r="AX67" s="195">
        <f t="shared" si="3"/>
        <v>0</v>
      </c>
      <c r="AY67" s="195">
        <f t="shared" si="3"/>
        <v>157127</v>
      </c>
      <c r="AZ67" s="195">
        <f>ROUND(AZ51+AZ52,0)</f>
        <v>0</v>
      </c>
      <c r="BA67" s="195">
        <f>ROUND(BA51+BA52,0)</f>
        <v>45543</v>
      </c>
      <c r="BB67" s="195">
        <f t="shared" si="3"/>
        <v>0</v>
      </c>
      <c r="BC67" s="195">
        <f t="shared" si="3"/>
        <v>0</v>
      </c>
      <c r="BD67" s="195">
        <f t="shared" si="3"/>
        <v>106073</v>
      </c>
      <c r="BE67" s="195">
        <f t="shared" si="3"/>
        <v>772341</v>
      </c>
      <c r="BF67" s="195">
        <f t="shared" si="3"/>
        <v>66387</v>
      </c>
      <c r="BG67" s="195">
        <f t="shared" si="3"/>
        <v>0</v>
      </c>
      <c r="BH67" s="195">
        <f t="shared" si="3"/>
        <v>101483</v>
      </c>
      <c r="BI67" s="195">
        <f t="shared" si="3"/>
        <v>0</v>
      </c>
      <c r="BJ67" s="195">
        <f t="shared" si="3"/>
        <v>95820</v>
      </c>
      <c r="BK67" s="195">
        <f t="shared" si="3"/>
        <v>85362</v>
      </c>
      <c r="BL67" s="195">
        <f t="shared" si="3"/>
        <v>67356</v>
      </c>
      <c r="BM67" s="195">
        <f t="shared" si="3"/>
        <v>0</v>
      </c>
      <c r="BN67" s="195">
        <f t="shared" si="3"/>
        <v>139770</v>
      </c>
      <c r="BO67" s="195">
        <f t="shared" si="3"/>
        <v>9955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59145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131160</v>
      </c>
      <c r="BW67" s="195">
        <f t="shared" si="4"/>
        <v>31857</v>
      </c>
      <c r="BX67" s="195">
        <f t="shared" si="4"/>
        <v>0</v>
      </c>
      <c r="BY67" s="195">
        <f t="shared" si="4"/>
        <v>75715</v>
      </c>
      <c r="BZ67" s="195">
        <f t="shared" si="4"/>
        <v>0</v>
      </c>
      <c r="CA67" s="195">
        <f t="shared" si="4"/>
        <v>32653</v>
      </c>
      <c r="CB67" s="195">
        <f t="shared" si="4"/>
        <v>0</v>
      </c>
      <c r="CC67" s="195">
        <f t="shared" si="4"/>
        <v>180435</v>
      </c>
      <c r="CD67" s="252" t="s">
        <v>221</v>
      </c>
      <c r="CE67" s="195">
        <f t="shared" si="0"/>
        <v>6489171</v>
      </c>
      <c r="CF67" s="255"/>
    </row>
    <row r="68" spans="1:84" ht="12.6" customHeight="1" x14ac:dyDescent="0.25">
      <c r="A68" s="171" t="s">
        <v>240</v>
      </c>
      <c r="B68" s="175"/>
      <c r="C68" s="184">
        <v>3083</v>
      </c>
      <c r="D68" s="184"/>
      <c r="E68" s="184">
        <v>7707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3592</v>
      </c>
      <c r="P68" s="185">
        <v>191294</v>
      </c>
      <c r="Q68" s="185">
        <v>4699</v>
      </c>
      <c r="R68" s="185">
        <v>1568</v>
      </c>
      <c r="S68" s="185">
        <v>15654</v>
      </c>
      <c r="T68" s="185"/>
      <c r="U68" s="185">
        <v>13867</v>
      </c>
      <c r="V68" s="185"/>
      <c r="W68" s="185">
        <v>0</v>
      </c>
      <c r="X68" s="185">
        <v>0</v>
      </c>
      <c r="Y68" s="185">
        <v>7233</v>
      </c>
      <c r="Z68" s="185"/>
      <c r="AA68" s="185">
        <v>0</v>
      </c>
      <c r="AB68" s="185">
        <v>41</v>
      </c>
      <c r="AC68" s="185">
        <v>15372</v>
      </c>
      <c r="AD68" s="185"/>
      <c r="AE68" s="185">
        <v>7381</v>
      </c>
      <c r="AF68" s="185"/>
      <c r="AG68" s="185">
        <v>10575</v>
      </c>
      <c r="AH68" s="185"/>
      <c r="AI68" s="185"/>
      <c r="AJ68" s="185"/>
      <c r="AK68" s="185"/>
      <c r="AL68" s="185"/>
      <c r="AM68" s="185"/>
      <c r="AN68" s="185"/>
      <c r="AO68" s="185"/>
      <c r="AP68" s="185">
        <v>83038</v>
      </c>
      <c r="AQ68" s="185"/>
      <c r="AR68" s="185"/>
      <c r="AS68" s="185"/>
      <c r="AT68" s="185"/>
      <c r="AU68" s="185"/>
      <c r="AV68" s="185">
        <v>190</v>
      </c>
      <c r="AW68" s="185"/>
      <c r="AX68" s="185"/>
      <c r="AY68" s="185">
        <v>9711</v>
      </c>
      <c r="AZ68" s="185"/>
      <c r="BA68" s="185">
        <v>0</v>
      </c>
      <c r="BB68" s="185"/>
      <c r="BC68" s="185"/>
      <c r="BD68" s="185">
        <v>12470</v>
      </c>
      <c r="BE68" s="185">
        <v>35155</v>
      </c>
      <c r="BF68" s="185">
        <v>1666</v>
      </c>
      <c r="BG68" s="185"/>
      <c r="BH68" s="185">
        <v>57080</v>
      </c>
      <c r="BI68" s="185"/>
      <c r="BJ68" s="185">
        <v>26467</v>
      </c>
      <c r="BK68" s="185">
        <v>54302</v>
      </c>
      <c r="BL68" s="185">
        <v>8397</v>
      </c>
      <c r="BM68" s="185"/>
      <c r="BN68" s="185">
        <v>26431</v>
      </c>
      <c r="BO68" s="185">
        <v>2503</v>
      </c>
      <c r="BP68" s="185">
        <v>0</v>
      </c>
      <c r="BQ68" s="185"/>
      <c r="BR68" s="185">
        <v>8628</v>
      </c>
      <c r="BS68" s="185"/>
      <c r="BT68" s="185"/>
      <c r="BU68" s="185"/>
      <c r="BV68" s="185">
        <v>46236</v>
      </c>
      <c r="BW68" s="185">
        <v>257</v>
      </c>
      <c r="BX68" s="185"/>
      <c r="BY68" s="185">
        <v>8467</v>
      </c>
      <c r="BZ68" s="185"/>
      <c r="CA68" s="185">
        <v>21416</v>
      </c>
      <c r="CB68" s="185"/>
      <c r="CC68" s="185">
        <v>51342</v>
      </c>
      <c r="CD68" s="252" t="s">
        <v>221</v>
      </c>
      <c r="CE68" s="195">
        <f t="shared" si="0"/>
        <v>735822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9">
        <v>4316744</v>
      </c>
      <c r="CE69" s="195">
        <f>CD69</f>
        <v>4316744</v>
      </c>
      <c r="CF69" s="255"/>
    </row>
    <row r="70" spans="1:84" ht="12.6" customHeight="1" x14ac:dyDescent="0.25">
      <c r="A70" s="171" t="s">
        <v>241</v>
      </c>
      <c r="B70" s="175"/>
      <c r="C70" s="184">
        <v>452</v>
      </c>
      <c r="D70" s="184"/>
      <c r="E70" s="184">
        <f>57+4497+12482+8695</f>
        <v>25731</v>
      </c>
      <c r="F70" s="185"/>
      <c r="G70" s="184"/>
      <c r="H70" s="184"/>
      <c r="I70" s="185"/>
      <c r="J70" s="185">
        <v>2242</v>
      </c>
      <c r="K70" s="185"/>
      <c r="L70" s="185"/>
      <c r="M70" s="184"/>
      <c r="N70" s="184"/>
      <c r="O70" s="184">
        <v>3402</v>
      </c>
      <c r="P70" s="185">
        <f>2794+2669+1500+1099</f>
        <v>8062</v>
      </c>
      <c r="Q70" s="185">
        <v>3436</v>
      </c>
      <c r="R70" s="224">
        <f>12657+2544</f>
        <v>15201</v>
      </c>
      <c r="S70" s="185">
        <v>0</v>
      </c>
      <c r="T70" s="184"/>
      <c r="U70" s="185">
        <v>7086</v>
      </c>
      <c r="V70" s="185"/>
      <c r="W70" s="184">
        <v>2126</v>
      </c>
      <c r="X70" s="185">
        <v>1300</v>
      </c>
      <c r="Y70" s="185">
        <f>13672+224</f>
        <v>13896</v>
      </c>
      <c r="Z70" s="185"/>
      <c r="AA70" s="185">
        <v>6608</v>
      </c>
      <c r="AB70" s="185">
        <f>16016+847</f>
        <v>16863</v>
      </c>
      <c r="AC70" s="185">
        <v>194</v>
      </c>
      <c r="AD70" s="185"/>
      <c r="AE70" s="185">
        <v>12175</v>
      </c>
      <c r="AF70" s="185"/>
      <c r="AG70" s="185">
        <f>6733+4000+25116</f>
        <v>35849</v>
      </c>
      <c r="AH70" s="185"/>
      <c r="AI70" s="185"/>
      <c r="AJ70" s="185"/>
      <c r="AK70" s="185"/>
      <c r="AL70" s="185"/>
      <c r="AM70" s="185"/>
      <c r="AN70" s="185"/>
      <c r="AO70" s="184"/>
      <c r="AP70" s="185">
        <f>294587+174364</f>
        <v>468951</v>
      </c>
      <c r="AQ70" s="184"/>
      <c r="AR70" s="184"/>
      <c r="AS70" s="184"/>
      <c r="AT70" s="184"/>
      <c r="AU70" s="185"/>
      <c r="AV70" s="185">
        <v>6440</v>
      </c>
      <c r="AW70" s="185"/>
      <c r="AX70" s="185"/>
      <c r="AY70" s="185">
        <v>23</v>
      </c>
      <c r="AZ70" s="185"/>
      <c r="BA70" s="185">
        <v>0</v>
      </c>
      <c r="BB70" s="185"/>
      <c r="BC70" s="185"/>
      <c r="BD70" s="185">
        <v>24698</v>
      </c>
      <c r="BE70" s="185">
        <v>14303</v>
      </c>
      <c r="BF70" s="185">
        <v>19984</v>
      </c>
      <c r="BG70" s="185"/>
      <c r="BH70" s="224">
        <v>77664</v>
      </c>
      <c r="BI70" s="185"/>
      <c r="BJ70" s="185">
        <v>139683</v>
      </c>
      <c r="BK70" s="185">
        <v>15533</v>
      </c>
      <c r="BL70" s="185">
        <v>12509</v>
      </c>
      <c r="BM70" s="185"/>
      <c r="BN70" s="185">
        <f>539+305078+19128+90579</f>
        <v>415324</v>
      </c>
      <c r="BO70" s="185">
        <v>5204</v>
      </c>
      <c r="BP70" s="185">
        <v>67590</v>
      </c>
      <c r="BQ70" s="185"/>
      <c r="BR70" s="185">
        <v>164361</v>
      </c>
      <c r="BS70" s="185"/>
      <c r="BT70" s="185"/>
      <c r="BU70" s="185"/>
      <c r="BV70" s="185">
        <v>16594</v>
      </c>
      <c r="BW70" s="185">
        <v>55492</v>
      </c>
      <c r="BX70" s="185"/>
      <c r="BY70" s="185">
        <f>5751+10298+35+5206</f>
        <v>21290</v>
      </c>
      <c r="BZ70" s="185"/>
      <c r="CA70" s="185">
        <v>15605</v>
      </c>
      <c r="CB70" s="185"/>
      <c r="CC70" s="185">
        <f>117842+58+6990+3656+4898+3252+1412+138+47789+680308</f>
        <v>866343</v>
      </c>
      <c r="CD70" s="188">
        <f>410748+28234+891551+1800</f>
        <v>1332333</v>
      </c>
      <c r="CE70" s="195">
        <f t="shared" si="0"/>
        <v>3894547</v>
      </c>
      <c r="CF70" s="255"/>
    </row>
    <row r="71" spans="1:84" ht="12.6" customHeight="1" x14ac:dyDescent="0.25">
      <c r="A71" s="171" t="s">
        <v>242</v>
      </c>
      <c r="B71" s="175"/>
      <c r="C71" s="184"/>
      <c r="D71" s="184"/>
      <c r="E71" s="184"/>
      <c r="F71" s="185"/>
      <c r="G71" s="184"/>
      <c r="H71" s="184"/>
      <c r="I71" s="184"/>
      <c r="J71" s="185"/>
      <c r="K71" s="185"/>
      <c r="L71" s="185"/>
      <c r="M71" s="184"/>
      <c r="N71" s="184"/>
      <c r="O71" s="184">
        <v>0</v>
      </c>
      <c r="P71" s="184">
        <v>0</v>
      </c>
      <c r="Q71" s="184">
        <v>0</v>
      </c>
      <c r="R71" s="184">
        <v>1461556</v>
      </c>
      <c r="S71" s="184"/>
      <c r="T71" s="184"/>
      <c r="U71" s="185">
        <v>0</v>
      </c>
      <c r="V71" s="184"/>
      <c r="W71" s="184">
        <v>0</v>
      </c>
      <c r="X71" s="185">
        <v>0</v>
      </c>
      <c r="Y71" s="185">
        <v>0</v>
      </c>
      <c r="Z71" s="185"/>
      <c r="AA71" s="185">
        <v>0</v>
      </c>
      <c r="AB71" s="185">
        <f>1066436+47475+2813575+29493</f>
        <v>3956979</v>
      </c>
      <c r="AC71" s="185"/>
      <c r="AD71" s="185"/>
      <c r="AE71" s="185">
        <v>0</v>
      </c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>
        <f>22123+9228+2126+9228+385+182+244+3870+543+425+375+1018+378</f>
        <v>50125</v>
      </c>
      <c r="AQ71" s="185"/>
      <c r="AR71" s="185"/>
      <c r="AS71" s="185"/>
      <c r="AT71" s="185"/>
      <c r="AU71" s="185"/>
      <c r="AV71" s="185">
        <f>20+1005</f>
        <v>1025</v>
      </c>
      <c r="AW71" s="185"/>
      <c r="AX71" s="185"/>
      <c r="AY71" s="185">
        <f>574813-34076+4832</f>
        <v>545569</v>
      </c>
      <c r="AZ71" s="185"/>
      <c r="BA71" s="185">
        <v>0</v>
      </c>
      <c r="BB71" s="185"/>
      <c r="BC71" s="185"/>
      <c r="BD71" s="185">
        <v>0</v>
      </c>
      <c r="BE71" s="185">
        <v>8505</v>
      </c>
      <c r="BF71" s="185">
        <v>0</v>
      </c>
      <c r="BG71" s="185"/>
      <c r="BH71" s="185">
        <v>0</v>
      </c>
      <c r="BI71" s="185"/>
      <c r="BJ71" s="185">
        <v>0</v>
      </c>
      <c r="BK71" s="185">
        <v>0</v>
      </c>
      <c r="BL71" s="185">
        <v>0</v>
      </c>
      <c r="BM71" s="185"/>
      <c r="BN71" s="185">
        <v>250333</v>
      </c>
      <c r="BO71" s="185">
        <v>0</v>
      </c>
      <c r="BP71" s="185">
        <v>0</v>
      </c>
      <c r="BQ71" s="185"/>
      <c r="BR71" s="185">
        <v>63</v>
      </c>
      <c r="BS71" s="185"/>
      <c r="BT71" s="185"/>
      <c r="BU71" s="185"/>
      <c r="BV71" s="185">
        <f>18166+13125</f>
        <v>31291</v>
      </c>
      <c r="BW71" s="185">
        <v>4795</v>
      </c>
      <c r="BX71" s="185"/>
      <c r="BY71" s="185"/>
      <c r="BZ71" s="185"/>
      <c r="CA71" s="185">
        <v>0</v>
      </c>
      <c r="CB71" s="185"/>
      <c r="CC71" s="185"/>
      <c r="CD71" s="188">
        <f>6075+8150+537505+19536+56879+8556+1212254</f>
        <v>1848955</v>
      </c>
      <c r="CE71" s="195">
        <f t="shared" si="0"/>
        <v>8159196</v>
      </c>
      <c r="CF71" s="255"/>
    </row>
    <row r="72" spans="1:84" ht="12.6" customHeight="1" x14ac:dyDescent="0.25">
      <c r="A72" s="171" t="s">
        <v>243</v>
      </c>
      <c r="B72" s="175"/>
      <c r="C72" s="195">
        <f>SUM(C61:C68)+C70-C71</f>
        <v>2776885</v>
      </c>
      <c r="D72" s="195">
        <f t="shared" ref="D72:BO72" si="5">SUM(D61:D70)-D71</f>
        <v>0</v>
      </c>
      <c r="E72" s="195">
        <f t="shared" si="5"/>
        <v>7453079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45742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114517</v>
      </c>
      <c r="P72" s="195">
        <f t="shared" si="5"/>
        <v>3127337</v>
      </c>
      <c r="Q72" s="195">
        <f t="shared" si="5"/>
        <v>1838349</v>
      </c>
      <c r="R72" s="195">
        <f t="shared" si="5"/>
        <v>-186382</v>
      </c>
      <c r="S72" s="195">
        <f t="shared" si="5"/>
        <v>3729203</v>
      </c>
      <c r="T72" s="195">
        <f t="shared" si="5"/>
        <v>0</v>
      </c>
      <c r="U72" s="195">
        <f t="shared" si="5"/>
        <v>4627117</v>
      </c>
      <c r="V72" s="195">
        <f t="shared" si="5"/>
        <v>0</v>
      </c>
      <c r="W72" s="195">
        <f t="shared" si="5"/>
        <v>449103</v>
      </c>
      <c r="X72" s="195">
        <f t="shared" si="5"/>
        <v>776034</v>
      </c>
      <c r="Y72" s="195">
        <f t="shared" si="5"/>
        <v>3077000</v>
      </c>
      <c r="Z72" s="195">
        <f t="shared" si="5"/>
        <v>0</v>
      </c>
      <c r="AA72" s="195">
        <f t="shared" si="5"/>
        <v>214320</v>
      </c>
      <c r="AB72" s="195">
        <f t="shared" si="5"/>
        <v>741964</v>
      </c>
      <c r="AC72" s="195">
        <f t="shared" si="5"/>
        <v>1144642</v>
      </c>
      <c r="AD72" s="195">
        <f t="shared" si="5"/>
        <v>0</v>
      </c>
      <c r="AE72" s="195">
        <f t="shared" si="5"/>
        <v>2214269</v>
      </c>
      <c r="AF72" s="195">
        <f t="shared" si="5"/>
        <v>0</v>
      </c>
      <c r="AG72" s="195">
        <f t="shared" si="5"/>
        <v>6441027</v>
      </c>
      <c r="AH72" s="195">
        <f t="shared" si="5"/>
        <v>0</v>
      </c>
      <c r="AI72" s="195">
        <f t="shared" si="5"/>
        <v>0</v>
      </c>
      <c r="AJ72" s="195">
        <f t="shared" si="5"/>
        <v>0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22765699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363071</v>
      </c>
      <c r="AW72" s="195">
        <f t="shared" si="5"/>
        <v>0</v>
      </c>
      <c r="AX72" s="195">
        <f t="shared" si="5"/>
        <v>0</v>
      </c>
      <c r="AY72" s="195">
        <f t="shared" si="5"/>
        <v>1353638</v>
      </c>
      <c r="AZ72" s="195">
        <f t="shared" si="5"/>
        <v>0</v>
      </c>
      <c r="BA72" s="195">
        <f t="shared" si="5"/>
        <v>335672</v>
      </c>
      <c r="BB72" s="195">
        <f t="shared" si="5"/>
        <v>0</v>
      </c>
      <c r="BC72" s="195">
        <f t="shared" si="5"/>
        <v>0</v>
      </c>
      <c r="BD72" s="195">
        <f t="shared" si="5"/>
        <v>584236</v>
      </c>
      <c r="BE72" s="195">
        <f t="shared" si="5"/>
        <v>3014216</v>
      </c>
      <c r="BF72" s="195">
        <f t="shared" si="5"/>
        <v>1747286</v>
      </c>
      <c r="BG72" s="195">
        <f t="shared" si="5"/>
        <v>0</v>
      </c>
      <c r="BH72" s="195">
        <f t="shared" si="5"/>
        <v>5130173</v>
      </c>
      <c r="BI72" s="195">
        <f t="shared" si="5"/>
        <v>0</v>
      </c>
      <c r="BJ72" s="195">
        <f t="shared" si="5"/>
        <v>879918</v>
      </c>
      <c r="BK72" s="195">
        <f t="shared" si="5"/>
        <v>1892076</v>
      </c>
      <c r="BL72" s="195">
        <f t="shared" si="5"/>
        <v>1552287</v>
      </c>
      <c r="BM72" s="195">
        <f t="shared" si="5"/>
        <v>0</v>
      </c>
      <c r="BN72" s="195">
        <f t="shared" si="5"/>
        <v>4293308</v>
      </c>
      <c r="BO72" s="195">
        <f t="shared" si="5"/>
        <v>277958</v>
      </c>
      <c r="BP72" s="195">
        <f t="shared" ref="BP72:CC72" si="6">SUM(BP61:BP70)-BP71</f>
        <v>287844</v>
      </c>
      <c r="BQ72" s="195">
        <f t="shared" si="6"/>
        <v>0</v>
      </c>
      <c r="BR72" s="195">
        <f t="shared" si="6"/>
        <v>810604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2114987</v>
      </c>
      <c r="BW72" s="195">
        <f t="shared" si="6"/>
        <v>291675</v>
      </c>
      <c r="BX72" s="195">
        <f t="shared" si="6"/>
        <v>0</v>
      </c>
      <c r="BY72" s="195">
        <f t="shared" si="6"/>
        <v>3731436</v>
      </c>
      <c r="BZ72" s="195">
        <f t="shared" si="6"/>
        <v>0</v>
      </c>
      <c r="CA72" s="195">
        <f t="shared" si="6"/>
        <v>353276</v>
      </c>
      <c r="CB72" s="195">
        <f t="shared" si="6"/>
        <v>0</v>
      </c>
      <c r="CC72" s="195">
        <f t="shared" si="6"/>
        <v>2024203</v>
      </c>
      <c r="CD72" s="248">
        <f>+CD69+CD70-CD71</f>
        <v>3800122</v>
      </c>
      <c r="CE72" s="195">
        <f>SUM(CE61:CE70)-CE71</f>
        <v>96187891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>
        <v>2215600</v>
      </c>
      <c r="CF73" s="255"/>
    </row>
    <row r="74" spans="1:84" ht="12.6" customHeight="1" x14ac:dyDescent="0.25">
      <c r="A74" s="171" t="s">
        <v>245</v>
      </c>
      <c r="B74" s="175"/>
      <c r="C74" s="184">
        <v>8200623</v>
      </c>
      <c r="D74" s="184"/>
      <c r="E74" s="184">
        <v>14603312</v>
      </c>
      <c r="F74" s="185"/>
      <c r="G74" s="184"/>
      <c r="H74" s="184"/>
      <c r="I74" s="185"/>
      <c r="J74" s="185">
        <v>914225</v>
      </c>
      <c r="K74" s="185"/>
      <c r="L74" s="185"/>
      <c r="M74" s="184"/>
      <c r="N74" s="184"/>
      <c r="O74" s="184">
        <v>1954161</v>
      </c>
      <c r="P74" s="185">
        <v>3783983</v>
      </c>
      <c r="Q74" s="185">
        <v>976104</v>
      </c>
      <c r="R74" s="185">
        <v>581485</v>
      </c>
      <c r="S74" s="185">
        <v>2912903</v>
      </c>
      <c r="T74" s="185"/>
      <c r="U74" s="185">
        <v>3561284</v>
      </c>
      <c r="V74" s="185"/>
      <c r="W74" s="185">
        <v>395854</v>
      </c>
      <c r="X74" s="185">
        <v>1653078</v>
      </c>
      <c r="Y74" s="185">
        <v>1726639</v>
      </c>
      <c r="Z74" s="185"/>
      <c r="AA74" s="185">
        <v>73665</v>
      </c>
      <c r="AB74" s="185">
        <v>2683433</v>
      </c>
      <c r="AC74" s="185">
        <v>3533670</v>
      </c>
      <c r="AD74" s="185"/>
      <c r="AE74" s="185">
        <v>466434</v>
      </c>
      <c r="AF74" s="185"/>
      <c r="AG74" s="185">
        <v>1565902</v>
      </c>
      <c r="AH74" s="185"/>
      <c r="AI74" s="185"/>
      <c r="AJ74" s="185"/>
      <c r="AK74" s="185"/>
      <c r="AL74" s="185"/>
      <c r="AM74" s="185"/>
      <c r="AN74" s="185"/>
      <c r="AO74" s="185"/>
      <c r="AP74" s="185">
        <v>0</v>
      </c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49586755</v>
      </c>
      <c r="CF74" s="255"/>
    </row>
    <row r="75" spans="1:84" ht="12.6" customHeight="1" x14ac:dyDescent="0.25">
      <c r="A75" s="171" t="s">
        <v>246</v>
      </c>
      <c r="B75" s="175"/>
      <c r="C75" s="184">
        <v>1721301</v>
      </c>
      <c r="D75" s="184"/>
      <c r="E75" s="184">
        <v>3769313</v>
      </c>
      <c r="F75" s="185"/>
      <c r="G75" s="184"/>
      <c r="H75" s="184"/>
      <c r="I75" s="184"/>
      <c r="J75" s="185">
        <v>109702</v>
      </c>
      <c r="K75" s="185"/>
      <c r="L75" s="185"/>
      <c r="M75" s="184"/>
      <c r="N75" s="184"/>
      <c r="O75" s="184">
        <v>554514</v>
      </c>
      <c r="P75" s="185">
        <v>9528722</v>
      </c>
      <c r="Q75" s="185">
        <v>4139979</v>
      </c>
      <c r="R75" s="185">
        <v>1183322</v>
      </c>
      <c r="S75" s="185">
        <v>2994057</v>
      </c>
      <c r="T75" s="185"/>
      <c r="U75" s="185">
        <v>23302925</v>
      </c>
      <c r="V75" s="185"/>
      <c r="W75" s="185">
        <v>6354917</v>
      </c>
      <c r="X75" s="185">
        <v>20072626</v>
      </c>
      <c r="Y75" s="185">
        <v>17018081</v>
      </c>
      <c r="Z75" s="185"/>
      <c r="AA75" s="185">
        <v>783343</v>
      </c>
      <c r="AB75" s="185">
        <v>5652683</v>
      </c>
      <c r="AC75" s="185">
        <v>2742776</v>
      </c>
      <c r="AD75" s="185"/>
      <c r="AE75" s="185">
        <v>6847113</v>
      </c>
      <c r="AF75" s="185"/>
      <c r="AG75" s="185">
        <f>38559310-144</f>
        <v>38559166</v>
      </c>
      <c r="AH75" s="185"/>
      <c r="AI75" s="185"/>
      <c r="AJ75" s="185"/>
      <c r="AK75" s="185"/>
      <c r="AL75" s="185"/>
      <c r="AM75" s="185"/>
      <c r="AN75" s="185"/>
      <c r="AO75" s="185"/>
      <c r="AP75" s="185">
        <v>27728939</v>
      </c>
      <c r="AQ75" s="185"/>
      <c r="AR75" s="185"/>
      <c r="AS75" s="185"/>
      <c r="AT75" s="185"/>
      <c r="AU75" s="185"/>
      <c r="AV75" s="185">
        <f>239974-7573</f>
        <v>232401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173295880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9921924</v>
      </c>
      <c r="D76" s="195">
        <f t="shared" si="8"/>
        <v>0</v>
      </c>
      <c r="E76" s="195">
        <f t="shared" si="8"/>
        <v>18372625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1023927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2508675</v>
      </c>
      <c r="P76" s="195">
        <f t="shared" si="8"/>
        <v>13312705</v>
      </c>
      <c r="Q76" s="195">
        <f t="shared" si="8"/>
        <v>5116083</v>
      </c>
      <c r="R76" s="195">
        <f t="shared" si="8"/>
        <v>1764807</v>
      </c>
      <c r="S76" s="195">
        <f t="shared" si="8"/>
        <v>5906960</v>
      </c>
      <c r="T76" s="195">
        <f t="shared" si="8"/>
        <v>0</v>
      </c>
      <c r="U76" s="195">
        <f t="shared" si="8"/>
        <v>26864209</v>
      </c>
      <c r="V76" s="195">
        <f t="shared" si="8"/>
        <v>0</v>
      </c>
      <c r="W76" s="195">
        <f t="shared" si="8"/>
        <v>6750771</v>
      </c>
      <c r="X76" s="195">
        <f t="shared" si="8"/>
        <v>21725704</v>
      </c>
      <c r="Y76" s="195">
        <f t="shared" si="8"/>
        <v>18744720</v>
      </c>
      <c r="Z76" s="195">
        <f t="shared" si="8"/>
        <v>0</v>
      </c>
      <c r="AA76" s="195">
        <f t="shared" si="8"/>
        <v>857008</v>
      </c>
      <c r="AB76" s="195">
        <f t="shared" si="8"/>
        <v>8336116</v>
      </c>
      <c r="AC76" s="195">
        <f t="shared" si="8"/>
        <v>6276446</v>
      </c>
      <c r="AD76" s="195">
        <f t="shared" si="8"/>
        <v>0</v>
      </c>
      <c r="AE76" s="195">
        <f t="shared" si="8"/>
        <v>7313547</v>
      </c>
      <c r="AF76" s="195">
        <f t="shared" si="8"/>
        <v>0</v>
      </c>
      <c r="AG76" s="195">
        <f t="shared" si="8"/>
        <v>40125068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27728939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232401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222882635</v>
      </c>
      <c r="CF76" s="255"/>
    </row>
    <row r="77" spans="1:84" ht="12.6" customHeight="1" x14ac:dyDescent="0.25">
      <c r="A77" s="171" t="s">
        <v>248</v>
      </c>
      <c r="B77" s="175"/>
      <c r="C77" s="184">
        <v>6509.73</v>
      </c>
      <c r="D77" s="184"/>
      <c r="E77" s="185">
        <f>14243.66+4985.28</f>
        <v>19228.939999999999</v>
      </c>
      <c r="F77" s="185"/>
      <c r="G77" s="184"/>
      <c r="H77" s="184"/>
      <c r="I77" s="185"/>
      <c r="J77" s="185">
        <f>481.41</f>
        <v>481.41</v>
      </c>
      <c r="K77" s="185"/>
      <c r="L77" s="185"/>
      <c r="M77" s="185"/>
      <c r="N77" s="185"/>
      <c r="O77" s="185">
        <f>973.64</f>
        <v>973.64</v>
      </c>
      <c r="P77" s="185">
        <f>5171.27+208.42+1177.35</f>
        <v>6557.0400000000009</v>
      </c>
      <c r="Q77" s="185">
        <f>7237.91</f>
        <v>7237.91</v>
      </c>
      <c r="R77" s="185">
        <f>311.2</f>
        <v>311.2</v>
      </c>
      <c r="S77" s="185">
        <f>2966.57</f>
        <v>2966.57</v>
      </c>
      <c r="T77" s="185"/>
      <c r="U77" s="185">
        <f>3261.83+886</f>
        <v>4147.83</v>
      </c>
      <c r="V77" s="185"/>
      <c r="W77" s="185">
        <f>2134.71</f>
        <v>2134.71</v>
      </c>
      <c r="X77" s="185">
        <f>790.65</f>
        <v>790.65</v>
      </c>
      <c r="Y77" s="185">
        <f>4627.49+695.23</f>
        <v>5322.7199999999993</v>
      </c>
      <c r="Z77" s="185"/>
      <c r="AA77" s="185">
        <f>689.27</f>
        <v>689.27</v>
      </c>
      <c r="AB77" s="185">
        <f>1815.12</f>
        <v>1815.12</v>
      </c>
      <c r="AC77" s="185">
        <f>804.46</f>
        <v>804.46</v>
      </c>
      <c r="AD77" s="185"/>
      <c r="AE77" s="185">
        <v>3881.51</v>
      </c>
      <c r="AF77" s="185"/>
      <c r="AG77" s="185">
        <f>9530.74</f>
        <v>9530.74</v>
      </c>
      <c r="AH77" s="185"/>
      <c r="AI77" s="185"/>
      <c r="AJ77" s="185"/>
      <c r="AK77" s="185"/>
      <c r="AL77" s="185"/>
      <c r="AM77" s="185"/>
      <c r="AN77" s="185"/>
      <c r="AO77" s="185"/>
      <c r="AP77" s="185">
        <f>1650+1347+2734+2734+2038+4297+3686+6393.4+1642+17668.6</f>
        <v>44190</v>
      </c>
      <c r="AQ77" s="185"/>
      <c r="AR77" s="185"/>
      <c r="AS77" s="185"/>
      <c r="AT77" s="185"/>
      <c r="AU77" s="185"/>
      <c r="AV77" s="185">
        <f>267.6</f>
        <v>267.60000000000002</v>
      </c>
      <c r="AW77" s="185"/>
      <c r="AX77" s="185"/>
      <c r="AY77" s="185">
        <f>5033.42</f>
        <v>5033.42</v>
      </c>
      <c r="AZ77" s="185"/>
      <c r="BA77" s="185">
        <f>1458.93</f>
        <v>1458.93</v>
      </c>
      <c r="BB77" s="185"/>
      <c r="BC77" s="185"/>
      <c r="BD77" s="185">
        <f>3397.94</f>
        <v>3397.94</v>
      </c>
      <c r="BE77" s="185">
        <f>14834.25+1401+6967+1539</f>
        <v>24741.25</v>
      </c>
      <c r="BF77" s="185">
        <f>1847.66+279</f>
        <v>2126.66</v>
      </c>
      <c r="BG77" s="185"/>
      <c r="BH77" s="185">
        <f>1789.91+144+1317</f>
        <v>3250.91</v>
      </c>
      <c r="BI77" s="185"/>
      <c r="BJ77" s="185">
        <f>0+3069.5</f>
        <v>3069.5</v>
      </c>
      <c r="BK77" s="185">
        <f>2734.5</f>
        <v>2734.5</v>
      </c>
      <c r="BL77" s="185">
        <f>1919.49+238.2</f>
        <v>2157.69</v>
      </c>
      <c r="BM77" s="185"/>
      <c r="BN77" s="185">
        <f>2923.4+1200+242+112</f>
        <v>4477.3999999999996</v>
      </c>
      <c r="BO77" s="185">
        <f>278.91+40</f>
        <v>318.91000000000003</v>
      </c>
      <c r="BP77" s="185"/>
      <c r="BQ77" s="185"/>
      <c r="BR77" s="185">
        <f>938.49+956.16</f>
        <v>1894.65</v>
      </c>
      <c r="BS77" s="185"/>
      <c r="BT77" s="185"/>
      <c r="BU77" s="185"/>
      <c r="BV77" s="185">
        <f>828+3373.6</f>
        <v>4201.6000000000004</v>
      </c>
      <c r="BW77" s="185">
        <f>1020.52</f>
        <v>1020.52</v>
      </c>
      <c r="BX77" s="185"/>
      <c r="BY77" s="185">
        <f>0+468.9+314.8+88.52+238.43+361.51+0+316.3+637</f>
        <v>2425.46</v>
      </c>
      <c r="BZ77" s="185"/>
      <c r="CA77" s="185">
        <f>1046</f>
        <v>1046</v>
      </c>
      <c r="CB77" s="185"/>
      <c r="CC77" s="185">
        <f>350.69+2884.8+1066.1+254.5+1475+1157-1408</f>
        <v>5780.09</v>
      </c>
      <c r="CD77" s="252" t="s">
        <v>221</v>
      </c>
      <c r="CE77" s="195">
        <f t="shared" si="7"/>
        <v>186976.47999999998</v>
      </c>
      <c r="CF77" s="195">
        <f>BE59-CE77</f>
        <v>2.0000000018626451E-2</v>
      </c>
    </row>
    <row r="78" spans="1:84" ht="12.6" customHeight="1" x14ac:dyDescent="0.25">
      <c r="A78" s="171" t="s">
        <v>249</v>
      </c>
      <c r="B78" s="175"/>
      <c r="C78" s="184">
        <v>4914</v>
      </c>
      <c r="D78" s="184"/>
      <c r="E78" s="184">
        <v>16849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850</v>
      </c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>
        <v>2991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>
        <v>2838</v>
      </c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28442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>
        <v>6509.73</v>
      </c>
      <c r="D79" s="184">
        <v>0</v>
      </c>
      <c r="E79" s="184">
        <v>19228.939999999999</v>
      </c>
      <c r="F79" s="184">
        <v>0</v>
      </c>
      <c r="G79" s="184">
        <v>0</v>
      </c>
      <c r="H79" s="184">
        <v>0</v>
      </c>
      <c r="I79" s="184">
        <v>0</v>
      </c>
      <c r="J79" s="184">
        <v>481.41</v>
      </c>
      <c r="K79" s="184">
        <v>0</v>
      </c>
      <c r="L79" s="184">
        <v>0</v>
      </c>
      <c r="M79" s="184">
        <v>0</v>
      </c>
      <c r="N79" s="184">
        <v>0</v>
      </c>
      <c r="O79" s="184">
        <v>973.64</v>
      </c>
      <c r="P79" s="184">
        <v>6557.0400000000009</v>
      </c>
      <c r="Q79" s="184">
        <v>7237.91</v>
      </c>
      <c r="R79" s="184">
        <v>311.2</v>
      </c>
      <c r="S79" s="184">
        <v>2966.57</v>
      </c>
      <c r="T79" s="184">
        <v>0</v>
      </c>
      <c r="U79" s="184">
        <v>4147.83</v>
      </c>
      <c r="V79" s="184">
        <v>0</v>
      </c>
      <c r="W79" s="184">
        <v>2134.71</v>
      </c>
      <c r="X79" s="184">
        <v>790.65</v>
      </c>
      <c r="Y79" s="184">
        <v>5322.7199999999993</v>
      </c>
      <c r="Z79" s="184">
        <v>0</v>
      </c>
      <c r="AA79" s="184">
        <v>689.27</v>
      </c>
      <c r="AB79" s="184">
        <v>1815.12</v>
      </c>
      <c r="AC79" s="184">
        <v>804.46</v>
      </c>
      <c r="AD79" s="184">
        <v>0</v>
      </c>
      <c r="AE79" s="184">
        <v>3881.51</v>
      </c>
      <c r="AF79" s="184">
        <v>0</v>
      </c>
      <c r="AG79" s="184">
        <v>9530.74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44190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267.60000000000002</v>
      </c>
      <c r="AW79" s="184"/>
      <c r="AX79" s="252"/>
      <c r="AY79" s="252"/>
      <c r="AZ79" s="252"/>
      <c r="BA79" s="184">
        <f>BA77</f>
        <v>1458.93</v>
      </c>
      <c r="BB79" s="184">
        <f t="shared" ref="BB79:BC79" si="9">BB77</f>
        <v>0</v>
      </c>
      <c r="BC79" s="184">
        <f t="shared" si="9"/>
        <v>0</v>
      </c>
      <c r="BD79" s="252"/>
      <c r="BE79" s="252"/>
      <c r="BF79" s="252"/>
      <c r="BG79" s="252"/>
      <c r="BH79" s="184">
        <f>BH77</f>
        <v>3250.91</v>
      </c>
      <c r="BI79" s="184">
        <f>BI77</f>
        <v>0</v>
      </c>
      <c r="BJ79" s="252"/>
      <c r="BK79" s="184">
        <f>BK77</f>
        <v>2734.5</v>
      </c>
      <c r="BL79" s="184">
        <f t="shared" ref="BL79:BM79" si="10">BL77</f>
        <v>2157.69</v>
      </c>
      <c r="BM79" s="184">
        <f t="shared" si="10"/>
        <v>0</v>
      </c>
      <c r="BN79" s="252"/>
      <c r="BO79" s="252"/>
      <c r="BP79" s="252"/>
      <c r="BQ79" s="252"/>
      <c r="BR79" s="252"/>
      <c r="BS79" s="184">
        <f>BS77</f>
        <v>0</v>
      </c>
      <c r="BT79" s="184">
        <f t="shared" ref="BT79:CB79" si="11">BT77</f>
        <v>0</v>
      </c>
      <c r="BU79" s="184">
        <f t="shared" si="11"/>
        <v>0</v>
      </c>
      <c r="BV79" s="184">
        <f t="shared" si="11"/>
        <v>4201.6000000000004</v>
      </c>
      <c r="BW79" s="184">
        <f t="shared" si="11"/>
        <v>1020.52</v>
      </c>
      <c r="BX79" s="184">
        <f t="shared" si="11"/>
        <v>0</v>
      </c>
      <c r="BY79" s="184">
        <f t="shared" si="11"/>
        <v>2425.46</v>
      </c>
      <c r="BZ79" s="184">
        <f t="shared" si="11"/>
        <v>0</v>
      </c>
      <c r="CA79" s="184">
        <f t="shared" si="11"/>
        <v>1046</v>
      </c>
      <c r="CB79" s="184">
        <f t="shared" si="11"/>
        <v>0</v>
      </c>
      <c r="CC79" s="252" t="s">
        <v>221</v>
      </c>
      <c r="CD79" s="252" t="s">
        <v>221</v>
      </c>
      <c r="CE79" s="195">
        <f t="shared" si="7"/>
        <v>136136.65999999997</v>
      </c>
      <c r="CF79" s="195"/>
    </row>
    <row r="80" spans="1:84" ht="12.6" customHeight="1" x14ac:dyDescent="0.25">
      <c r="A80" s="171" t="s">
        <v>251</v>
      </c>
      <c r="B80" s="175"/>
      <c r="C80" s="225">
        <v>36140</v>
      </c>
      <c r="D80" s="225"/>
      <c r="E80" s="184">
        <v>61406</v>
      </c>
      <c r="F80" s="184"/>
      <c r="G80" s="184"/>
      <c r="H80" s="184"/>
      <c r="I80" s="184"/>
      <c r="J80" s="184"/>
      <c r="K80" s="184"/>
      <c r="L80" s="184"/>
      <c r="M80" s="184"/>
      <c r="N80" s="184"/>
      <c r="O80" s="184">
        <v>28267</v>
      </c>
      <c r="P80" s="184">
        <v>36907</v>
      </c>
      <c r="Q80" s="184">
        <v>25759</v>
      </c>
      <c r="R80" s="184"/>
      <c r="S80" s="184"/>
      <c r="T80" s="184"/>
      <c r="U80" s="184">
        <v>28656</v>
      </c>
      <c r="V80" s="184"/>
      <c r="W80" s="184"/>
      <c r="X80" s="184"/>
      <c r="Y80" s="184"/>
      <c r="Z80" s="184"/>
      <c r="AA80" s="184"/>
      <c r="AB80" s="184"/>
      <c r="AC80" s="184"/>
      <c r="AD80" s="184"/>
      <c r="AE80" s="184">
        <v>9664</v>
      </c>
      <c r="AF80" s="184"/>
      <c r="AG80" s="184">
        <v>71691</v>
      </c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298490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>
        <v>18.5</v>
      </c>
      <c r="D81" s="187"/>
      <c r="E81" s="187">
        <v>49.029999999999994</v>
      </c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>
        <v>19.409999999999997</v>
      </c>
      <c r="Q81" s="187">
        <v>13.47</v>
      </c>
      <c r="R81" s="187">
        <v>5.2</v>
      </c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>
        <v>28.26</v>
      </c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133.87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8" t="s">
        <v>1283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1271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30" t="s">
        <v>1272</v>
      </c>
      <c r="D85" s="205"/>
      <c r="E85" s="204"/>
    </row>
    <row r="86" spans="1:84" ht="12.6" customHeight="1" x14ac:dyDescent="0.25">
      <c r="A86" s="173" t="s">
        <v>1251</v>
      </c>
      <c r="B86" s="172"/>
      <c r="C86" s="273" t="s">
        <v>1273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31" t="s">
        <v>1274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30" t="s">
        <v>1275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30" t="s">
        <v>1276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30" t="s">
        <v>1277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30" t="s">
        <v>1278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30" t="s">
        <v>1279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6" t="s">
        <v>1280</v>
      </c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87" t="s">
        <v>1281</v>
      </c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1423</v>
      </c>
      <c r="D112" s="174">
        <v>4190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>
        <v>255</v>
      </c>
      <c r="D115" s="174">
        <v>520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>
        <v>7</v>
      </c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16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>
        <v>2</v>
      </c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25</v>
      </c>
    </row>
    <row r="129" spans="1:6" ht="12.6" customHeight="1" x14ac:dyDescent="0.25">
      <c r="A129" s="173" t="s">
        <v>292</v>
      </c>
      <c r="B129" s="172" t="s">
        <v>256</v>
      </c>
      <c r="C129" s="189">
        <v>68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>
        <v>6</v>
      </c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779</v>
      </c>
      <c r="C139" s="189">
        <v>396</v>
      </c>
      <c r="D139" s="174">
        <f>209+39</f>
        <v>248</v>
      </c>
      <c r="E139" s="175">
        <f>SUM(B139:D139)</f>
        <v>1423</v>
      </c>
    </row>
    <row r="140" spans="1:6" ht="12.6" customHeight="1" x14ac:dyDescent="0.25">
      <c r="A140" s="173" t="s">
        <v>215</v>
      </c>
      <c r="B140" s="174">
        <f>2497</f>
        <v>2497</v>
      </c>
      <c r="C140" s="189">
        <f>1065</f>
        <v>1065</v>
      </c>
      <c r="D140" s="174">
        <f>110+518</f>
        <v>628</v>
      </c>
      <c r="E140" s="175">
        <f>SUM(B140:D140)</f>
        <v>4190</v>
      </c>
    </row>
    <row r="141" spans="1:6" ht="12.6" customHeight="1" x14ac:dyDescent="0.25">
      <c r="A141" s="173" t="s">
        <v>298</v>
      </c>
      <c r="B141" s="174">
        <f>43754+30531</f>
        <v>74285</v>
      </c>
      <c r="C141" s="174">
        <f>28614+29998</f>
        <v>58612</v>
      </c>
      <c r="D141" s="174">
        <f>28530+25057</f>
        <v>53587</v>
      </c>
      <c r="E141" s="175">
        <f>SUM(B141:D141)</f>
        <v>186484</v>
      </c>
    </row>
    <row r="142" spans="1:6" ht="12.6" customHeight="1" x14ac:dyDescent="0.25">
      <c r="A142" s="173" t="s">
        <v>245</v>
      </c>
      <c r="B142" s="174">
        <v>26983899</v>
      </c>
      <c r="C142" s="189">
        <v>13553504</v>
      </c>
      <c r="D142" s="174">
        <v>9049351</v>
      </c>
      <c r="E142" s="175">
        <f>SUM(B142:D142)</f>
        <v>49586754</v>
      </c>
      <c r="F142" s="199"/>
    </row>
    <row r="143" spans="1:6" ht="12.6" customHeight="1" x14ac:dyDescent="0.25">
      <c r="A143" s="173" t="s">
        <v>246</v>
      </c>
      <c r="B143" s="174">
        <v>73289195</v>
      </c>
      <c r="C143" s="189">
        <v>50580747</v>
      </c>
      <c r="D143" s="174">
        <v>49425942</v>
      </c>
      <c r="E143" s="175">
        <f>SUM(B143:D143)</f>
        <v>173295884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>
        <v>3286524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110526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f>421164</f>
        <v>421164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f>6434391+534224+111887</f>
        <v>7080502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v>102493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2413934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39432+5534</f>
        <v>44966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13460109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>
        <v>166983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v>568839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735822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>
        <v>388146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>
        <v>234610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622756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627132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627132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v>891551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891551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2015497</v>
      </c>
      <c r="C196" s="189"/>
      <c r="D196" s="174"/>
      <c r="E196" s="175">
        <f t="shared" ref="E196:E204" si="12">SUM(B196:C196)-D196</f>
        <v>2015497</v>
      </c>
    </row>
    <row r="197" spans="1:8" ht="12.6" customHeight="1" x14ac:dyDescent="0.25">
      <c r="A197" s="173" t="s">
        <v>333</v>
      </c>
      <c r="B197" s="174">
        <v>2729456</v>
      </c>
      <c r="C197" s="189"/>
      <c r="D197" s="174"/>
      <c r="E197" s="175">
        <f t="shared" si="12"/>
        <v>2729456</v>
      </c>
    </row>
    <row r="198" spans="1:8" ht="12.6" customHeight="1" x14ac:dyDescent="0.25">
      <c r="A198" s="173" t="s">
        <v>334</v>
      </c>
      <c r="B198" s="174">
        <v>36186805</v>
      </c>
      <c r="C198" s="189">
        <v>30140</v>
      </c>
      <c r="D198" s="174">
        <v>183030</v>
      </c>
      <c r="E198" s="175">
        <f t="shared" si="12"/>
        <v>36033915</v>
      </c>
    </row>
    <row r="199" spans="1:8" ht="12.6" customHeight="1" x14ac:dyDescent="0.25">
      <c r="A199" s="173" t="s">
        <v>335</v>
      </c>
      <c r="B199" s="174">
        <v>21292736</v>
      </c>
      <c r="C199" s="189">
        <v>11932</v>
      </c>
      <c r="D199" s="174"/>
      <c r="E199" s="175">
        <f t="shared" si="12"/>
        <v>21304668</v>
      </c>
    </row>
    <row r="200" spans="1:8" ht="12.6" customHeight="1" x14ac:dyDescent="0.25">
      <c r="A200" s="173" t="s">
        <v>336</v>
      </c>
      <c r="B200" s="174">
        <v>1613835</v>
      </c>
      <c r="C200" s="189">
        <v>137101</v>
      </c>
      <c r="D200" s="174"/>
      <c r="E200" s="175">
        <f t="shared" si="12"/>
        <v>1750936</v>
      </c>
    </row>
    <row r="201" spans="1:8" ht="12.6" customHeight="1" x14ac:dyDescent="0.25">
      <c r="A201" s="173" t="s">
        <v>337</v>
      </c>
      <c r="B201" s="174">
        <v>32697075</v>
      </c>
      <c r="C201" s="189">
        <v>1690705</v>
      </c>
      <c r="D201" s="174">
        <v>539904</v>
      </c>
      <c r="E201" s="175">
        <f t="shared" si="12"/>
        <v>33847876</v>
      </c>
    </row>
    <row r="202" spans="1:8" ht="12.6" customHeight="1" x14ac:dyDescent="0.25">
      <c r="A202" s="173" t="s">
        <v>338</v>
      </c>
      <c r="B202" s="174">
        <v>0</v>
      </c>
      <c r="C202" s="189">
        <v>0</v>
      </c>
      <c r="D202" s="174"/>
      <c r="E202" s="175">
        <f t="shared" si="12"/>
        <v>0</v>
      </c>
    </row>
    <row r="203" spans="1:8" ht="12.6" customHeight="1" x14ac:dyDescent="0.25">
      <c r="A203" s="173" t="s">
        <v>339</v>
      </c>
      <c r="B203" s="174">
        <v>42847</v>
      </c>
      <c r="C203" s="189">
        <v>1107868</v>
      </c>
      <c r="D203" s="174"/>
      <c r="E203" s="175">
        <f t="shared" si="12"/>
        <v>1150715</v>
      </c>
    </row>
    <row r="204" spans="1:8" ht="12.6" customHeight="1" x14ac:dyDescent="0.25">
      <c r="A204" s="173" t="s">
        <v>340</v>
      </c>
      <c r="B204" s="174">
        <v>1791507</v>
      </c>
      <c r="C204" s="189">
        <v>6953601</v>
      </c>
      <c r="D204" s="174">
        <v>2589652</v>
      </c>
      <c r="E204" s="175">
        <f t="shared" si="12"/>
        <v>6155456</v>
      </c>
    </row>
    <row r="205" spans="1:8" ht="12.6" customHeight="1" x14ac:dyDescent="0.25">
      <c r="A205" s="173" t="s">
        <v>203</v>
      </c>
      <c r="B205" s="175">
        <f>SUM(B196:B204)</f>
        <v>98369758</v>
      </c>
      <c r="C205" s="191">
        <f>SUM(C196:C204)</f>
        <v>9931347</v>
      </c>
      <c r="D205" s="175">
        <f>SUM(D196:D204)</f>
        <v>3312586</v>
      </c>
      <c r="E205" s="175">
        <f>SUM(E196:E204)</f>
        <v>104988519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>
        <v>1549494</v>
      </c>
      <c r="C210" s="189">
        <v>180429</v>
      </c>
      <c r="D210" s="174">
        <v>0</v>
      </c>
      <c r="E210" s="175">
        <f t="shared" ref="E210:E217" si="13">SUM(B210:C210)-D210</f>
        <v>1729923</v>
      </c>
      <c r="H210" s="262"/>
    </row>
    <row r="211" spans="1:8" ht="12.6" customHeight="1" x14ac:dyDescent="0.25">
      <c r="A211" s="173" t="s">
        <v>334</v>
      </c>
      <c r="B211" s="174">
        <v>16339971</v>
      </c>
      <c r="C211" s="189">
        <v>1516542</v>
      </c>
      <c r="D211" s="174">
        <v>183030</v>
      </c>
      <c r="E211" s="175">
        <f t="shared" si="13"/>
        <v>17673483</v>
      </c>
      <c r="H211" s="262"/>
    </row>
    <row r="212" spans="1:8" ht="12.6" customHeight="1" x14ac:dyDescent="0.25">
      <c r="A212" s="173" t="s">
        <v>335</v>
      </c>
      <c r="B212" s="174">
        <v>8461727</v>
      </c>
      <c r="C212" s="189">
        <v>1283505</v>
      </c>
      <c r="D212" s="174">
        <v>0</v>
      </c>
      <c r="E212" s="175">
        <f t="shared" si="13"/>
        <v>9745232</v>
      </c>
      <c r="H212" s="262"/>
    </row>
    <row r="213" spans="1:8" ht="12.6" customHeight="1" x14ac:dyDescent="0.25">
      <c r="A213" s="173" t="s">
        <v>336</v>
      </c>
      <c r="B213" s="174">
        <v>1393981</v>
      </c>
      <c r="C213" s="189">
        <v>208258</v>
      </c>
      <c r="D213" s="174">
        <v>0</v>
      </c>
      <c r="E213" s="175">
        <f t="shared" si="13"/>
        <v>1602239</v>
      </c>
      <c r="H213" s="262"/>
    </row>
    <row r="214" spans="1:8" ht="12.6" customHeight="1" x14ac:dyDescent="0.25">
      <c r="A214" s="173" t="s">
        <v>337</v>
      </c>
      <c r="B214" s="174">
        <v>24945845</v>
      </c>
      <c r="C214" s="189">
        <v>3212590</v>
      </c>
      <c r="D214" s="174">
        <v>533471</v>
      </c>
      <c r="E214" s="175">
        <f t="shared" si="13"/>
        <v>27624964</v>
      </c>
      <c r="H214" s="262"/>
    </row>
    <row r="215" spans="1:8" ht="12.6" customHeight="1" x14ac:dyDescent="0.25">
      <c r="A215" s="173" t="s">
        <v>338</v>
      </c>
      <c r="B215" s="174">
        <v>0</v>
      </c>
      <c r="C215" s="189">
        <v>0</v>
      </c>
      <c r="D215" s="174">
        <v>0</v>
      </c>
      <c r="E215" s="175">
        <f t="shared" si="13"/>
        <v>0</v>
      </c>
      <c r="H215" s="262"/>
    </row>
    <row r="216" spans="1:8" ht="12.6" customHeight="1" x14ac:dyDescent="0.25">
      <c r="A216" s="173" t="s">
        <v>339</v>
      </c>
      <c r="B216" s="174">
        <v>36777</v>
      </c>
      <c r="C216" s="189">
        <v>87845</v>
      </c>
      <c r="D216" s="174">
        <v>0</v>
      </c>
      <c r="E216" s="175">
        <f t="shared" si="13"/>
        <v>124622</v>
      </c>
      <c r="H216" s="262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3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52727795</v>
      </c>
      <c r="C218" s="191">
        <f>SUM(C209:C217)</f>
        <v>6489169</v>
      </c>
      <c r="D218" s="175">
        <f>SUM(D209:D217)</f>
        <v>716501</v>
      </c>
      <c r="E218" s="175">
        <f>SUM(E209:E217)</f>
        <v>58500463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189">
        <v>59370627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40145711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>
        <v>2076846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>
        <v>18711831</v>
      </c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120305015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189">
        <v>1768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>
        <v>213713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>
        <v>3262545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3476258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>
        <v>2210751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2210751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125992024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189">
        <f>6784429+49441688</f>
        <v>56226117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v>30542112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f>3763244+15089009</f>
        <v>18852253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>
        <v>1502810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>
        <v>621191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1488522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1143040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72671539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189">
        <f>86481156-49441688</f>
        <v>37039468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37039468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189">
        <v>2015497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>
        <v>2729456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>
        <v>36033915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>
        <v>21304669</v>
      </c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>
        <v>1750935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>
        <v>33847876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>
        <v>1150715</v>
      </c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6155456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104988519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58500463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46488056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156199063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f>2800603+107106</f>
        <v>2907709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10190742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>
        <v>3130705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>
        <v>238638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>
        <v>975000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17442794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>
        <v>291092</v>
      </c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291092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>
        <f>56968834+975000</f>
        <v>57943834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57943834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975000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56968834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>
        <v>81496343</v>
      </c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156199063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156199063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189">
        <v>49586754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>
        <f>145566942+27728939</f>
        <v>173295881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222882635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189">
        <f>59370627+40145711+18711831+2076846+1</f>
        <v>120305016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>
        <v>3476258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2210751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125992025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96890610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189">
        <v>8159192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2215600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10374792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107265402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189">
        <f>48797793+1</f>
        <v>48797794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13460108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4300805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11855296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>
        <v>1033970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9462831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f>6663533-174364</f>
        <v>6489169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735822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622757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627132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891551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4316744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>
        <v>1753107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104347086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2918316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>
        <v>972987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3891303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>
        <v>0</v>
      </c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3891303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str">
        <f>C85&amp;"   "&amp;"H-"&amp;FIXED(C84,0,TRUE)&amp;"     FYE "&amp;C83</f>
        <v>Public Hospital District No 1 of Mason County, WA, DBA Mason General Hospital and Family of Clinics   H-0     FYE 12/31/2018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1423</v>
      </c>
      <c r="C413" s="194">
        <f>E139</f>
        <v>1423</v>
      </c>
      <c r="D413" s="179"/>
    </row>
    <row r="414" spans="1:5" ht="12.6" customHeight="1" x14ac:dyDescent="0.25">
      <c r="A414" s="179" t="s">
        <v>464</v>
      </c>
      <c r="B414" s="179">
        <f>D112</f>
        <v>4190</v>
      </c>
      <c r="C414" s="179">
        <f>E140</f>
        <v>4190</v>
      </c>
      <c r="D414" s="194">
        <f>SUM(C59:H59)+N59</f>
        <v>4190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255</v>
      </c>
    </row>
    <row r="423" spans="1:7" ht="12.6" customHeight="1" x14ac:dyDescent="0.25">
      <c r="A423" s="179" t="s">
        <v>1244</v>
      </c>
      <c r="B423" s="179">
        <f>D115</f>
        <v>520</v>
      </c>
      <c r="D423" s="179">
        <f>J59</f>
        <v>582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4">C376</f>
        <v>48797794</v>
      </c>
      <c r="C426" s="179">
        <f t="shared" ref="C426:C433" si="15">CE61</f>
        <v>48797793</v>
      </c>
      <c r="D426" s="179"/>
    </row>
    <row r="427" spans="1:7" ht="12.6" customHeight="1" x14ac:dyDescent="0.25">
      <c r="A427" s="179" t="s">
        <v>3</v>
      </c>
      <c r="B427" s="179">
        <f t="shared" si="14"/>
        <v>13460108</v>
      </c>
      <c r="C427" s="179">
        <f t="shared" si="15"/>
        <v>13460108</v>
      </c>
      <c r="D427" s="179">
        <f>D174</f>
        <v>13460109</v>
      </c>
    </row>
    <row r="428" spans="1:7" ht="12.6" customHeight="1" x14ac:dyDescent="0.25">
      <c r="A428" s="179" t="s">
        <v>236</v>
      </c>
      <c r="B428" s="179">
        <f t="shared" si="14"/>
        <v>4300805</v>
      </c>
      <c r="C428" s="179">
        <f t="shared" si="15"/>
        <v>4300805</v>
      </c>
      <c r="D428" s="179"/>
    </row>
    <row r="429" spans="1:7" ht="12.6" customHeight="1" x14ac:dyDescent="0.25">
      <c r="A429" s="179" t="s">
        <v>237</v>
      </c>
      <c r="B429" s="179">
        <f t="shared" si="14"/>
        <v>11855296</v>
      </c>
      <c r="C429" s="179">
        <f t="shared" si="15"/>
        <v>11855296</v>
      </c>
      <c r="D429" s="179"/>
    </row>
    <row r="430" spans="1:7" ht="12.6" customHeight="1" x14ac:dyDescent="0.25">
      <c r="A430" s="179" t="s">
        <v>444</v>
      </c>
      <c r="B430" s="179">
        <f t="shared" si="14"/>
        <v>1033970</v>
      </c>
      <c r="C430" s="179">
        <f t="shared" si="15"/>
        <v>1033970</v>
      </c>
      <c r="D430" s="179"/>
    </row>
    <row r="431" spans="1:7" ht="12.6" customHeight="1" x14ac:dyDescent="0.25">
      <c r="A431" s="179" t="s">
        <v>445</v>
      </c>
      <c r="B431" s="179">
        <f t="shared" si="14"/>
        <v>9462831</v>
      </c>
      <c r="C431" s="179">
        <f t="shared" si="15"/>
        <v>9462831</v>
      </c>
      <c r="D431" s="179"/>
    </row>
    <row r="432" spans="1:7" ht="12.6" customHeight="1" x14ac:dyDescent="0.25">
      <c r="A432" s="179" t="s">
        <v>6</v>
      </c>
      <c r="B432" s="179">
        <f t="shared" si="14"/>
        <v>6489169</v>
      </c>
      <c r="C432" s="179">
        <f t="shared" si="15"/>
        <v>6489171</v>
      </c>
      <c r="D432" s="179">
        <f>C218</f>
        <v>6489169</v>
      </c>
    </row>
    <row r="433" spans="1:7" ht="12.6" customHeight="1" x14ac:dyDescent="0.25">
      <c r="A433" s="179" t="s">
        <v>474</v>
      </c>
      <c r="B433" s="179">
        <f t="shared" si="14"/>
        <v>735822</v>
      </c>
      <c r="C433" s="179">
        <f t="shared" si="15"/>
        <v>735822</v>
      </c>
      <c r="D433" s="179">
        <f>D178</f>
        <v>735822</v>
      </c>
    </row>
    <row r="434" spans="1:7" ht="12.6" customHeight="1" x14ac:dyDescent="0.25">
      <c r="A434" s="179" t="s">
        <v>447</v>
      </c>
      <c r="B434" s="179">
        <f t="shared" si="14"/>
        <v>622757</v>
      </c>
      <c r="C434" s="179"/>
      <c r="D434" s="179">
        <f>D182</f>
        <v>622756</v>
      </c>
    </row>
    <row r="435" spans="1:7" ht="12.6" customHeight="1" x14ac:dyDescent="0.25">
      <c r="A435" s="179" t="s">
        <v>475</v>
      </c>
      <c r="B435" s="179">
        <f t="shared" si="14"/>
        <v>627132</v>
      </c>
      <c r="C435" s="179"/>
      <c r="D435" s="179">
        <f>D187</f>
        <v>627132</v>
      </c>
    </row>
    <row r="436" spans="1:7" ht="12.6" customHeight="1" x14ac:dyDescent="0.25">
      <c r="A436" s="194" t="s">
        <v>449</v>
      </c>
      <c r="B436" s="194">
        <f t="shared" si="14"/>
        <v>891551</v>
      </c>
      <c r="C436" s="194"/>
      <c r="D436" s="194">
        <f>D191</f>
        <v>891551</v>
      </c>
    </row>
    <row r="437" spans="1:7" ht="12.6" customHeight="1" x14ac:dyDescent="0.25">
      <c r="A437" s="194" t="s">
        <v>476</v>
      </c>
      <c r="B437" s="194">
        <f>C384+C385+C386</f>
        <v>2141440</v>
      </c>
      <c r="C437" s="194">
        <f>CD70</f>
        <v>1332333</v>
      </c>
      <c r="D437" s="194">
        <f>D182+D187+D191</f>
        <v>2141439</v>
      </c>
    </row>
    <row r="438" spans="1:7" ht="12.6" customHeight="1" x14ac:dyDescent="0.25">
      <c r="A438" s="179" t="s">
        <v>1262</v>
      </c>
      <c r="B438" s="179">
        <f>C387</f>
        <v>4316744</v>
      </c>
      <c r="C438" s="179">
        <f>CD69</f>
        <v>4316744</v>
      </c>
      <c r="D438" s="179"/>
    </row>
    <row r="439" spans="1:7" ht="12.6" customHeight="1" x14ac:dyDescent="0.25">
      <c r="A439" s="179" t="s">
        <v>451</v>
      </c>
      <c r="B439" s="194">
        <f>C388</f>
        <v>1753107</v>
      </c>
      <c r="C439" s="194">
        <f>SUM(C70:CC70)</f>
        <v>2562214</v>
      </c>
      <c r="D439" s="179"/>
    </row>
    <row r="440" spans="1:7" ht="12.6" customHeight="1" x14ac:dyDescent="0.25">
      <c r="A440" s="179" t="s">
        <v>477</v>
      </c>
      <c r="B440" s="194">
        <f>B437+B439</f>
        <v>3894547</v>
      </c>
      <c r="C440" s="194">
        <f>CE70</f>
        <v>3894547</v>
      </c>
      <c r="D440" s="179"/>
    </row>
    <row r="441" spans="1:7" ht="12.6" customHeight="1" x14ac:dyDescent="0.25">
      <c r="A441" s="179" t="s">
        <v>478</v>
      </c>
      <c r="B441" s="179">
        <f>D389</f>
        <v>104347086</v>
      </c>
      <c r="C441" s="179">
        <f>SUM(C426:C436)+C438+C440</f>
        <v>104347087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120305015</v>
      </c>
      <c r="C444" s="179">
        <f>C362</f>
        <v>120305016</v>
      </c>
      <c r="D444" s="179"/>
    </row>
    <row r="445" spans="1:7" ht="12.6" customHeight="1" x14ac:dyDescent="0.25">
      <c r="A445" s="179" t="s">
        <v>351</v>
      </c>
      <c r="B445" s="179">
        <f>D235</f>
        <v>3476258</v>
      </c>
      <c r="C445" s="179">
        <f>C363</f>
        <v>3476258</v>
      </c>
      <c r="D445" s="179"/>
    </row>
    <row r="446" spans="1:7" ht="12.6" customHeight="1" x14ac:dyDescent="0.25">
      <c r="A446" s="179" t="s">
        <v>356</v>
      </c>
      <c r="B446" s="179">
        <f>D239</f>
        <v>2210751</v>
      </c>
      <c r="C446" s="179">
        <f>C364</f>
        <v>2210751</v>
      </c>
      <c r="D446" s="179"/>
    </row>
    <row r="447" spans="1:7" ht="12.6" customHeight="1" x14ac:dyDescent="0.25">
      <c r="A447" s="179" t="s">
        <v>358</v>
      </c>
      <c r="B447" s="179">
        <f>D241</f>
        <v>125992024</v>
      </c>
      <c r="C447" s="179">
        <f>D365</f>
        <v>125992025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1768</v>
      </c>
    </row>
    <row r="453" spans="1:7" ht="12.6" customHeight="1" x14ac:dyDescent="0.25">
      <c r="A453" s="179" t="s">
        <v>168</v>
      </c>
      <c r="B453" s="179">
        <f>C232</f>
        <v>213713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3262545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8159192</v>
      </c>
      <c r="C457" s="194">
        <f>CE71</f>
        <v>8159196</v>
      </c>
      <c r="D457" s="194"/>
    </row>
    <row r="458" spans="1:7" ht="12.6" customHeight="1" x14ac:dyDescent="0.25">
      <c r="A458" s="179" t="s">
        <v>244</v>
      </c>
      <c r="B458" s="194">
        <f>C369</f>
        <v>2215600</v>
      </c>
      <c r="C458" s="194">
        <f>CE73</f>
        <v>2215600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49586754</v>
      </c>
      <c r="C462" s="194">
        <f>CE74</f>
        <v>49586755</v>
      </c>
      <c r="D462" s="194">
        <f>E142+E148+E154</f>
        <v>49586754</v>
      </c>
    </row>
    <row r="463" spans="1:7" ht="12.6" customHeight="1" x14ac:dyDescent="0.25">
      <c r="A463" s="179" t="s">
        <v>246</v>
      </c>
      <c r="B463" s="194">
        <f>C359</f>
        <v>173295881</v>
      </c>
      <c r="C463" s="194">
        <f>CE75</f>
        <v>173295880</v>
      </c>
      <c r="D463" s="194">
        <f>E143+E149+E155</f>
        <v>173295884</v>
      </c>
    </row>
    <row r="464" spans="1:7" ht="12.6" customHeight="1" x14ac:dyDescent="0.25">
      <c r="A464" s="179" t="s">
        <v>247</v>
      </c>
      <c r="B464" s="194">
        <f>D360</f>
        <v>222882635</v>
      </c>
      <c r="C464" s="194">
        <f>CE76</f>
        <v>222882635</v>
      </c>
      <c r="D464" s="194">
        <f>D462+D463</f>
        <v>222882638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6">C266</f>
        <v>2015497</v>
      </c>
      <c r="C467" s="179">
        <f>E196</f>
        <v>2015497</v>
      </c>
      <c r="D467" s="179"/>
    </row>
    <row r="468" spans="1:7" ht="12.6" customHeight="1" x14ac:dyDescent="0.25">
      <c r="A468" s="179" t="s">
        <v>333</v>
      </c>
      <c r="B468" s="179">
        <f t="shared" si="16"/>
        <v>2729456</v>
      </c>
      <c r="C468" s="179">
        <f>E197</f>
        <v>2729456</v>
      </c>
      <c r="D468" s="179"/>
    </row>
    <row r="469" spans="1:7" ht="12.6" customHeight="1" x14ac:dyDescent="0.25">
      <c r="A469" s="179" t="s">
        <v>334</v>
      </c>
      <c r="B469" s="179">
        <f t="shared" si="16"/>
        <v>36033915</v>
      </c>
      <c r="C469" s="179">
        <f>E198</f>
        <v>36033915</v>
      </c>
      <c r="D469" s="179"/>
    </row>
    <row r="470" spans="1:7" ht="12.6" customHeight="1" x14ac:dyDescent="0.25">
      <c r="A470" s="179" t="s">
        <v>494</v>
      </c>
      <c r="B470" s="179">
        <f t="shared" si="16"/>
        <v>21304669</v>
      </c>
      <c r="C470" s="179">
        <f>E199</f>
        <v>21304668</v>
      </c>
      <c r="D470" s="179"/>
    </row>
    <row r="471" spans="1:7" ht="12.6" customHeight="1" x14ac:dyDescent="0.25">
      <c r="A471" s="179" t="s">
        <v>377</v>
      </c>
      <c r="B471" s="179">
        <f t="shared" si="16"/>
        <v>1750935</v>
      </c>
      <c r="C471" s="179">
        <f>E200</f>
        <v>1750936</v>
      </c>
      <c r="D471" s="179"/>
    </row>
    <row r="472" spans="1:7" ht="12.6" customHeight="1" x14ac:dyDescent="0.25">
      <c r="A472" s="179" t="s">
        <v>495</v>
      </c>
      <c r="B472" s="179">
        <f t="shared" si="16"/>
        <v>33847876</v>
      </c>
      <c r="C472" s="179">
        <f>SUM(E201:E202)</f>
        <v>33847876</v>
      </c>
      <c r="D472" s="179"/>
    </row>
    <row r="473" spans="1:7" ht="12.6" customHeight="1" x14ac:dyDescent="0.25">
      <c r="A473" s="179" t="s">
        <v>339</v>
      </c>
      <c r="B473" s="179">
        <f t="shared" si="16"/>
        <v>1150715</v>
      </c>
      <c r="C473" s="179">
        <f>E203</f>
        <v>1150715</v>
      </c>
      <c r="D473" s="179"/>
    </row>
    <row r="474" spans="1:7" ht="12.6" customHeight="1" x14ac:dyDescent="0.25">
      <c r="A474" s="179" t="s">
        <v>340</v>
      </c>
      <c r="B474" s="179">
        <f t="shared" si="16"/>
        <v>6155456</v>
      </c>
      <c r="C474" s="179">
        <f>E204</f>
        <v>6155456</v>
      </c>
      <c r="D474" s="179"/>
    </row>
    <row r="475" spans="1:7" ht="12.6" customHeight="1" x14ac:dyDescent="0.25">
      <c r="A475" s="179" t="s">
        <v>203</v>
      </c>
      <c r="B475" s="179">
        <f>D274</f>
        <v>104988519</v>
      </c>
      <c r="C475" s="179">
        <f>E205</f>
        <v>104988519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58500463</v>
      </c>
      <c r="C477" s="179">
        <f>E218</f>
        <v>58500463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156199063</v>
      </c>
    </row>
    <row r="481" spans="1:12" ht="12.6" customHeight="1" x14ac:dyDescent="0.25">
      <c r="A481" s="180" t="s">
        <v>499</v>
      </c>
      <c r="C481" s="180">
        <f>D338</f>
        <v>156199063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Public Hospital District No 1 of Mason County, WA, DBA Mason General Hospital and Family of Clinics</v>
      </c>
      <c r="B492" s="264" t="s">
        <v>1264</v>
      </c>
      <c r="C492" s="264" t="str">
        <f>RIGHT(C83,4)</f>
        <v>2018</v>
      </c>
      <c r="D492" s="264" t="s">
        <v>1264</v>
      </c>
      <c r="E492" s="264" t="str">
        <f>RIGHT(C83,4)</f>
        <v>2018</v>
      </c>
      <c r="F492" s="264" t="s">
        <v>1264</v>
      </c>
      <c r="G492" s="264" t="str">
        <f>RIGHT(C83,4)</f>
        <v>2018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>
        <f>C72</f>
        <v>2776885</v>
      </c>
      <c r="D495" s="243">
        <v>9430</v>
      </c>
      <c r="E495" s="180">
        <f>C59</f>
        <v>899</v>
      </c>
      <c r="F495" s="266">
        <f t="shared" ref="F495:G510" si="17">IF(B495=0,"",IF(D495=0,"",B495/D495))</f>
        <v>1708.2729586426299</v>
      </c>
      <c r="G495" s="267">
        <f t="shared" si="17"/>
        <v>3088.8598442714128</v>
      </c>
      <c r="H495" s="268">
        <f>IF(B495=0,"",IF(C495=0,"",IF(D495=0,"",IF(E495=0,"",IF(G495/F495-1&lt;-0.25,G495/F495-1,IF(G495/F495-1&gt;0.25,G495/F495-1,""))))))</f>
        <v>0.80817698286682371</v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7"/>
        <v/>
      </c>
      <c r="G496" s="266" t="str">
        <f t="shared" si="17"/>
        <v/>
      </c>
      <c r="H496" s="268" t="str">
        <f t="shared" ref="H496:H549" si="18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>
        <f>E72</f>
        <v>7453079</v>
      </c>
      <c r="D497" s="243">
        <v>48942</v>
      </c>
      <c r="E497" s="180">
        <f>E59</f>
        <v>3291</v>
      </c>
      <c r="F497" s="266">
        <f t="shared" si="17"/>
        <v>853.76310735155903</v>
      </c>
      <c r="G497" s="266">
        <f t="shared" si="17"/>
        <v>2264.6852020662413</v>
      </c>
      <c r="H497" s="268">
        <f t="shared" si="18"/>
        <v>1.6525920159416057</v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7"/>
        <v/>
      </c>
      <c r="G498" s="266" t="str">
        <f t="shared" si="17"/>
        <v/>
      </c>
      <c r="H498" s="268" t="str">
        <f t="shared" si="18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>
        <f>G72</f>
        <v>0</v>
      </c>
      <c r="D499" s="243">
        <v>0</v>
      </c>
      <c r="E499" s="180">
        <f>G59</f>
        <v>0</v>
      </c>
      <c r="F499" s="266" t="str">
        <f t="shared" si="17"/>
        <v/>
      </c>
      <c r="G499" s="266" t="str">
        <f t="shared" si="17"/>
        <v/>
      </c>
      <c r="H499" s="268" t="str">
        <f t="shared" si="18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>
        <f>H72</f>
        <v>0</v>
      </c>
      <c r="D500" s="243">
        <v>4243</v>
      </c>
      <c r="E500" s="180">
        <f>H59</f>
        <v>0</v>
      </c>
      <c r="F500" s="266">
        <f t="shared" si="17"/>
        <v>694.27386283290127</v>
      </c>
      <c r="G500" s="266" t="str">
        <f t="shared" si="17"/>
        <v/>
      </c>
      <c r="H500" s="268" t="str">
        <f t="shared" si="18"/>
        <v/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7"/>
        <v/>
      </c>
      <c r="G501" s="266" t="str">
        <f t="shared" si="17"/>
        <v/>
      </c>
      <c r="H501" s="268" t="str">
        <f t="shared" si="18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>
        <f>J72</f>
        <v>45742</v>
      </c>
      <c r="D502" s="243">
        <v>0</v>
      </c>
      <c r="E502" s="180">
        <f>J59</f>
        <v>582</v>
      </c>
      <c r="F502" s="266" t="str">
        <f t="shared" si="17"/>
        <v/>
      </c>
      <c r="G502" s="266">
        <f t="shared" si="17"/>
        <v>78.594501718213053</v>
      </c>
      <c r="H502" s="268" t="str">
        <f t="shared" si="18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7"/>
        <v/>
      </c>
      <c r="G503" s="266" t="str">
        <f t="shared" si="17"/>
        <v/>
      </c>
      <c r="H503" s="268" t="str">
        <f t="shared" si="18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>
        <f>L72</f>
        <v>0</v>
      </c>
      <c r="D504" s="243">
        <v>0</v>
      </c>
      <c r="E504" s="180">
        <f>L59</f>
        <v>0</v>
      </c>
      <c r="F504" s="266" t="str">
        <f t="shared" si="17"/>
        <v/>
      </c>
      <c r="G504" s="266" t="str">
        <f t="shared" si="17"/>
        <v/>
      </c>
      <c r="H504" s="268" t="str">
        <f t="shared" si="18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7"/>
        <v/>
      </c>
      <c r="G505" s="266" t="str">
        <f t="shared" si="17"/>
        <v/>
      </c>
      <c r="H505" s="268" t="str">
        <f t="shared" si="18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7"/>
        <v/>
      </c>
      <c r="G506" s="266" t="str">
        <f t="shared" si="17"/>
        <v/>
      </c>
      <c r="H506" s="268" t="str">
        <f t="shared" si="18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>
        <f>O72</f>
        <v>114517</v>
      </c>
      <c r="D507" s="243">
        <v>3648</v>
      </c>
      <c r="E507" s="180">
        <f>O59</f>
        <v>747</v>
      </c>
      <c r="F507" s="266">
        <f t="shared" si="17"/>
        <v>2348.1441885964914</v>
      </c>
      <c r="G507" s="266">
        <f t="shared" si="17"/>
        <v>153.30254350736277</v>
      </c>
      <c r="H507" s="268">
        <f t="shared" si="18"/>
        <v>-0.93471331775456545</v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>
        <f>P72</f>
        <v>3127337</v>
      </c>
      <c r="D508" s="243">
        <v>1391652</v>
      </c>
      <c r="E508" s="180">
        <f>P59</f>
        <v>109409</v>
      </c>
      <c r="F508" s="266">
        <f t="shared" si="17"/>
        <v>33.312853357017417</v>
      </c>
      <c r="G508" s="266">
        <f t="shared" si="17"/>
        <v>28.583909916003254</v>
      </c>
      <c r="H508" s="268" t="str">
        <f t="shared" si="18"/>
        <v/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>
        <f>Q72</f>
        <v>1838349</v>
      </c>
      <c r="D509" s="243">
        <v>693702</v>
      </c>
      <c r="E509" s="180">
        <f>Q59</f>
        <v>117610</v>
      </c>
      <c r="F509" s="266">
        <f t="shared" si="17"/>
        <v>5.2924555500776993</v>
      </c>
      <c r="G509" s="266">
        <f t="shared" si="17"/>
        <v>15.630890230422583</v>
      </c>
      <c r="H509" s="268">
        <f t="shared" si="18"/>
        <v>1.9534287217949529</v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>
        <f>R72</f>
        <v>-186382</v>
      </c>
      <c r="D510" s="243">
        <v>1385678</v>
      </c>
      <c r="E510" s="180">
        <f>R59</f>
        <v>109409</v>
      </c>
      <c r="F510" s="266">
        <f t="shared" si="17"/>
        <v>1.4623029304066313</v>
      </c>
      <c r="G510" s="266">
        <f t="shared" si="17"/>
        <v>-1.7035344441499327</v>
      </c>
      <c r="H510" s="268">
        <f t="shared" si="18"/>
        <v>-2.1649668538079321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>
        <f>S72</f>
        <v>3729203</v>
      </c>
      <c r="D511" s="181" t="s">
        <v>529</v>
      </c>
      <c r="E511" s="181" t="s">
        <v>529</v>
      </c>
      <c r="F511" s="266" t="str">
        <f t="shared" ref="F511:G526" si="19">IF(B511=0,"",IF(D511=0,"",B511/D511))</f>
        <v/>
      </c>
      <c r="G511" s="266" t="str">
        <f t="shared" si="19"/>
        <v/>
      </c>
      <c r="H511" s="268" t="str">
        <f t="shared" si="18"/>
        <v/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9"/>
        <v/>
      </c>
      <c r="G512" s="266" t="str">
        <f t="shared" si="19"/>
        <v/>
      </c>
      <c r="H512" s="268" t="str">
        <f t="shared" si="18"/>
        <v/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>
        <f>U72</f>
        <v>4627117</v>
      </c>
      <c r="D513" s="243">
        <v>1204214</v>
      </c>
      <c r="E513" s="180">
        <f>U59</f>
        <v>204576</v>
      </c>
      <c r="F513" s="266">
        <f t="shared" si="19"/>
        <v>12.466768365091255</v>
      </c>
      <c r="G513" s="266">
        <f t="shared" si="19"/>
        <v>22.618083255122791</v>
      </c>
      <c r="H513" s="268">
        <f t="shared" si="18"/>
        <v>0.8142699529459998</v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>
        <f>V72</f>
        <v>0</v>
      </c>
      <c r="D514" s="243">
        <v>23863</v>
      </c>
      <c r="E514" s="180">
        <f>V59</f>
        <v>0</v>
      </c>
      <c r="F514" s="266">
        <f t="shared" si="19"/>
        <v>26.193563256924946</v>
      </c>
      <c r="G514" s="266" t="str">
        <f t="shared" si="19"/>
        <v/>
      </c>
      <c r="H514" s="268" t="str">
        <f t="shared" si="18"/>
        <v/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>
        <f>W72</f>
        <v>449103</v>
      </c>
      <c r="D515" s="243">
        <v>136581</v>
      </c>
      <c r="E515" s="180">
        <f>W59</f>
        <v>1833</v>
      </c>
      <c r="F515" s="266">
        <f t="shared" si="19"/>
        <v>22.146887195144274</v>
      </c>
      <c r="G515" s="266">
        <f t="shared" si="19"/>
        <v>245.00981996726676</v>
      </c>
      <c r="H515" s="268">
        <f t="shared" si="18"/>
        <v>10.062946129105917</v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>
        <f>X72</f>
        <v>776034</v>
      </c>
      <c r="D516" s="243">
        <v>138430</v>
      </c>
      <c r="E516" s="180">
        <f>X59</f>
        <v>26503</v>
      </c>
      <c r="F516" s="266">
        <f t="shared" si="19"/>
        <v>16.979318066893015</v>
      </c>
      <c r="G516" s="266">
        <f t="shared" si="19"/>
        <v>29.280987058068899</v>
      </c>
      <c r="H516" s="268">
        <f t="shared" si="18"/>
        <v>0.72450901400817691</v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>
        <f>Y72</f>
        <v>3077000</v>
      </c>
      <c r="D517" s="243">
        <v>146839</v>
      </c>
      <c r="E517" s="180">
        <f>Y59</f>
        <v>36371</v>
      </c>
      <c r="F517" s="266">
        <f t="shared" si="19"/>
        <v>60.994640388452659</v>
      </c>
      <c r="G517" s="266">
        <f t="shared" si="19"/>
        <v>84.600368425393853</v>
      </c>
      <c r="H517" s="268">
        <f t="shared" si="18"/>
        <v>0.38701315208360776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>
        <f>Z72</f>
        <v>0</v>
      </c>
      <c r="D518" s="243">
        <v>24260</v>
      </c>
      <c r="E518" s="180">
        <f>Z59</f>
        <v>0</v>
      </c>
      <c r="F518" s="266">
        <f t="shared" si="19"/>
        <v>724.87308326463312</v>
      </c>
      <c r="G518" s="266" t="str">
        <f t="shared" si="19"/>
        <v/>
      </c>
      <c r="H518" s="268" t="str">
        <f t="shared" si="18"/>
        <v/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>
        <f>AA72</f>
        <v>214320</v>
      </c>
      <c r="D519" s="243">
        <v>38874.47</v>
      </c>
      <c r="E519" s="180">
        <f>AA59</f>
        <v>0</v>
      </c>
      <c r="F519" s="266">
        <f t="shared" si="19"/>
        <v>53.854624899066145</v>
      </c>
      <c r="G519" s="266" t="str">
        <f t="shared" si="19"/>
        <v/>
      </c>
      <c r="H519" s="268" t="str">
        <f t="shared" si="18"/>
        <v/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>
        <f>AB72</f>
        <v>741964</v>
      </c>
      <c r="D520" s="181" t="s">
        <v>529</v>
      </c>
      <c r="E520" s="181" t="s">
        <v>529</v>
      </c>
      <c r="F520" s="266" t="str">
        <f t="shared" si="19"/>
        <v/>
      </c>
      <c r="G520" s="266" t="str">
        <f t="shared" si="19"/>
        <v/>
      </c>
      <c r="H520" s="268" t="str">
        <f t="shared" si="18"/>
        <v/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>
        <f>AC72</f>
        <v>1144642</v>
      </c>
      <c r="D521" s="243">
        <v>0</v>
      </c>
      <c r="E521" s="180">
        <f>AC59</f>
        <v>6206</v>
      </c>
      <c r="F521" s="266" t="str">
        <f t="shared" si="19"/>
        <v/>
      </c>
      <c r="G521" s="266">
        <f t="shared" si="19"/>
        <v>184.44118594908153</v>
      </c>
      <c r="H521" s="268" t="str">
        <f t="shared" si="18"/>
        <v/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>
        <f>AD72</f>
        <v>0</v>
      </c>
      <c r="D522" s="243">
        <v>0</v>
      </c>
      <c r="E522" s="180">
        <f>AD59</f>
        <v>0</v>
      </c>
      <c r="F522" s="266" t="str">
        <f t="shared" si="19"/>
        <v/>
      </c>
      <c r="G522" s="266" t="str">
        <f t="shared" si="19"/>
        <v/>
      </c>
      <c r="H522" s="268" t="str">
        <f t="shared" si="18"/>
        <v/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>
        <f>AE72</f>
        <v>2214269</v>
      </c>
      <c r="D523" s="243">
        <v>0</v>
      </c>
      <c r="E523" s="180">
        <f>AE59</f>
        <v>22498</v>
      </c>
      <c r="F523" s="266" t="str">
        <f t="shared" si="19"/>
        <v/>
      </c>
      <c r="G523" s="266">
        <f t="shared" si="19"/>
        <v>98.42070406258334</v>
      </c>
      <c r="H523" s="268" t="str">
        <f t="shared" si="18"/>
        <v/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>
        <f>AF59</f>
        <v>0</v>
      </c>
      <c r="F524" s="266">
        <f t="shared" si="19"/>
        <v>120.74259923408911</v>
      </c>
      <c r="G524" s="266" t="str">
        <f t="shared" si="19"/>
        <v/>
      </c>
      <c r="H524" s="268" t="str">
        <f t="shared" si="18"/>
        <v/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>
        <f>AG72</f>
        <v>6441027</v>
      </c>
      <c r="D525" s="243">
        <v>44098</v>
      </c>
      <c r="E525" s="180">
        <f>AG59</f>
        <v>19855</v>
      </c>
      <c r="F525" s="266">
        <f t="shared" si="19"/>
        <v>268.5709102453626</v>
      </c>
      <c r="G525" s="266">
        <f t="shared" si="19"/>
        <v>324.40327373457569</v>
      </c>
      <c r="H525" s="268" t="str">
        <f t="shared" si="18"/>
        <v/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>
        <f>AH72</f>
        <v>0</v>
      </c>
      <c r="D526" s="243">
        <v>0</v>
      </c>
      <c r="E526" s="180">
        <f>AH59</f>
        <v>0</v>
      </c>
      <c r="F526" s="266" t="str">
        <f t="shared" si="19"/>
        <v/>
      </c>
      <c r="G526" s="266" t="str">
        <f t="shared" si="19"/>
        <v/>
      </c>
      <c r="H526" s="268" t="str">
        <f t="shared" si="18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20">IF(B527=0,"",IF(D527=0,"",B527/D527))</f>
        <v/>
      </c>
      <c r="G527" s="266" t="str">
        <f t="shared" si="20"/>
        <v/>
      </c>
      <c r="H527" s="268" t="str">
        <f t="shared" si="18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>
        <f>AJ72</f>
        <v>0</v>
      </c>
      <c r="D528" s="243">
        <v>23069</v>
      </c>
      <c r="E528" s="180">
        <f>AJ59</f>
        <v>0</v>
      </c>
      <c r="F528" s="266">
        <f t="shared" si="20"/>
        <v>92.037452858814859</v>
      </c>
      <c r="G528" s="266" t="str">
        <f t="shared" si="20"/>
        <v/>
      </c>
      <c r="H528" s="268" t="str">
        <f t="shared" si="18"/>
        <v/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>
        <f>AK72</f>
        <v>0</v>
      </c>
      <c r="D529" s="243">
        <v>0</v>
      </c>
      <c r="E529" s="180">
        <f>AK59</f>
        <v>0</v>
      </c>
      <c r="F529" s="266" t="str">
        <f t="shared" si="20"/>
        <v/>
      </c>
      <c r="G529" s="266" t="str">
        <f t="shared" si="20"/>
        <v/>
      </c>
      <c r="H529" s="268" t="str">
        <f t="shared" si="18"/>
        <v/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20"/>
        <v/>
      </c>
      <c r="G530" s="266" t="str">
        <f t="shared" si="20"/>
        <v/>
      </c>
      <c r="H530" s="268" t="str">
        <f t="shared" si="18"/>
        <v/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20"/>
        <v/>
      </c>
      <c r="G531" s="266" t="str">
        <f t="shared" si="20"/>
        <v/>
      </c>
      <c r="H531" s="268" t="str">
        <f t="shared" si="18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20"/>
        <v/>
      </c>
      <c r="G532" s="266" t="str">
        <f t="shared" si="20"/>
        <v/>
      </c>
      <c r="H532" s="268" t="str">
        <f t="shared" si="18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20"/>
        <v/>
      </c>
      <c r="G533" s="266" t="str">
        <f t="shared" si="20"/>
        <v/>
      </c>
      <c r="H533" s="268" t="str">
        <f t="shared" si="18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>
        <f>AP72</f>
        <v>22765699</v>
      </c>
      <c r="D534" s="243">
        <v>190475</v>
      </c>
      <c r="E534" s="180">
        <f>AP59</f>
        <v>85586</v>
      </c>
      <c r="F534" s="266">
        <f t="shared" si="20"/>
        <v>276.81766111038195</v>
      </c>
      <c r="G534" s="266">
        <f t="shared" si="20"/>
        <v>265.99793190475077</v>
      </c>
      <c r="H534" s="268" t="str">
        <f t="shared" si="18"/>
        <v/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20"/>
        <v/>
      </c>
      <c r="G535" s="266" t="str">
        <f t="shared" si="20"/>
        <v/>
      </c>
      <c r="H535" s="268" t="str">
        <f t="shared" si="18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20"/>
        <v/>
      </c>
      <c r="G536" s="266" t="str">
        <f t="shared" si="20"/>
        <v/>
      </c>
      <c r="H536" s="268" t="str">
        <f t="shared" si="18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20"/>
        <v/>
      </c>
      <c r="G537" s="266" t="str">
        <f t="shared" si="20"/>
        <v/>
      </c>
      <c r="H537" s="268" t="str">
        <f t="shared" si="18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20"/>
        <v/>
      </c>
      <c r="G538" s="266" t="str">
        <f t="shared" si="20"/>
        <v/>
      </c>
      <c r="H538" s="268" t="str">
        <f t="shared" si="18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>
        <f>AU72</f>
        <v>0</v>
      </c>
      <c r="D539" s="243">
        <v>0</v>
      </c>
      <c r="E539" s="180">
        <f>AU59</f>
        <v>0</v>
      </c>
      <c r="F539" s="266" t="str">
        <f t="shared" si="20"/>
        <v/>
      </c>
      <c r="G539" s="266" t="str">
        <f t="shared" si="20"/>
        <v/>
      </c>
      <c r="H539" s="268" t="str">
        <f t="shared" si="18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>
        <f>AV72</f>
        <v>363071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>
        <f>AW72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>
        <f>AY72</f>
        <v>1353638</v>
      </c>
      <c r="D543" s="243">
        <v>285759</v>
      </c>
      <c r="E543" s="180">
        <f>AY59</f>
        <v>28442</v>
      </c>
      <c r="F543" s="266">
        <f t="shared" ref="F543:G549" si="21">IF(B543=0,"",IF(D543=0,"",B543/D543))</f>
        <v>2.2626758912230236</v>
      </c>
      <c r="G543" s="266">
        <f t="shared" si="21"/>
        <v>47.59292595457422</v>
      </c>
      <c r="H543" s="268">
        <f t="shared" si="18"/>
        <v>20.033912165320881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>
        <f>AZ72</f>
        <v>0</v>
      </c>
      <c r="D544" s="243">
        <v>1081972</v>
      </c>
      <c r="E544" s="180">
        <f>AZ59</f>
        <v>0</v>
      </c>
      <c r="F544" s="266">
        <f t="shared" si="21"/>
        <v>4.1278572828132338</v>
      </c>
      <c r="G544" s="266" t="str">
        <f t="shared" si="21"/>
        <v/>
      </c>
      <c r="H544" s="268" t="str">
        <f t="shared" si="18"/>
        <v/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>
        <f>BA72</f>
        <v>335672</v>
      </c>
      <c r="D545" s="243">
        <v>0</v>
      </c>
      <c r="E545" s="180">
        <f>BA59</f>
        <v>0</v>
      </c>
      <c r="F545" s="266" t="str">
        <f t="shared" si="21"/>
        <v/>
      </c>
      <c r="G545" s="266" t="str">
        <f t="shared" si="21"/>
        <v/>
      </c>
      <c r="H545" s="268" t="str">
        <f t="shared" si="18"/>
        <v/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>
        <f>BB72</f>
        <v>0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>
        <f>BD72</f>
        <v>584236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>
        <f>BE72</f>
        <v>3014216</v>
      </c>
      <c r="D549" s="243">
        <v>564884</v>
      </c>
      <c r="E549" s="180">
        <f>BE59</f>
        <v>186976.5</v>
      </c>
      <c r="F549" s="266">
        <f t="shared" si="21"/>
        <v>17.27373761692666</v>
      </c>
      <c r="G549" s="266">
        <f t="shared" si="21"/>
        <v>16.120828018494304</v>
      </c>
      <c r="H549" s="268" t="str">
        <f t="shared" si="18"/>
        <v/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>
        <f>BF72</f>
        <v>1747286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>
        <f>BG72</f>
        <v>0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>
        <f>BH72</f>
        <v>5130173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>
        <f>BI72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>
        <f>BJ72</f>
        <v>879918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>
        <f>BK72</f>
        <v>1892076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>
        <f>BL72</f>
        <v>1552287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>
        <f>BM72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>
        <f>BN72</f>
        <v>4293308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>
        <f>BO72</f>
        <v>277958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>
        <f>BP72</f>
        <v>287844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>
        <f>BR72</f>
        <v>810604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>
        <f>BS72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>
        <f>BT72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>
        <f>BV72</f>
        <v>2114987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>
        <f>BW72</f>
        <v>291675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>
        <f>BX72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>
        <f>BY72</f>
        <v>3731436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>
        <f>BZ72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>
        <f>CA72</f>
        <v>353276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>
        <f>CB72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>
        <f>CC72</f>
        <v>2024203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3800122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162235.22999999998</v>
      </c>
      <c r="E611" s="180">
        <f>SUM(C623:D646)+SUM(C667:D712)</f>
        <v>88142846.769160554</v>
      </c>
      <c r="F611" s="180">
        <f>CE64-(AX64+BD64+BE64+BG64+BJ64+BN64+BP64+BQ64+CB64+CC64+CD64)</f>
        <v>11624837</v>
      </c>
      <c r="G611" s="180">
        <f>CE78-(AX78+AY78+BD78+BE78+BG78+BJ78+BN78+BP78+BQ78+CB78+CC78+CD78)</f>
        <v>28442</v>
      </c>
      <c r="H611" s="197">
        <f>CE60-(AX60+AY60+AZ60+BD60+BE60+BG60+BJ60+BN60+BO60+BP60+BQ60+BR60+CB60+CC60+CD60)</f>
        <v>509.46000000000009</v>
      </c>
      <c r="I611" s="180">
        <f>CE79-(AX79+AY79+AZ79+BD79+BE79+BF79+BG79+BJ79+BN79+BO79+BP79+BQ79+BR79+CB79+CC79+CD79)</f>
        <v>136136.65999999997</v>
      </c>
      <c r="J611" s="180">
        <f>CE80-(AX80+AY80+AZ80+BA80+BD80+BE80+BF80+BG80+BJ80+BN80+BO80+BP80+BQ80+BR80+CB80+CC80+CD80)</f>
        <v>298490</v>
      </c>
      <c r="K611" s="180">
        <f>CE76-(AW76+AX76+AY76+AZ76+BA76+BB76+BC76+BD76+BE76+BF76+BG76+BH76+BI76+BJ76+BK76+BL76+BM76+BN76+BO76+BP76+BQ76+BR76+BS76+BT76+BU76+BV76+BW76+BX76+CB76+CC76+CD76)</f>
        <v>222882635</v>
      </c>
      <c r="L611" s="197">
        <f>CE81-(AW81+AX81+AY81+AZ81+BA81+BB81+BC81+BD81+BE81+BF81+BG81+BH81+BI81+BJ81+BK81+BL81+BM81+BN81+BO81+BP81+BQ81+BR81+BS81+BT81+BU81+BV81+BW81+BX81+BY81+BZ81+CA81+CB81+CC81+CD81)</f>
        <v>133.87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3014216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3800122</v>
      </c>
      <c r="D614" s="269">
        <f>SUM(C613:C614)</f>
        <v>6814338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879918</v>
      </c>
      <c r="D616" s="180">
        <f>(D614/D611)*BJ77</f>
        <v>128927.67181949323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4293308</v>
      </c>
      <c r="D618" s="180">
        <f>(D614/D611)*BN77</f>
        <v>188063.449358071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2024203</v>
      </c>
      <c r="D619" s="180">
        <f>(D614/D611)*CC77</f>
        <v>242780.10966187806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287844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8045044.2308394425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584236</v>
      </c>
      <c r="D623" s="180">
        <f>(D614/D611)*BD77</f>
        <v>142723.07971406705</v>
      </c>
      <c r="E623" s="180">
        <f>(E622/E611)*SUM(C623:D623)</f>
        <v>66351.589092947834</v>
      </c>
      <c r="F623" s="180">
        <f>SUM(C623:E623)</f>
        <v>793310.66880701482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1353638</v>
      </c>
      <c r="D624" s="180">
        <f>(D614/D611)*AY77</f>
        <v>211417.86020188098</v>
      </c>
      <c r="E624" s="180">
        <f>(E622/E611)*SUM(C624:D624)</f>
        <v>142847.02707677838</v>
      </c>
      <c r="F624" s="180">
        <f>(F623/F611)*AY64</f>
        <v>49127.94480250949</v>
      </c>
      <c r="G624" s="180">
        <f>SUM(C624:F624)</f>
        <v>1757030.8320811689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810604</v>
      </c>
      <c r="D625" s="180">
        <f>(D614/D611)*BR77</f>
        <v>79580.652683760505</v>
      </c>
      <c r="E625" s="180">
        <f>(E622/E611)*SUM(C625:D625)</f>
        <v>81249.643810698821</v>
      </c>
      <c r="F625" s="180">
        <f>(F623/F611)*BR64</f>
        <v>2297.1186970374661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277958</v>
      </c>
      <c r="D626" s="180">
        <f>(D614/D611)*BO77</f>
        <v>13395.120970827364</v>
      </c>
      <c r="E626" s="180">
        <f>(E622/E611)*SUM(C626:D626)</f>
        <v>26592.614499302992</v>
      </c>
      <c r="F626" s="180">
        <f>(F623/F611)*BO64</f>
        <v>1020.7748275537393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1292697.9254891807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1747286</v>
      </c>
      <c r="D628" s="180">
        <f>(D614/D611)*BF77</f>
        <v>89325.728148442242</v>
      </c>
      <c r="E628" s="180">
        <f>(E622/E611)*SUM(C628:D628)</f>
        <v>167632.69090376582</v>
      </c>
      <c r="F628" s="180">
        <f>(F623/F611)*BF64</f>
        <v>10193.076087549423</v>
      </c>
      <c r="G628" s="180">
        <f>(G624/G611)*BF78</f>
        <v>0</v>
      </c>
      <c r="H628" s="180">
        <f>(H627/H611)*BF60</f>
        <v>60719.705878687404</v>
      </c>
      <c r="I628" s="180">
        <f>SUM(C628:H628)</f>
        <v>2075157.2010184447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335672</v>
      </c>
      <c r="D629" s="180">
        <f>(D614/D611)*BA77</f>
        <v>61279.18170634086</v>
      </c>
      <c r="E629" s="180">
        <f>(E622/E611)*SUM(C629:D629)</f>
        <v>36230.84494508108</v>
      </c>
      <c r="F629" s="180">
        <f>(F623/F611)*BA64</f>
        <v>4149.9771903461688</v>
      </c>
      <c r="G629" s="180">
        <f>(G624/G611)*BA78</f>
        <v>0</v>
      </c>
      <c r="H629" s="180">
        <f>(H627/H611)*BA60</f>
        <v>3780.7088073232026</v>
      </c>
      <c r="I629" s="180">
        <f>(I628/I611)*BA79</f>
        <v>22238.749615877459</v>
      </c>
      <c r="J629" s="180">
        <f>SUM(C629:I629)</f>
        <v>463351.46226496878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0</v>
      </c>
      <c r="D631" s="180">
        <f>(D614/D611)*BB77</f>
        <v>0</v>
      </c>
      <c r="E631" s="180">
        <f>(E622/E611)*SUM(C631:D631)</f>
        <v>0</v>
      </c>
      <c r="F631" s="180">
        <f>(F623/F611)*BB64</f>
        <v>0</v>
      </c>
      <c r="G631" s="180">
        <f>(G624/G611)*BB78</f>
        <v>0</v>
      </c>
      <c r="H631" s="180">
        <f>(H627/H611)*BB60</f>
        <v>0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1892076</v>
      </c>
      <c r="D634" s="180">
        <f>(D614/D611)*BK77</f>
        <v>114856.72539188931</v>
      </c>
      <c r="E634" s="180">
        <f>(E622/E611)*SUM(C634:D634)</f>
        <v>183178.36484657333</v>
      </c>
      <c r="F634" s="180">
        <f>(F623/F611)*BK64</f>
        <v>671.09905429626099</v>
      </c>
      <c r="G634" s="180">
        <f>(G624/G611)*BK78</f>
        <v>0</v>
      </c>
      <c r="H634" s="180">
        <f>(H627/H611)*BK60</f>
        <v>55467.311763815575</v>
      </c>
      <c r="I634" s="180">
        <f>(I628/I611)*BK79</f>
        <v>41682.5076080531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5130173</v>
      </c>
      <c r="D635" s="180">
        <f>(D614/D611)*BH77</f>
        <v>136547.40433122942</v>
      </c>
      <c r="E635" s="180">
        <f>(E622/E611)*SUM(C635:D635)</f>
        <v>480708.30654330662</v>
      </c>
      <c r="F635" s="180">
        <f>(F623/F611)*BH64</f>
        <v>29501.607236983</v>
      </c>
      <c r="G635" s="180">
        <f>(G624/G611)*BH78</f>
        <v>0</v>
      </c>
      <c r="H635" s="180">
        <f>(H627/H611)*BH60</f>
        <v>14691.479190873384</v>
      </c>
      <c r="I635" s="180">
        <f>(I628/I611)*BH79</f>
        <v>49554.244215796636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1552287</v>
      </c>
      <c r="D636" s="180">
        <f>(D614/D611)*BL77</f>
        <v>90629.075813064788</v>
      </c>
      <c r="E636" s="180">
        <f>(E622/E611)*SUM(C636:D636)</f>
        <v>149953.54679306498</v>
      </c>
      <c r="F636" s="180">
        <f>(F623/F611)*BL64</f>
        <v>1055.1009231721061</v>
      </c>
      <c r="G636" s="180">
        <f>(G624/G611)*BL78</f>
        <v>0</v>
      </c>
      <c r="H636" s="180">
        <f>(H627/H611)*BL60</f>
        <v>58283.812955848298</v>
      </c>
      <c r="I636" s="180">
        <f>(I628/I611)*BL79</f>
        <v>32890.082223741127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2114987</v>
      </c>
      <c r="D641" s="180">
        <f>(D614/D611)*BV77</f>
        <v>176479.0701797631</v>
      </c>
      <c r="E641" s="180">
        <f>(E622/E611)*SUM(C641:D641)</f>
        <v>209148.51929327587</v>
      </c>
      <c r="F641" s="180">
        <f>(F623/F611)*BV64</f>
        <v>811.67908804146111</v>
      </c>
      <c r="G641" s="180">
        <f>(G624/G611)*BV78</f>
        <v>0</v>
      </c>
      <c r="H641" s="180">
        <f>(H627/H611)*BV60</f>
        <v>52726.932225621582</v>
      </c>
      <c r="I641" s="180">
        <f>(I628/I611)*BV79</f>
        <v>64045.794099833947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291675</v>
      </c>
      <c r="D642" s="180">
        <f>(D614/D611)*BW77</f>
        <v>42864.723129248814</v>
      </c>
      <c r="E642" s="180">
        <f>(E622/E611)*SUM(C642:D642)</f>
        <v>30534.376505856755</v>
      </c>
      <c r="F642" s="180">
        <f>(F623/F611)*BW64</f>
        <v>350.69941427989477</v>
      </c>
      <c r="G642" s="180">
        <f>(G624/G611)*BW78</f>
        <v>175320.07247895215</v>
      </c>
      <c r="H642" s="180">
        <f>(H627/H611)*BW60</f>
        <v>5074.77692258148</v>
      </c>
      <c r="I642" s="180">
        <f>(I628/I611)*BW79</f>
        <v>15555.981958007076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0</v>
      </c>
      <c r="D643" s="180">
        <f>(D614/D611)*BX77</f>
        <v>0</v>
      </c>
      <c r="E643" s="180">
        <f>(E622/E611)*SUM(C643:D643)</f>
        <v>0</v>
      </c>
      <c r="F643" s="180">
        <f>(F623/F611)*BX64</f>
        <v>0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13193781.294187168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3731436</v>
      </c>
      <c r="D644" s="180">
        <f>(D614/D611)*BY77</f>
        <v>101876.1723053618</v>
      </c>
      <c r="E644" s="180">
        <f>(E622/E611)*SUM(C644:D644)</f>
        <v>349877.12681412825</v>
      </c>
      <c r="F644" s="180">
        <f>(F623/F611)*BY64</f>
        <v>606.47318441436562</v>
      </c>
      <c r="G644" s="180">
        <f>(G624/G611)*BY78</f>
        <v>0</v>
      </c>
      <c r="H644" s="180">
        <f>(H627/H611)*BY60</f>
        <v>69930.425993172787</v>
      </c>
      <c r="I644" s="180">
        <f>(I628/I611)*BY79</f>
        <v>36971.751655889006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353276</v>
      </c>
      <c r="D646" s="180">
        <f>(D614/D611)*CA77</f>
        <v>43934.955114249853</v>
      </c>
      <c r="E646" s="180">
        <f>(E622/E611)*SUM(C646:D646)</f>
        <v>36254.555190815452</v>
      </c>
      <c r="F646" s="180">
        <f>(F623/F611)*CA64</f>
        <v>409.18343802729112</v>
      </c>
      <c r="G646" s="180">
        <f>(G624/G611)*CA78</f>
        <v>0</v>
      </c>
      <c r="H646" s="180">
        <f>(H627/H611)*CA60</f>
        <v>5658.3762686783502</v>
      </c>
      <c r="I646" s="180">
        <f>(I628/I611)*CA79</f>
        <v>15944.378481632308</v>
      </c>
      <c r="J646" s="180">
        <f>(J629/J611)*CA80</f>
        <v>0</v>
      </c>
      <c r="K646" s="180">
        <v>0</v>
      </c>
      <c r="L646" s="180">
        <f>SUM(C644:K646)</f>
        <v>4746175.398446369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34474915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2776885</v>
      </c>
      <c r="D667" s="180">
        <f>(D614/D611)*C77</f>
        <v>273427.05100945092</v>
      </c>
      <c r="E667" s="180">
        <f>(E622/E611)*SUM(C667:D667)</f>
        <v>278410.51506427675</v>
      </c>
      <c r="F667" s="180">
        <f>(F623/F611)*C64</f>
        <v>10080.202604144297</v>
      </c>
      <c r="G667" s="180">
        <f>(G624/G611)*C78</f>
        <v>303566.89082507783</v>
      </c>
      <c r="H667" s="180">
        <f>(H627/H611)*C60</f>
        <v>46941.686533878688</v>
      </c>
      <c r="I667" s="180">
        <f>(I628/I611)*C79</f>
        <v>99229.062077663737</v>
      </c>
      <c r="J667" s="180">
        <f>(J629/J611)*C80</f>
        <v>56100.780080592216</v>
      </c>
      <c r="K667" s="180">
        <f>(K643/K611)*C76</f>
        <v>587339.14050121815</v>
      </c>
      <c r="L667" s="180">
        <f>(L646/L611)*C81</f>
        <v>655891.87175063742</v>
      </c>
      <c r="M667" s="180">
        <f t="shared" ref="M667:M712" si="22">ROUND(SUM(D667:L667),0)</f>
        <v>2310987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22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7453079</v>
      </c>
      <c r="D669" s="180">
        <f>(D614/D611)*E77</f>
        <v>807669.8047749555</v>
      </c>
      <c r="E669" s="180">
        <f>(E622/E611)*SUM(C669:D669)</f>
        <v>753981.65534994903</v>
      </c>
      <c r="F669" s="180">
        <f>(F623/F611)*E64</f>
        <v>9468.2700009437103</v>
      </c>
      <c r="G669" s="180">
        <f>(G624/G611)*E78</f>
        <v>1040862.5444671828</v>
      </c>
      <c r="H669" s="180">
        <f>(H627/H611)*E60</f>
        <v>124408.15625708496</v>
      </c>
      <c r="I669" s="180">
        <f>(I628/I611)*E79</f>
        <v>293110.41793556284</v>
      </c>
      <c r="J669" s="180">
        <f>(J629/J611)*E80</f>
        <v>95321.651954312285</v>
      </c>
      <c r="K669" s="180">
        <f>(K643/K611)*E76</f>
        <v>1087587.6267799665</v>
      </c>
      <c r="L669" s="180">
        <f>(L646/L611)*E81</f>
        <v>1738290.728212635</v>
      </c>
      <c r="M669" s="180">
        <f t="shared" si="22"/>
        <v>5950701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22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22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22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22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45742</v>
      </c>
      <c r="D674" s="180">
        <f>(D614/D611)*J77</f>
        <v>20220.580058844189</v>
      </c>
      <c r="E674" s="180">
        <f>(E622/E611)*SUM(C674:D674)</f>
        <v>6020.5892321980346</v>
      </c>
      <c r="F674" s="180">
        <f>(F623/F611)*J64</f>
        <v>1703.7481177100317</v>
      </c>
      <c r="G674" s="180">
        <f>(G624/G611)*J78</f>
        <v>0</v>
      </c>
      <c r="H674" s="180">
        <f>(H627/H611)*J60</f>
        <v>0</v>
      </c>
      <c r="I674" s="180">
        <f>(I628/I611)*J79</f>
        <v>7338.2248994671218</v>
      </c>
      <c r="J674" s="180">
        <f>(J629/J611)*J80</f>
        <v>0</v>
      </c>
      <c r="K674" s="180">
        <f>(K643/K611)*J76</f>
        <v>60612.47839793883</v>
      </c>
      <c r="L674" s="180">
        <f>(L646/L611)*J81</f>
        <v>0</v>
      </c>
      <c r="M674" s="180">
        <f t="shared" si="22"/>
        <v>95896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22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22"/>
        <v>0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22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22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114517</v>
      </c>
      <c r="D679" s="180">
        <f>(D614/D611)*O77</f>
        <v>40895.630685887409</v>
      </c>
      <c r="E679" s="180">
        <f>(E622/E611)*SUM(C679:D679)</f>
        <v>14184.945616443778</v>
      </c>
      <c r="F679" s="180">
        <f>(F623/F611)*O64</f>
        <v>3939.3118679328522</v>
      </c>
      <c r="G679" s="180">
        <f>(G624/G611)*O78</f>
        <v>0</v>
      </c>
      <c r="H679" s="180">
        <f>(H627/H611)*O60</f>
        <v>0</v>
      </c>
      <c r="I679" s="180">
        <f>(I628/I611)*O79</f>
        <v>14841.381132749981</v>
      </c>
      <c r="J679" s="180">
        <f>(J629/J611)*O80</f>
        <v>43879.378819537917</v>
      </c>
      <c r="K679" s="180">
        <f>(K643/K611)*O76</f>
        <v>148503.75978458347</v>
      </c>
      <c r="L679" s="180">
        <f>(L646/L611)*O81</f>
        <v>0</v>
      </c>
      <c r="M679" s="180">
        <f t="shared" si="22"/>
        <v>266244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3127337</v>
      </c>
      <c r="D680" s="180">
        <f>(D614/D611)*P77</f>
        <v>275414.20466762991</v>
      </c>
      <c r="E680" s="180">
        <f>(E622/E611)*SUM(C680:D680)</f>
        <v>310578.62267356849</v>
      </c>
      <c r="F680" s="180">
        <f>(F623/F611)*P64</f>
        <v>44717.621578795392</v>
      </c>
      <c r="G680" s="180">
        <f>(G624/G611)*P78</f>
        <v>52509.535450003292</v>
      </c>
      <c r="H680" s="180">
        <f>(H627/H611)*P60</f>
        <v>49250.710033653253</v>
      </c>
      <c r="I680" s="180">
        <f>(I628/I611)*P79</f>
        <v>99950.217475336831</v>
      </c>
      <c r="J680" s="180">
        <f>(J629/J611)*P80</f>
        <v>57291.408147050832</v>
      </c>
      <c r="K680" s="180">
        <f>(K643/K611)*P76</f>
        <v>788060.12951180327</v>
      </c>
      <c r="L680" s="180">
        <f>(L646/L611)*P81</f>
        <v>688154.66111783078</v>
      </c>
      <c r="M680" s="180">
        <f t="shared" si="22"/>
        <v>2365927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1838349</v>
      </c>
      <c r="D681" s="180">
        <f>(D614/D611)*Q77</f>
        <v>304012.66823229461</v>
      </c>
      <c r="E681" s="180">
        <f>(E622/E611)*SUM(C681:D681)</f>
        <v>195539.34336296149</v>
      </c>
      <c r="F681" s="180">
        <f>(F623/F611)*Q64</f>
        <v>6197.1227497095242</v>
      </c>
      <c r="G681" s="180">
        <f>(G624/G611)*Q78</f>
        <v>0</v>
      </c>
      <c r="H681" s="180">
        <f>(H627/H611)*Q60</f>
        <v>34178.622573586268</v>
      </c>
      <c r="I681" s="180">
        <f>(I628/I611)*Q79</f>
        <v>110328.8493843129</v>
      </c>
      <c r="J681" s="180">
        <f>(J629/J611)*Q80</f>
        <v>39986.164750857082</v>
      </c>
      <c r="K681" s="180">
        <f>(K643/K611)*Q76</f>
        <v>302852.12746569049</v>
      </c>
      <c r="L681" s="180">
        <f>(L646/L611)*Q81</f>
        <v>477560.1898638425</v>
      </c>
      <c r="M681" s="180">
        <f t="shared" si="22"/>
        <v>1470655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-186382</v>
      </c>
      <c r="D682" s="180">
        <f>(D614/D611)*R77</f>
        <v>13071.279188866685</v>
      </c>
      <c r="E682" s="180">
        <f>(E622/E611)*SUM(C682:D682)</f>
        <v>-15818.554377484308</v>
      </c>
      <c r="F682" s="180">
        <f>(F623/F611)*R64</f>
        <v>4293.0139625451684</v>
      </c>
      <c r="G682" s="180">
        <f>(G624/G611)*R78</f>
        <v>0</v>
      </c>
      <c r="H682" s="180">
        <f>(H627/H611)*R60</f>
        <v>13194.419998711848</v>
      </c>
      <c r="I682" s="180">
        <f>(I628/I611)*R79</f>
        <v>4743.6812461605869</v>
      </c>
      <c r="J682" s="180">
        <f>(J629/J611)*R80</f>
        <v>0</v>
      </c>
      <c r="K682" s="180">
        <f>(K643/K611)*R76</f>
        <v>104469.68012761773</v>
      </c>
      <c r="L682" s="180">
        <f>(L646/L611)*R81</f>
        <v>184358.79638396294</v>
      </c>
      <c r="M682" s="180">
        <f t="shared" si="22"/>
        <v>308312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3729203</v>
      </c>
      <c r="D683" s="180">
        <f>(D614/D611)*S77</f>
        <v>124604.32102608049</v>
      </c>
      <c r="E683" s="180">
        <f>(E622/E611)*SUM(C683:D683)</f>
        <v>351747.77637923288</v>
      </c>
      <c r="F683" s="180">
        <f>(F623/F611)*S64</f>
        <v>247102.98473272444</v>
      </c>
      <c r="G683" s="180">
        <f>(G624/G611)*S78</f>
        <v>0</v>
      </c>
      <c r="H683" s="180">
        <f>(H627/H611)*S60</f>
        <v>0</v>
      </c>
      <c r="I683" s="180">
        <f>(I628/I611)*S79</f>
        <v>45219.995097759042</v>
      </c>
      <c r="J683" s="180">
        <f>(J629/J611)*S80</f>
        <v>0</v>
      </c>
      <c r="K683" s="180">
        <f>(K643/K611)*S76</f>
        <v>349668.95628056373</v>
      </c>
      <c r="L683" s="180">
        <f>(L646/L611)*S81</f>
        <v>0</v>
      </c>
      <c r="M683" s="180">
        <f t="shared" si="22"/>
        <v>1118344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22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4627117</v>
      </c>
      <c r="D685" s="180">
        <f>(D614/D611)*U77</f>
        <v>174220.57827106977</v>
      </c>
      <c r="E685" s="180">
        <f>(E622/E611)*SUM(C685:D685)</f>
        <v>438231.51395987254</v>
      </c>
      <c r="F685" s="180">
        <f>(F623/F611)*U64</f>
        <v>100132.56481278257</v>
      </c>
      <c r="G685" s="180">
        <f>(G624/G611)*U78</f>
        <v>0</v>
      </c>
      <c r="H685" s="180">
        <f>(H627/H611)*U60</f>
        <v>66251.212724301222</v>
      </c>
      <c r="I685" s="180">
        <f>(I628/I611)*U79</f>
        <v>63226.167684004715</v>
      </c>
      <c r="J685" s="180">
        <f>(J629/J611)*U80</f>
        <v>44483.230602917836</v>
      </c>
      <c r="K685" s="180">
        <f>(K643/K611)*U76</f>
        <v>1590256.2269480284</v>
      </c>
      <c r="L685" s="180">
        <f>(L646/L611)*U81</f>
        <v>0</v>
      </c>
      <c r="M685" s="180">
        <f t="shared" si="22"/>
        <v>2476801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22"/>
        <v>0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449103</v>
      </c>
      <c r="D687" s="180">
        <f>(D614/D611)*W77</f>
        <v>89663.85089095631</v>
      </c>
      <c r="E687" s="180">
        <f>(E622/E611)*SUM(C687:D687)</f>
        <v>49174.757843699976</v>
      </c>
      <c r="F687" s="180">
        <f>(F623/F611)*W64</f>
        <v>980.17040033121793</v>
      </c>
      <c r="G687" s="180">
        <f>(G624/G611)*W78</f>
        <v>0</v>
      </c>
      <c r="H687" s="180">
        <f>(H627/H611)*W60</f>
        <v>4085.1954226780917</v>
      </c>
      <c r="I687" s="180">
        <f>(I628/I611)*W79</f>
        <v>32539.793679278493</v>
      </c>
      <c r="J687" s="180">
        <f>(J629/J611)*W80</f>
        <v>0</v>
      </c>
      <c r="K687" s="180">
        <f>(K643/K611)*W76</f>
        <v>399619.27110715111</v>
      </c>
      <c r="L687" s="180">
        <f>(L646/L611)*W81</f>
        <v>0</v>
      </c>
      <c r="M687" s="180">
        <f t="shared" si="22"/>
        <v>576063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776034</v>
      </c>
      <c r="D688" s="180">
        <f>(D614/D611)*X77</f>
        <v>33209.533710403099</v>
      </c>
      <c r="E688" s="180">
        <f>(E622/E611)*SUM(C688:D688)</f>
        <v>73861.921424789558</v>
      </c>
      <c r="F688" s="180">
        <f>(F623/F611)*X64</f>
        <v>6578.7361228663976</v>
      </c>
      <c r="G688" s="180">
        <f>(G624/G611)*X78</f>
        <v>0</v>
      </c>
      <c r="H688" s="180">
        <f>(H627/H611)*X60</f>
        <v>10200.301614388774</v>
      </c>
      <c r="I688" s="180">
        <f>(I628/I611)*X79</f>
        <v>12052.029489964229</v>
      </c>
      <c r="J688" s="180">
        <f>(J629/J611)*X80</f>
        <v>0</v>
      </c>
      <c r="K688" s="180">
        <f>(K643/K611)*X76</f>
        <v>1286076.8046745649</v>
      </c>
      <c r="L688" s="180">
        <f>(L646/L611)*X81</f>
        <v>0</v>
      </c>
      <c r="M688" s="180">
        <f t="shared" si="22"/>
        <v>1421979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3077000</v>
      </c>
      <c r="D689" s="180">
        <f>(D614/D611)*Y77</f>
        <v>223569.27751980873</v>
      </c>
      <c r="E689" s="180">
        <f>(E622/E611)*SUM(C689:D689)</f>
        <v>301252.19229800388</v>
      </c>
      <c r="F689" s="180">
        <f>(F623/F611)*Y64</f>
        <v>7538.3654600144573</v>
      </c>
      <c r="G689" s="180">
        <f>(G624/G611)*Y78</f>
        <v>0</v>
      </c>
      <c r="H689" s="180">
        <f>(H627/H611)*Y60</f>
        <v>54223.991417783116</v>
      </c>
      <c r="I689" s="180">
        <f>(I628/I611)*Y79</f>
        <v>81135.241139344085</v>
      </c>
      <c r="J689" s="180">
        <f>(J629/J611)*Y80</f>
        <v>0</v>
      </c>
      <c r="K689" s="180">
        <f>(K643/K611)*Y76</f>
        <v>1109614.1971794982</v>
      </c>
      <c r="L689" s="180">
        <f>(L646/L611)*Y81</f>
        <v>0</v>
      </c>
      <c r="M689" s="180">
        <f t="shared" si="22"/>
        <v>1777333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22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214320</v>
      </c>
      <c r="D691" s="180">
        <f>(D614/D611)*AA77</f>
        <v>28951.287295983744</v>
      </c>
      <c r="E691" s="180">
        <f>(E622/E611)*SUM(C691:D691)</f>
        <v>22204.05101635768</v>
      </c>
      <c r="F691" s="180">
        <f>(F623/F611)*AA64</f>
        <v>2124.2598497187323</v>
      </c>
      <c r="G691" s="180">
        <f>(G624/G611)*AA78</f>
        <v>0</v>
      </c>
      <c r="H691" s="180">
        <f>(H627/H611)*AA60</f>
        <v>2562.7623459036472</v>
      </c>
      <c r="I691" s="180">
        <f>(I628/I611)*AA79</f>
        <v>10506.674718962429</v>
      </c>
      <c r="J691" s="180">
        <f>(J629/J611)*AA80</f>
        <v>0</v>
      </c>
      <c r="K691" s="180">
        <f>(K643/K611)*AA76</f>
        <v>50731.525672104319</v>
      </c>
      <c r="L691" s="180">
        <f>(L646/L611)*AA81</f>
        <v>0</v>
      </c>
      <c r="M691" s="180">
        <f t="shared" si="22"/>
        <v>117081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741964</v>
      </c>
      <c r="D692" s="180">
        <f>(D614/D611)*AB77</f>
        <v>76240.167999022175</v>
      </c>
      <c r="E692" s="180">
        <f>(E622/E611)*SUM(C692:D692)</f>
        <v>74679.78358639084</v>
      </c>
      <c r="F692" s="180">
        <f>(F623/F611)*AB64</f>
        <v>165953.84268065594</v>
      </c>
      <c r="G692" s="180">
        <f>(G624/G611)*AB78</f>
        <v>0</v>
      </c>
      <c r="H692" s="180">
        <f>(H627/H611)*AB60</f>
        <v>36132.411688780136</v>
      </c>
      <c r="I692" s="180">
        <f>(I628/I611)*AB79</f>
        <v>27668.222055048216</v>
      </c>
      <c r="J692" s="180">
        <f>(J629/J611)*AB80</f>
        <v>0</v>
      </c>
      <c r="K692" s="180">
        <f>(K643/K611)*AB76</f>
        <v>493465.50190854643</v>
      </c>
      <c r="L692" s="180">
        <f>(L646/L611)*AB81</f>
        <v>0</v>
      </c>
      <c r="M692" s="180">
        <f t="shared" si="22"/>
        <v>874140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1144642</v>
      </c>
      <c r="D693" s="180">
        <f>(D614/D611)*AC77</f>
        <v>33789.59272582164</v>
      </c>
      <c r="E693" s="180">
        <f>(E622/E611)*SUM(C693:D693)</f>
        <v>107558.74848615463</v>
      </c>
      <c r="F693" s="180">
        <f>(F623/F611)*AC64</f>
        <v>3281.1789332538669</v>
      </c>
      <c r="G693" s="180">
        <f>(G624/G611)*AC78</f>
        <v>0</v>
      </c>
      <c r="H693" s="180">
        <f>(H627/H611)*AC60</f>
        <v>22811.122267003753</v>
      </c>
      <c r="I693" s="180">
        <f>(I628/I611)*AC79</f>
        <v>12262.537966858439</v>
      </c>
      <c r="J693" s="180">
        <f>(J629/J611)*AC80</f>
        <v>0</v>
      </c>
      <c r="K693" s="180">
        <f>(K643/K611)*AC76</f>
        <v>371541.08407223324</v>
      </c>
      <c r="L693" s="180">
        <f>(L646/L611)*AC81</f>
        <v>0</v>
      </c>
      <c r="M693" s="180">
        <f t="shared" si="22"/>
        <v>551244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22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2214269</v>
      </c>
      <c r="D695" s="180">
        <f>(D614/D611)*AE77</f>
        <v>163034.38587525045</v>
      </c>
      <c r="E695" s="180">
        <f>(E622/E611)*SUM(C695:D695)</f>
        <v>216983.13125260206</v>
      </c>
      <c r="F695" s="180">
        <f>(F623/F611)*AE64</f>
        <v>2491.5422485617746</v>
      </c>
      <c r="G695" s="180">
        <f>(G624/G611)*AE78</f>
        <v>0</v>
      </c>
      <c r="H695" s="180">
        <f>(H627/H611)*AE60</f>
        <v>51179.12526423423</v>
      </c>
      <c r="I695" s="180">
        <f>(I628/I611)*AE79</f>
        <v>59166.600879771147</v>
      </c>
      <c r="J695" s="180">
        <f>(J629/J611)*AE80</f>
        <v>15001.603173736668</v>
      </c>
      <c r="K695" s="180">
        <f>(K643/K611)*AE76</f>
        <v>432933.41180553922</v>
      </c>
      <c r="L695" s="180">
        <f>(L646/L611)*AE81</f>
        <v>0</v>
      </c>
      <c r="M695" s="180">
        <f t="shared" si="22"/>
        <v>940790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22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6441027</v>
      </c>
      <c r="D697" s="180">
        <f>(D614/D611)*AG77</f>
        <v>400318.00583707995</v>
      </c>
      <c r="E697" s="180">
        <f>(E622/E611)*SUM(C697:D697)</f>
        <v>624428.69941034028</v>
      </c>
      <c r="F697" s="180">
        <f>(F623/F611)*AG64</f>
        <v>18583.110878214415</v>
      </c>
      <c r="G697" s="180">
        <f>(G624/G611)*AG78</f>
        <v>184771.78885995277</v>
      </c>
      <c r="H697" s="180">
        <f>(H627/H611)*AG60</f>
        <v>71706.597916076309</v>
      </c>
      <c r="I697" s="180">
        <f>(I628/I611)*AG79</f>
        <v>145278.89652966757</v>
      </c>
      <c r="J697" s="180">
        <f>(J629/J611)*AG80</f>
        <v>111287.24473596393</v>
      </c>
      <c r="K697" s="180">
        <f>(K643/K611)*AG76</f>
        <v>2375247.2757978123</v>
      </c>
      <c r="L697" s="180">
        <f>(L646/L611)*AG81</f>
        <v>1001919.1511174602</v>
      </c>
      <c r="M697" s="180">
        <f t="shared" si="22"/>
        <v>4933541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22"/>
        <v>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22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0</v>
      </c>
      <c r="D700" s="180">
        <f>(D614/D611)*AJ77</f>
        <v>0</v>
      </c>
      <c r="E700" s="180">
        <f>(E622/E611)*SUM(C700:D700)</f>
        <v>0</v>
      </c>
      <c r="F700" s="180">
        <f>(F623/F611)*AJ64</f>
        <v>0</v>
      </c>
      <c r="G700" s="180">
        <f>(G624/G611)*AJ78</f>
        <v>0</v>
      </c>
      <c r="H700" s="180">
        <f>(H627/H611)*AJ60</f>
        <v>0</v>
      </c>
      <c r="I700" s="180">
        <f>(I628/I611)*AJ79</f>
        <v>0</v>
      </c>
      <c r="J700" s="180">
        <f>(J629/J611)*AJ80</f>
        <v>0</v>
      </c>
      <c r="K700" s="180">
        <f>(K643/K611)*AJ76</f>
        <v>0</v>
      </c>
      <c r="L700" s="180">
        <f>(L646/L611)*AJ81</f>
        <v>0</v>
      </c>
      <c r="M700" s="180">
        <f t="shared" si="22"/>
        <v>0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>
        <f>(L646/L611)*AK81</f>
        <v>0</v>
      </c>
      <c r="M701" s="180">
        <f t="shared" si="22"/>
        <v>0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22"/>
        <v>0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22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22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22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22765699</v>
      </c>
      <c r="D706" s="180">
        <f>(D614/D611)*AP77</f>
        <v>1856104.8436890068</v>
      </c>
      <c r="E706" s="180">
        <f>(E622/E611)*SUM(C706:D706)</f>
        <v>2247300.9237413942</v>
      </c>
      <c r="F706" s="180">
        <f>(F623/F611)*AP64</f>
        <v>57669.341979022465</v>
      </c>
      <c r="G706" s="180">
        <f>(G624/G611)*AP78</f>
        <v>0</v>
      </c>
      <c r="H706" s="180">
        <f>(H627/H611)*AP60</f>
        <v>371219.93188683531</v>
      </c>
      <c r="I706" s="180">
        <f>(I628/I611)*AP79</f>
        <v>673596.63967813738</v>
      </c>
      <c r="J706" s="180">
        <f>(J629/J611)*AP80</f>
        <v>0</v>
      </c>
      <c r="K706" s="180">
        <f>(K643/K611)*AP76</f>
        <v>1641444.8648539041</v>
      </c>
      <c r="L706" s="180">
        <f>(L646/L611)*AP81</f>
        <v>0</v>
      </c>
      <c r="M706" s="180">
        <f t="shared" si="22"/>
        <v>6847337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22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22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22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22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22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363071</v>
      </c>
      <c r="D712" s="180">
        <f>(D614/D611)*AV77</f>
        <v>11239.956012020326</v>
      </c>
      <c r="E712" s="180">
        <f>(E622/E611)*SUM(C712:D712)</f>
        <v>34164.408203095525</v>
      </c>
      <c r="F712" s="180">
        <f>(F623/F611)*AV64</f>
        <v>280.54588287695026</v>
      </c>
      <c r="G712" s="180">
        <f>(G624/G611)*AV78</f>
        <v>0</v>
      </c>
      <c r="H712" s="180">
        <f>(H627/H611)*AV60</f>
        <v>8018.1475376787384</v>
      </c>
      <c r="I712" s="180">
        <f>(I628/I611)*AV79</f>
        <v>4079.078089564824</v>
      </c>
      <c r="J712" s="180">
        <f>(J629/J611)*AV80</f>
        <v>0</v>
      </c>
      <c r="K712" s="180">
        <f>(K643/K611)*AV76</f>
        <v>13757.23131840393</v>
      </c>
      <c r="L712" s="180">
        <f>(L646/L611)*AV81</f>
        <v>0</v>
      </c>
      <c r="M712" s="180">
        <f t="shared" si="22"/>
        <v>71539</v>
      </c>
      <c r="N712" s="199" t="s">
        <v>741</v>
      </c>
    </row>
    <row r="714" spans="1:82" ht="12.6" customHeight="1" x14ac:dyDescent="0.25">
      <c r="C714" s="180">
        <f>SUM(C613:C646)+SUM(C667:C712)</f>
        <v>96187891</v>
      </c>
      <c r="D714" s="180">
        <f>SUM(D615:D646)+SUM(D667:D712)</f>
        <v>6814338</v>
      </c>
      <c r="E714" s="180">
        <f>SUM(E623:E646)+SUM(E667:E712)</f>
        <v>8045044.2308394434</v>
      </c>
      <c r="F714" s="180">
        <f>SUM(F624:F647)+SUM(F667:F712)</f>
        <v>793310.66880701471</v>
      </c>
      <c r="G714" s="180">
        <f>SUM(G625:G646)+SUM(G667:G712)</f>
        <v>1757030.8320811689</v>
      </c>
      <c r="H714" s="180">
        <f>SUM(H628:H646)+SUM(H667:H712)</f>
        <v>1292697.9254891803</v>
      </c>
      <c r="I714" s="180">
        <f>SUM(I629:I646)+SUM(I667:I712)</f>
        <v>2075157.2010184452</v>
      </c>
      <c r="J714" s="180">
        <f>SUM(J630:J646)+SUM(J667:J712)</f>
        <v>463351.46226496878</v>
      </c>
      <c r="K714" s="180">
        <f>SUM(K667:K712)</f>
        <v>13193781.294187166</v>
      </c>
      <c r="L714" s="180">
        <f>SUM(L667:L712)</f>
        <v>4746175.398446369</v>
      </c>
      <c r="M714" s="180">
        <f>SUM(M667:M712)</f>
        <v>34474914</v>
      </c>
      <c r="N714" s="198" t="s">
        <v>742</v>
      </c>
    </row>
    <row r="715" spans="1:82" ht="12.6" customHeight="1" x14ac:dyDescent="0.25">
      <c r="C715" s="180">
        <f>CE72</f>
        <v>96187891</v>
      </c>
      <c r="D715" s="180">
        <f>D614</f>
        <v>6814338</v>
      </c>
      <c r="E715" s="180">
        <f>E622</f>
        <v>8045044.2308394425</v>
      </c>
      <c r="F715" s="180">
        <f>F623</f>
        <v>793310.66880701482</v>
      </c>
      <c r="G715" s="180">
        <f>G624</f>
        <v>1757030.8320811689</v>
      </c>
      <c r="H715" s="180">
        <f>H627</f>
        <v>1292697.9254891807</v>
      </c>
      <c r="I715" s="180">
        <f>I628</f>
        <v>2075157.2010184447</v>
      </c>
      <c r="J715" s="180">
        <f>J629</f>
        <v>463351.46226496878</v>
      </c>
      <c r="K715" s="180">
        <f>K643</f>
        <v>13193781.294187168</v>
      </c>
      <c r="L715" s="180">
        <f>L646</f>
        <v>4746175.398446369</v>
      </c>
      <c r="M715" s="180">
        <f>C647</f>
        <v>34474915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RIGHT(C84,3)&amp;"*"&amp;RIGHT(C83,4)&amp;"*"&amp;"A"</f>
        <v>152*2018*A</v>
      </c>
      <c r="B721" s="279">
        <f>ROUND(C166,0)</f>
        <v>3286524</v>
      </c>
      <c r="C721" s="279">
        <f>ROUND(C167,0)</f>
        <v>110526</v>
      </c>
      <c r="D721" s="279">
        <f>ROUND(C168,0)</f>
        <v>421164</v>
      </c>
      <c r="E721" s="279">
        <f>ROUND(C169,0)</f>
        <v>7080502</v>
      </c>
      <c r="F721" s="279">
        <f>ROUND(C170,0)</f>
        <v>102493</v>
      </c>
      <c r="G721" s="279">
        <f>ROUND(C171,0)</f>
        <v>2413934</v>
      </c>
      <c r="H721" s="279">
        <f>ROUND(C172+C173,0)</f>
        <v>44966</v>
      </c>
      <c r="I721" s="279">
        <f>ROUND(C176,0)</f>
        <v>166983</v>
      </c>
      <c r="J721" s="279">
        <f>ROUND(C177,0)</f>
        <v>568839</v>
      </c>
      <c r="K721" s="279">
        <f>ROUND(C180,0)</f>
        <v>388146</v>
      </c>
      <c r="L721" s="279">
        <f>ROUND(C181,0)</f>
        <v>234610</v>
      </c>
      <c r="M721" s="279">
        <f>ROUND(C184,0)</f>
        <v>0</v>
      </c>
      <c r="N721" s="279">
        <f>ROUND(C185,0)</f>
        <v>627132</v>
      </c>
      <c r="O721" s="279">
        <f>ROUND(C186,0)</f>
        <v>0</v>
      </c>
      <c r="P721" s="279">
        <f>ROUND(C189,0)</f>
        <v>0</v>
      </c>
      <c r="Q721" s="279">
        <f>ROUND(C190,0)</f>
        <v>891551</v>
      </c>
      <c r="R721" s="279">
        <f>ROUND(B196,0)</f>
        <v>2015497</v>
      </c>
      <c r="S721" s="279">
        <f>ROUND(C196,0)</f>
        <v>0</v>
      </c>
      <c r="T721" s="279">
        <f>ROUND(D196,0)</f>
        <v>0</v>
      </c>
      <c r="U721" s="279">
        <f>ROUND(B197,0)</f>
        <v>2729456</v>
      </c>
      <c r="V721" s="279">
        <f>ROUND(C197,0)</f>
        <v>0</v>
      </c>
      <c r="W721" s="279">
        <f>ROUND(D197,0)</f>
        <v>0</v>
      </c>
      <c r="X721" s="279">
        <f>ROUND(B198,0)</f>
        <v>36186805</v>
      </c>
      <c r="Y721" s="279">
        <f>ROUND(C198,0)</f>
        <v>30140</v>
      </c>
      <c r="Z721" s="279">
        <f>ROUND(D198,0)</f>
        <v>183030</v>
      </c>
      <c r="AA721" s="279">
        <f>ROUND(B199,0)</f>
        <v>21292736</v>
      </c>
      <c r="AB721" s="279">
        <f>ROUND(C199,0)</f>
        <v>11932</v>
      </c>
      <c r="AC721" s="279">
        <f>ROUND(D199,0)</f>
        <v>0</v>
      </c>
      <c r="AD721" s="279">
        <f>ROUND(B200,0)</f>
        <v>1613835</v>
      </c>
      <c r="AE721" s="279">
        <f>ROUND(C200,0)</f>
        <v>137101</v>
      </c>
      <c r="AF721" s="279">
        <f>ROUND(D200,0)</f>
        <v>0</v>
      </c>
      <c r="AG721" s="279">
        <f>ROUND(B201,0)</f>
        <v>32697075</v>
      </c>
      <c r="AH721" s="279">
        <f>ROUND(C201,0)</f>
        <v>1690705</v>
      </c>
      <c r="AI721" s="279">
        <f>ROUND(D201,0)</f>
        <v>539904</v>
      </c>
      <c r="AJ721" s="279">
        <f>ROUND(B202,0)</f>
        <v>0</v>
      </c>
      <c r="AK721" s="279">
        <f>ROUND(C202,0)</f>
        <v>0</v>
      </c>
      <c r="AL721" s="279">
        <f>ROUND(D202,0)</f>
        <v>0</v>
      </c>
      <c r="AM721" s="279">
        <f>ROUND(B203,0)</f>
        <v>42847</v>
      </c>
      <c r="AN721" s="279">
        <f>ROUND(C203,0)</f>
        <v>1107868</v>
      </c>
      <c r="AO721" s="279">
        <f>ROUND(D203,0)</f>
        <v>0</v>
      </c>
      <c r="AP721" s="279">
        <f>ROUND(B204,0)</f>
        <v>1791507</v>
      </c>
      <c r="AQ721" s="279">
        <f>ROUND(C204,0)</f>
        <v>6953601</v>
      </c>
      <c r="AR721" s="279">
        <f>ROUND(D204,0)</f>
        <v>2589652</v>
      </c>
      <c r="AS721" s="279"/>
      <c r="AT721" s="279"/>
      <c r="AU721" s="279"/>
      <c r="AV721" s="279">
        <f>ROUND(B210,0)</f>
        <v>1549494</v>
      </c>
      <c r="AW721" s="279">
        <f>ROUND(C210,0)</f>
        <v>180429</v>
      </c>
      <c r="AX721" s="279">
        <f>ROUND(D210,0)</f>
        <v>0</v>
      </c>
      <c r="AY721" s="279">
        <f>ROUND(B211,0)</f>
        <v>16339971</v>
      </c>
      <c r="AZ721" s="279">
        <f>ROUND(C211,0)</f>
        <v>1516542</v>
      </c>
      <c r="BA721" s="279">
        <f>ROUND(D211,0)</f>
        <v>183030</v>
      </c>
      <c r="BB721" s="279">
        <f>ROUND(B212,0)</f>
        <v>8461727</v>
      </c>
      <c r="BC721" s="279">
        <f>ROUND(C212,0)</f>
        <v>1283505</v>
      </c>
      <c r="BD721" s="279">
        <f>ROUND(D212,0)</f>
        <v>0</v>
      </c>
      <c r="BE721" s="279">
        <f>ROUND(B213,0)</f>
        <v>1393981</v>
      </c>
      <c r="BF721" s="279">
        <f>ROUND(C213,0)</f>
        <v>208258</v>
      </c>
      <c r="BG721" s="279">
        <f>ROUND(D213,0)</f>
        <v>0</v>
      </c>
      <c r="BH721" s="279">
        <f>ROUND(B214,0)</f>
        <v>24945845</v>
      </c>
      <c r="BI721" s="279">
        <f>ROUND(C214,0)</f>
        <v>3212590</v>
      </c>
      <c r="BJ721" s="279">
        <f>ROUND(D214,0)</f>
        <v>533471</v>
      </c>
      <c r="BK721" s="279">
        <f>ROUND(B215,0)</f>
        <v>0</v>
      </c>
      <c r="BL721" s="279">
        <f>ROUND(C215,0)</f>
        <v>0</v>
      </c>
      <c r="BM721" s="279">
        <f>ROUND(D215,0)</f>
        <v>0</v>
      </c>
      <c r="BN721" s="279">
        <f>ROUND(B216,0)</f>
        <v>36777</v>
      </c>
      <c r="BO721" s="279">
        <f>ROUND(C216,0)</f>
        <v>87845</v>
      </c>
      <c r="BP721" s="279">
        <f>ROUND(D216,0)</f>
        <v>0</v>
      </c>
      <c r="BQ721" s="279">
        <f>ROUND(B217,0)</f>
        <v>0</v>
      </c>
      <c r="BR721" s="279">
        <f>ROUND(C217,0)</f>
        <v>0</v>
      </c>
      <c r="BS721" s="279">
        <f>ROUND(D217,0)</f>
        <v>0</v>
      </c>
      <c r="BT721" s="279">
        <f>ROUND(C222,0)</f>
        <v>59370627</v>
      </c>
      <c r="BU721" s="279">
        <f>ROUND(C223,0)</f>
        <v>40145711</v>
      </c>
      <c r="BV721" s="279">
        <f>ROUND(C224,0)</f>
        <v>2076846</v>
      </c>
      <c r="BW721" s="279">
        <f>ROUND(C225,0)</f>
        <v>0</v>
      </c>
      <c r="BX721" s="279">
        <f>ROUND(C226,0)</f>
        <v>18711831</v>
      </c>
      <c r="BY721" s="279">
        <f>ROUND(C227,0)</f>
        <v>0</v>
      </c>
      <c r="BZ721" s="279">
        <f>ROUND(C230,0)</f>
        <v>1768</v>
      </c>
      <c r="CA721" s="279">
        <f>ROUND(C232,0)</f>
        <v>213713</v>
      </c>
      <c r="CB721" s="279">
        <f>ROUND(C233,0)</f>
        <v>3262545</v>
      </c>
      <c r="CC721" s="279">
        <f>ROUND(C237+C238,0)</f>
        <v>2210751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RIGHT(C84,3)&amp;"*"&amp;RIGHT(C83,4)&amp;"*"&amp;"A"</f>
        <v>152*2018*A</v>
      </c>
      <c r="B725" s="279">
        <f>ROUND(C112,0)</f>
        <v>1423</v>
      </c>
      <c r="C725" s="279">
        <f>ROUND(C113,0)</f>
        <v>0</v>
      </c>
      <c r="D725" s="279">
        <f>ROUND(C114,0)</f>
        <v>0</v>
      </c>
      <c r="E725" s="279">
        <f>ROUND(C115,0)</f>
        <v>255</v>
      </c>
      <c r="F725" s="279">
        <f>ROUND(D112,0)</f>
        <v>4190</v>
      </c>
      <c r="G725" s="279">
        <f>ROUND(D113,0)</f>
        <v>0</v>
      </c>
      <c r="H725" s="279">
        <f>ROUND(D114,0)</f>
        <v>0</v>
      </c>
      <c r="I725" s="279">
        <f>ROUND(D115,0)</f>
        <v>520</v>
      </c>
      <c r="J725" s="279">
        <f>ROUND(C117,0)</f>
        <v>7</v>
      </c>
      <c r="K725" s="279">
        <f>ROUND(C118,0)</f>
        <v>0</v>
      </c>
      <c r="L725" s="279">
        <f>ROUND(C119,0)</f>
        <v>16</v>
      </c>
      <c r="M725" s="279">
        <f>ROUND(C120,0)</f>
        <v>0</v>
      </c>
      <c r="N725" s="279">
        <f>ROUND(C121,0)</f>
        <v>2</v>
      </c>
      <c r="O725" s="279">
        <f>ROUND(C122,0)</f>
        <v>0</v>
      </c>
      <c r="P725" s="279">
        <f>ROUND(C123,0)</f>
        <v>0</v>
      </c>
      <c r="Q725" s="279">
        <f>ROUND(C124,0)</f>
        <v>0</v>
      </c>
      <c r="R725" s="279">
        <f>ROUND(C125,0)</f>
        <v>0</v>
      </c>
      <c r="S725" s="279">
        <f>ROUND(C126,0)</f>
        <v>0</v>
      </c>
      <c r="T725" s="279"/>
      <c r="U725" s="279">
        <f>ROUND(C127,0)</f>
        <v>0</v>
      </c>
      <c r="V725" s="279">
        <f>ROUND(C129,0)</f>
        <v>68</v>
      </c>
      <c r="W725" s="279">
        <f>ROUND(C130,0)</f>
        <v>6</v>
      </c>
      <c r="X725" s="279">
        <f>ROUND(B139,0)</f>
        <v>779</v>
      </c>
      <c r="Y725" s="279">
        <f>ROUND(B140,0)</f>
        <v>2497</v>
      </c>
      <c r="Z725" s="279">
        <f>ROUND(B141,0)</f>
        <v>74285</v>
      </c>
      <c r="AA725" s="279">
        <f>ROUND(B142,0)</f>
        <v>26983899</v>
      </c>
      <c r="AB725" s="279">
        <f>ROUND(B143,0)</f>
        <v>73289195</v>
      </c>
      <c r="AC725" s="279">
        <f>ROUND(C139,0)</f>
        <v>396</v>
      </c>
      <c r="AD725" s="279">
        <f>ROUND(C140,0)</f>
        <v>1065</v>
      </c>
      <c r="AE725" s="279">
        <f>ROUND(C141,0)</f>
        <v>58612</v>
      </c>
      <c r="AF725" s="279">
        <f>ROUND(C142,0)</f>
        <v>13553504</v>
      </c>
      <c r="AG725" s="279">
        <f>ROUND(C143,0)</f>
        <v>50580747</v>
      </c>
      <c r="AH725" s="279">
        <f>ROUND(D139,0)</f>
        <v>248</v>
      </c>
      <c r="AI725" s="279">
        <f>ROUND(D140,0)</f>
        <v>628</v>
      </c>
      <c r="AJ725" s="279">
        <f>ROUND(D141,0)</f>
        <v>53587</v>
      </c>
      <c r="AK725" s="279">
        <f>ROUND(D142,0)</f>
        <v>9049351</v>
      </c>
      <c r="AL725" s="279">
        <f>ROUND(D143,0)</f>
        <v>49425942</v>
      </c>
      <c r="AM725" s="279">
        <f>ROUND(B145,0)</f>
        <v>0</v>
      </c>
      <c r="AN725" s="279">
        <f>ROUND(B146,0)</f>
        <v>0</v>
      </c>
      <c r="AO725" s="279">
        <f>ROUND(B147,0)</f>
        <v>0</v>
      </c>
      <c r="AP725" s="279">
        <f>ROUND(B148,0)</f>
        <v>0</v>
      </c>
      <c r="AQ725" s="279">
        <f>ROUND(B149,0)</f>
        <v>0</v>
      </c>
      <c r="AR725" s="279">
        <f>ROUND(C145,0)</f>
        <v>0</v>
      </c>
      <c r="AS725" s="279">
        <f>ROUND(C146,0)</f>
        <v>0</v>
      </c>
      <c r="AT725" s="279">
        <f>ROUND(C147,0)</f>
        <v>0</v>
      </c>
      <c r="AU725" s="279">
        <f>ROUND(C148,0)</f>
        <v>0</v>
      </c>
      <c r="AV725" s="279">
        <f>ROUND(C149,0)</f>
        <v>0</v>
      </c>
      <c r="AW725" s="279">
        <f>ROUND(D145,0)</f>
        <v>0</v>
      </c>
      <c r="AX725" s="279">
        <f>ROUND(D146,0)</f>
        <v>0</v>
      </c>
      <c r="AY725" s="279">
        <f>ROUND(D147,0)</f>
        <v>0</v>
      </c>
      <c r="AZ725" s="279">
        <f>ROUND(D148,0)</f>
        <v>0</v>
      </c>
      <c r="BA725" s="279">
        <f>ROUND(D149,0)</f>
        <v>0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0</v>
      </c>
      <c r="BR725" s="279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RIGHT(C84,3)&amp;"*"&amp;RIGHT(C83,4)&amp;"*"&amp;"A"</f>
        <v>152*2018*A</v>
      </c>
      <c r="B729" s="279">
        <f>ROUND(C249,0)</f>
        <v>56226117</v>
      </c>
      <c r="C729" s="279">
        <f>ROUND(C250,0)</f>
        <v>0</v>
      </c>
      <c r="D729" s="279">
        <f>ROUND(C251,0)</f>
        <v>30542112</v>
      </c>
      <c r="E729" s="279">
        <f>ROUND(C252,0)</f>
        <v>18852253</v>
      </c>
      <c r="F729" s="279">
        <f>ROUND(C253,0)</f>
        <v>1502810</v>
      </c>
      <c r="G729" s="279">
        <f>ROUND(C254,0)</f>
        <v>621191</v>
      </c>
      <c r="H729" s="279">
        <f>ROUND(C255,0)</f>
        <v>0</v>
      </c>
      <c r="I729" s="279">
        <f>ROUND(C256,0)</f>
        <v>1488522</v>
      </c>
      <c r="J729" s="279">
        <f>ROUND(C257,0)</f>
        <v>1143040</v>
      </c>
      <c r="K729" s="279">
        <f>ROUND(C258,0)</f>
        <v>0</v>
      </c>
      <c r="L729" s="279">
        <f>ROUND(C261,0)</f>
        <v>37039468</v>
      </c>
      <c r="M729" s="279">
        <f>ROUND(C262,0)</f>
        <v>0</v>
      </c>
      <c r="N729" s="279">
        <f>ROUND(C263,0)</f>
        <v>0</v>
      </c>
      <c r="O729" s="279">
        <f>ROUND(C266,0)</f>
        <v>2015497</v>
      </c>
      <c r="P729" s="279">
        <f>ROUND(C267,0)</f>
        <v>2729456</v>
      </c>
      <c r="Q729" s="279">
        <f>ROUND(C268,0)</f>
        <v>36033915</v>
      </c>
      <c r="R729" s="279">
        <f>ROUND(C269,0)</f>
        <v>21304669</v>
      </c>
      <c r="S729" s="279">
        <f>ROUND(C270,0)</f>
        <v>1750935</v>
      </c>
      <c r="T729" s="279">
        <f>ROUND(C271,0)</f>
        <v>33847876</v>
      </c>
      <c r="U729" s="279">
        <f>ROUND(C272,0)</f>
        <v>1150715</v>
      </c>
      <c r="V729" s="279">
        <f>ROUND(C273,0)</f>
        <v>6155456</v>
      </c>
      <c r="W729" s="279">
        <f>ROUND(C274,0)</f>
        <v>0</v>
      </c>
      <c r="X729" s="279">
        <f>ROUND(C275,0)</f>
        <v>58500463</v>
      </c>
      <c r="Y729" s="279">
        <f>ROUND(C278,0)</f>
        <v>0</v>
      </c>
      <c r="Z729" s="279">
        <f>ROUND(C279,0)</f>
        <v>0</v>
      </c>
      <c r="AA729" s="279">
        <f>ROUND(C280,0)</f>
        <v>0</v>
      </c>
      <c r="AB729" s="279">
        <f>ROUND(C281,0)</f>
        <v>0</v>
      </c>
      <c r="AC729" s="279">
        <f>ROUND(C285,0)</f>
        <v>0</v>
      </c>
      <c r="AD729" s="279">
        <f>ROUND(C286,0)</f>
        <v>0</v>
      </c>
      <c r="AE729" s="279">
        <f>ROUND(C287,0)</f>
        <v>0</v>
      </c>
      <c r="AF729" s="279">
        <f>ROUND(C288,0)</f>
        <v>0</v>
      </c>
      <c r="AG729" s="279">
        <f>ROUND(C303,0)</f>
        <v>0</v>
      </c>
      <c r="AH729" s="279">
        <f>ROUND(C304,0)</f>
        <v>2907709</v>
      </c>
      <c r="AI729" s="279">
        <f>ROUND(C305,0)</f>
        <v>10190742</v>
      </c>
      <c r="AJ729" s="279">
        <f>ROUND(C306,0)</f>
        <v>3130705</v>
      </c>
      <c r="AK729" s="279">
        <f>ROUND(C307,0)</f>
        <v>0</v>
      </c>
      <c r="AL729" s="279">
        <f>ROUND(C308,0)</f>
        <v>0</v>
      </c>
      <c r="AM729" s="279">
        <f>ROUND(C309,0)</f>
        <v>0</v>
      </c>
      <c r="AN729" s="279">
        <f>ROUND(C310,0)</f>
        <v>0</v>
      </c>
      <c r="AO729" s="279">
        <f>ROUND(C311,0)</f>
        <v>238638</v>
      </c>
      <c r="AP729" s="279">
        <f>ROUND(C312,0)</f>
        <v>975000</v>
      </c>
      <c r="AQ729" s="279">
        <f>ROUND(C315,0)</f>
        <v>0</v>
      </c>
      <c r="AR729" s="279">
        <f>ROUND(C316,0)</f>
        <v>291092</v>
      </c>
      <c r="AS729" s="279">
        <f>ROUND(C317,0)</f>
        <v>0</v>
      </c>
      <c r="AT729" s="279">
        <f>ROUND(C320,0)</f>
        <v>0</v>
      </c>
      <c r="AU729" s="279">
        <f>ROUND(C321,0)</f>
        <v>0</v>
      </c>
      <c r="AV729" s="279">
        <f>ROUND(C322,0)</f>
        <v>0</v>
      </c>
      <c r="AW729" s="279">
        <f>ROUND(C323,0)</f>
        <v>0</v>
      </c>
      <c r="AX729" s="279">
        <f>ROUND(C324,0)</f>
        <v>57943834</v>
      </c>
      <c r="AY729" s="279">
        <f>ROUND(C325,0)</f>
        <v>0</v>
      </c>
      <c r="AZ729" s="279">
        <f>ROUND(C326,0)</f>
        <v>0</v>
      </c>
      <c r="BA729" s="279">
        <f>ROUND(C327,0)</f>
        <v>0</v>
      </c>
      <c r="BB729" s="279">
        <f>ROUND(C331,0)</f>
        <v>81496343</v>
      </c>
      <c r="BC729" s="279"/>
      <c r="BD729" s="279"/>
      <c r="BE729" s="279">
        <f>ROUND(C336,0)</f>
        <v>0</v>
      </c>
      <c r="BF729" s="279">
        <f>ROUND(C335,0)</f>
        <v>0</v>
      </c>
      <c r="BG729" s="279"/>
      <c r="BH729" s="279"/>
      <c r="BI729" s="282">
        <f>ROUND(CE60,2)</f>
        <v>577.79</v>
      </c>
      <c r="BJ729" s="279">
        <f>ROUND(C358,0)</f>
        <v>49586754</v>
      </c>
      <c r="BK729" s="279">
        <f>ROUND(C359,0)</f>
        <v>173295881</v>
      </c>
      <c r="BL729" s="279">
        <f>ROUND(C362,0)</f>
        <v>120305016</v>
      </c>
      <c r="BM729" s="279">
        <f>ROUND(C363,0)</f>
        <v>3476258</v>
      </c>
      <c r="BN729" s="279">
        <f>ROUND(C364,0)</f>
        <v>2210751</v>
      </c>
      <c r="BO729" s="279">
        <f>ROUND(C368,0)</f>
        <v>8159192</v>
      </c>
      <c r="BP729" s="279">
        <f>ROUND(C369,0)</f>
        <v>2215600</v>
      </c>
      <c r="BQ729" s="279">
        <f>ROUND(C376,0)</f>
        <v>48797794</v>
      </c>
      <c r="BR729" s="279">
        <f>ROUND(C377,0)</f>
        <v>13460108</v>
      </c>
      <c r="BS729" s="279">
        <f>ROUND(C378,0)</f>
        <v>4300805</v>
      </c>
      <c r="BT729" s="279">
        <f>ROUND(C379,0)</f>
        <v>11855296</v>
      </c>
      <c r="BU729" s="279">
        <f>ROUND(C380,0)</f>
        <v>1033970</v>
      </c>
      <c r="BV729" s="279">
        <f>ROUND(C381,0)</f>
        <v>9462831</v>
      </c>
      <c r="BW729" s="279">
        <f>ROUND(C382,0)</f>
        <v>6489169</v>
      </c>
      <c r="BX729" s="279">
        <f>ROUND(C383,0)</f>
        <v>735822</v>
      </c>
      <c r="BY729" s="279">
        <f>ROUND(C384,0)</f>
        <v>622757</v>
      </c>
      <c r="BZ729" s="279">
        <f>ROUND(C385,0)</f>
        <v>627132</v>
      </c>
      <c r="CA729" s="279">
        <f>ROUND(C386,0)</f>
        <v>891551</v>
      </c>
      <c r="CB729" s="279">
        <f>ROUND(C387,0)</f>
        <v>4316744</v>
      </c>
      <c r="CC729" s="279">
        <f>ROUND(C388,0)</f>
        <v>1753107</v>
      </c>
      <c r="CD729" s="279">
        <f>ROUND(C391,0)</f>
        <v>972987</v>
      </c>
      <c r="CE729" s="279">
        <f>ROUND(C393,0)</f>
        <v>0</v>
      </c>
      <c r="CF729" s="279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152*2018*6010*A</v>
      </c>
      <c r="B733" s="279">
        <f>ROUND(C59,0)</f>
        <v>899</v>
      </c>
      <c r="C733" s="282">
        <f>ROUND(C60,2)</f>
        <v>18.5</v>
      </c>
      <c r="D733" s="279">
        <f>ROUND(C61,0)</f>
        <v>1824438</v>
      </c>
      <c r="E733" s="279">
        <f>ROUND(C62,0)</f>
        <v>485665</v>
      </c>
      <c r="F733" s="279">
        <f>ROUND(C63,0)</f>
        <v>101915</v>
      </c>
      <c r="G733" s="279">
        <f>ROUND(C64,0)</f>
        <v>147711</v>
      </c>
      <c r="H733" s="279">
        <f>ROUND(C65,0)</f>
        <v>1852</v>
      </c>
      <c r="I733" s="279">
        <f>ROUND(C66,0)</f>
        <v>8557</v>
      </c>
      <c r="J733" s="279">
        <f>ROUND(C67,0)</f>
        <v>203212</v>
      </c>
      <c r="K733" s="279">
        <f>ROUND(C68,0)</f>
        <v>3083</v>
      </c>
      <c r="L733" s="279">
        <f>ROUND(C70,0)</f>
        <v>452</v>
      </c>
      <c r="M733" s="279">
        <f>ROUND(C71,0)</f>
        <v>0</v>
      </c>
      <c r="N733" s="279">
        <f>ROUND(C76,0)</f>
        <v>9921924</v>
      </c>
      <c r="O733" s="279">
        <f>ROUND(C74,0)</f>
        <v>8200623</v>
      </c>
      <c r="P733" s="279">
        <f>IF(C77&gt;0,ROUND(C77,0),0)</f>
        <v>6510</v>
      </c>
      <c r="Q733" s="279">
        <f>IF(C78&gt;0,ROUND(C78,0),0)</f>
        <v>4914</v>
      </c>
      <c r="R733" s="279">
        <f>IF(C79&gt;0,ROUND(C79,0),0)</f>
        <v>6510</v>
      </c>
      <c r="S733" s="279">
        <f>IF(C80&gt;0,ROUND(C80,0),0)</f>
        <v>36140</v>
      </c>
      <c r="T733" s="282">
        <f>IF(C81&gt;0,ROUND(C81,2),0)</f>
        <v>18.5</v>
      </c>
      <c r="U733" s="279"/>
      <c r="X733" s="279"/>
      <c r="Y733" s="279"/>
      <c r="Z733" s="279">
        <f>IF(M667&lt;&gt;0,ROUND(M667,0),0)</f>
        <v>2310987</v>
      </c>
    </row>
    <row r="734" spans="1:84" ht="12.6" customHeight="1" x14ac:dyDescent="0.25">
      <c r="A734" s="209" t="str">
        <f>RIGHT($C$84,3)&amp;"*"&amp;RIGHT($C$83,4)&amp;"*"&amp;D$55&amp;"*"&amp;"A"</f>
        <v>152*2018*6030*A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>
        <f>ROUND(D62,0)</f>
        <v>0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>
        <f>ROUND(D67,0)</f>
        <v>0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>
        <f t="shared" ref="Z734:Z778" si="23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152*2018*6070*A</v>
      </c>
      <c r="B735" s="279">
        <f>ROUND(E59,0)</f>
        <v>3291</v>
      </c>
      <c r="C735" s="282">
        <f>ROUND(E60,2)</f>
        <v>49.03</v>
      </c>
      <c r="D735" s="279">
        <f>ROUND(E61,0)</f>
        <v>4887238</v>
      </c>
      <c r="E735" s="279">
        <f>ROUND(E62,0)</f>
        <v>1264561</v>
      </c>
      <c r="F735" s="279">
        <f>ROUND(E63,0)</f>
        <v>100097</v>
      </c>
      <c r="G735" s="279">
        <f>ROUND(E64,0)</f>
        <v>138744</v>
      </c>
      <c r="H735" s="279">
        <f>ROUND(E65,0)</f>
        <v>1389</v>
      </c>
      <c r="I735" s="279">
        <f>ROUND(E66,0)</f>
        <v>427347</v>
      </c>
      <c r="J735" s="279">
        <f>ROUND(E67,0)</f>
        <v>600265</v>
      </c>
      <c r="K735" s="279">
        <f>ROUND(E68,0)</f>
        <v>7707</v>
      </c>
      <c r="L735" s="279">
        <f>ROUND(E70,0)</f>
        <v>25731</v>
      </c>
      <c r="M735" s="279">
        <f>ROUND(E71,0)</f>
        <v>0</v>
      </c>
      <c r="N735" s="279">
        <f>ROUND(E76,0)</f>
        <v>18372625</v>
      </c>
      <c r="O735" s="279">
        <f>ROUND(E74,0)</f>
        <v>14603312</v>
      </c>
      <c r="P735" s="279">
        <f>IF(E77&gt;0,ROUND(E77,0),0)</f>
        <v>19229</v>
      </c>
      <c r="Q735" s="279">
        <f>IF(E78&gt;0,ROUND(E78,0),0)</f>
        <v>16849</v>
      </c>
      <c r="R735" s="279">
        <f>IF(E79&gt;0,ROUND(E79,0),0)</f>
        <v>19229</v>
      </c>
      <c r="S735" s="279">
        <f>IF(E80&gt;0,ROUND(E80,0),0)</f>
        <v>61406</v>
      </c>
      <c r="T735" s="282">
        <f>IF(E81&gt;0,ROUND(E81,2),0)</f>
        <v>49.03</v>
      </c>
      <c r="U735" s="279"/>
      <c r="X735" s="279"/>
      <c r="Y735" s="279"/>
      <c r="Z735" s="279">
        <f t="shared" si="23"/>
        <v>5950701</v>
      </c>
    </row>
    <row r="736" spans="1:84" ht="12.6" customHeight="1" x14ac:dyDescent="0.25">
      <c r="A736" s="209" t="str">
        <f>RIGHT($C$84,3)&amp;"*"&amp;RIGHT($C$83,4)&amp;"*"&amp;F$55&amp;"*"&amp;"A"</f>
        <v>152*2018*6100*A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>
        <f>ROUND(F62,0)</f>
        <v>0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>
        <f>ROUND(F67,0)</f>
        <v>0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>
        <f t="shared" si="23"/>
        <v>0</v>
      </c>
    </row>
    <row r="737" spans="1:26" ht="12.6" customHeight="1" x14ac:dyDescent="0.25">
      <c r="A737" s="209" t="str">
        <f>RIGHT($C$84,3)&amp;"*"&amp;RIGHT($C$83,4)&amp;"*"&amp;G$55&amp;"*"&amp;"A"</f>
        <v>152*2018*6120*A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>
        <f>ROUND(G62,0)</f>
        <v>0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>
        <f>ROUND(G67,0)</f>
        <v>0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>
        <f t="shared" si="23"/>
        <v>0</v>
      </c>
    </row>
    <row r="738" spans="1:26" ht="12.6" customHeight="1" x14ac:dyDescent="0.25">
      <c r="A738" s="209" t="str">
        <f>RIGHT($C$84,3)&amp;"*"&amp;RIGHT($C$83,4)&amp;"*"&amp;H$55&amp;"*"&amp;"A"</f>
        <v>152*2018*6140*A</v>
      </c>
      <c r="B738" s="279">
        <f>ROUND(H59,0)</f>
        <v>0</v>
      </c>
      <c r="C738" s="282">
        <f>ROUND(H60,2)</f>
        <v>0</v>
      </c>
      <c r="D738" s="279">
        <f>ROUND(H61,0)</f>
        <v>0</v>
      </c>
      <c r="E738" s="279">
        <f>ROUND(H62,0)</f>
        <v>0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>
        <f>ROUND(H67,0)</f>
        <v>0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0</v>
      </c>
      <c r="O738" s="279">
        <f>ROUND(H74,0)</f>
        <v>0</v>
      </c>
      <c r="P738" s="279">
        <f>IF(H77&gt;0,ROUND(H77,0),0)</f>
        <v>0</v>
      </c>
      <c r="Q738" s="279">
        <f>IF(H78&gt;0,ROUND(H78,0),0)</f>
        <v>0</v>
      </c>
      <c r="R738" s="279">
        <f>IF(H79&gt;0,ROUND(H79,0),0)</f>
        <v>0</v>
      </c>
      <c r="S738" s="279">
        <f>IF(H80&gt;0,ROUND(H80,0),0)</f>
        <v>0</v>
      </c>
      <c r="T738" s="282">
        <f>IF(H81&gt;0,ROUND(H81,2),0)</f>
        <v>0</v>
      </c>
      <c r="U738" s="279"/>
      <c r="X738" s="279"/>
      <c r="Y738" s="279"/>
      <c r="Z738" s="279">
        <f t="shared" si="23"/>
        <v>0</v>
      </c>
    </row>
    <row r="739" spans="1:26" ht="12.6" customHeight="1" x14ac:dyDescent="0.25">
      <c r="A739" s="209" t="str">
        <f>RIGHT($C$84,3)&amp;"*"&amp;RIGHT($C$83,4)&amp;"*"&amp;I$55&amp;"*"&amp;"A"</f>
        <v>152*2018*6150*A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>
        <f>ROUND(I62,0)</f>
        <v>0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>
        <f>ROUND(I67,0)</f>
        <v>0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>
        <f t="shared" si="23"/>
        <v>0</v>
      </c>
    </row>
    <row r="740" spans="1:26" ht="12.6" customHeight="1" x14ac:dyDescent="0.25">
      <c r="A740" s="209" t="str">
        <f>RIGHT($C$84,3)&amp;"*"&amp;RIGHT($C$83,4)&amp;"*"&amp;J$55&amp;"*"&amp;"A"</f>
        <v>152*2018*6170*A</v>
      </c>
      <c r="B740" s="279">
        <f>ROUND(J59,0)</f>
        <v>582</v>
      </c>
      <c r="C740" s="282">
        <f>ROUND(J60,2)</f>
        <v>0</v>
      </c>
      <c r="D740" s="279">
        <f>ROUND(J61,0)</f>
        <v>0</v>
      </c>
      <c r="E740" s="279">
        <f>ROUND(J62,0)</f>
        <v>0</v>
      </c>
      <c r="F740" s="279">
        <f>ROUND(J63,0)</f>
        <v>0</v>
      </c>
      <c r="G740" s="279">
        <f>ROUND(J64,0)</f>
        <v>24966</v>
      </c>
      <c r="H740" s="279">
        <f>ROUND(J65,0)</f>
        <v>0</v>
      </c>
      <c r="I740" s="279">
        <f>ROUND(J66,0)</f>
        <v>3506</v>
      </c>
      <c r="J740" s="279">
        <f>ROUND(J67,0)</f>
        <v>15028</v>
      </c>
      <c r="K740" s="279">
        <f>ROUND(J68,0)</f>
        <v>0</v>
      </c>
      <c r="L740" s="279">
        <f>ROUND(J70,0)</f>
        <v>2242</v>
      </c>
      <c r="M740" s="279">
        <f>ROUND(J71,0)</f>
        <v>0</v>
      </c>
      <c r="N740" s="279">
        <f>ROUND(J76,0)</f>
        <v>1023927</v>
      </c>
      <c r="O740" s="279">
        <f>ROUND(J74,0)</f>
        <v>914225</v>
      </c>
      <c r="P740" s="279">
        <f>IF(J77&gt;0,ROUND(J77,0),0)</f>
        <v>481</v>
      </c>
      <c r="Q740" s="279">
        <f>IF(J78&gt;0,ROUND(J78,0),0)</f>
        <v>0</v>
      </c>
      <c r="R740" s="279">
        <f>IF(J79&gt;0,ROUND(J79,0),0)</f>
        <v>481</v>
      </c>
      <c r="S740" s="279">
        <f>IF(J80&gt;0,ROUND(J80,0),0)</f>
        <v>0</v>
      </c>
      <c r="T740" s="282">
        <f>IF(J81&gt;0,ROUND(J81,2),0)</f>
        <v>0</v>
      </c>
      <c r="U740" s="279"/>
      <c r="X740" s="279"/>
      <c r="Y740" s="279"/>
      <c r="Z740" s="279">
        <f t="shared" si="23"/>
        <v>95896</v>
      </c>
    </row>
    <row r="741" spans="1:26" ht="12.6" customHeight="1" x14ac:dyDescent="0.25">
      <c r="A741" s="209" t="str">
        <f>RIGHT($C$84,3)&amp;"*"&amp;RIGHT($C$83,4)&amp;"*"&amp;K$55&amp;"*"&amp;"A"</f>
        <v>152*2018*6200*A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>
        <f>ROUND(K62,0)</f>
        <v>0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>
        <f>ROUND(K67,0)</f>
        <v>0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>
        <f t="shared" si="23"/>
        <v>0</v>
      </c>
    </row>
    <row r="742" spans="1:26" ht="12.6" customHeight="1" x14ac:dyDescent="0.25">
      <c r="A742" s="209" t="str">
        <f>RIGHT($C$84,3)&amp;"*"&amp;RIGHT($C$83,4)&amp;"*"&amp;L$55&amp;"*"&amp;"A"</f>
        <v>152*2018*6210*A</v>
      </c>
      <c r="B742" s="279">
        <f>ROUND(L59,0)</f>
        <v>0</v>
      </c>
      <c r="C742" s="282">
        <f>ROUND(L60,2)</f>
        <v>0</v>
      </c>
      <c r="D742" s="279">
        <f>ROUND(L61,0)</f>
        <v>0</v>
      </c>
      <c r="E742" s="279">
        <f>ROUND(L62,0)</f>
        <v>0</v>
      </c>
      <c r="F742" s="279">
        <f>ROUND(L63,0)</f>
        <v>0</v>
      </c>
      <c r="G742" s="279">
        <f>ROUND(L64,0)</f>
        <v>0</v>
      </c>
      <c r="H742" s="279">
        <f>ROUND(L65,0)</f>
        <v>0</v>
      </c>
      <c r="I742" s="279">
        <f>ROUND(L66,0)</f>
        <v>0</v>
      </c>
      <c r="J742" s="279">
        <f>ROUND(L67,0)</f>
        <v>0</v>
      </c>
      <c r="K742" s="279">
        <f>ROUND(L68,0)</f>
        <v>0</v>
      </c>
      <c r="L742" s="279">
        <f>ROUND(L70,0)</f>
        <v>0</v>
      </c>
      <c r="M742" s="279">
        <f>ROUND(L71,0)</f>
        <v>0</v>
      </c>
      <c r="N742" s="279">
        <f>ROUND(L76,0)</f>
        <v>0</v>
      </c>
      <c r="O742" s="279">
        <f>ROUND(L74,0)</f>
        <v>0</v>
      </c>
      <c r="P742" s="279">
        <f>IF(L77&gt;0,ROUND(L77,0),0)</f>
        <v>0</v>
      </c>
      <c r="Q742" s="279">
        <f>IF(L78&gt;0,ROUND(L78,0),0)</f>
        <v>0</v>
      </c>
      <c r="R742" s="279">
        <f>IF(L79&gt;0,ROUND(L79,0),0)</f>
        <v>0</v>
      </c>
      <c r="S742" s="279">
        <f>IF(L80&gt;0,ROUND(L80,0),0)</f>
        <v>0</v>
      </c>
      <c r="T742" s="282">
        <f>IF(L81&gt;0,ROUND(L81,2),0)</f>
        <v>0</v>
      </c>
      <c r="U742" s="279"/>
      <c r="X742" s="279"/>
      <c r="Y742" s="279"/>
      <c r="Z742" s="279">
        <f t="shared" si="23"/>
        <v>0</v>
      </c>
    </row>
    <row r="743" spans="1:26" ht="12.6" customHeight="1" x14ac:dyDescent="0.25">
      <c r="A743" s="209" t="str">
        <f>RIGHT($C$84,3)&amp;"*"&amp;RIGHT($C$83,4)&amp;"*"&amp;M$55&amp;"*"&amp;"A"</f>
        <v>152*2018*6330*A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>
        <f>ROUND(M62,0)</f>
        <v>0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>
        <f>ROUND(M67,0)</f>
        <v>0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>
        <f t="shared" si="23"/>
        <v>0</v>
      </c>
    </row>
    <row r="744" spans="1:26" ht="12.6" customHeight="1" x14ac:dyDescent="0.25">
      <c r="A744" s="209" t="str">
        <f>RIGHT($C$84,3)&amp;"*"&amp;RIGHT($C$83,4)&amp;"*"&amp;N$55&amp;"*"&amp;"A"</f>
        <v>152*2018*6400*A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>
        <f>ROUND(N62,0)</f>
        <v>0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>
        <f>ROUND(N67,0)</f>
        <v>0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>
        <f t="shared" si="23"/>
        <v>0</v>
      </c>
    </row>
    <row r="745" spans="1:26" ht="12.6" customHeight="1" x14ac:dyDescent="0.25">
      <c r="A745" s="209" t="str">
        <f>RIGHT($C$84,3)&amp;"*"&amp;RIGHT($C$83,4)&amp;"*"&amp;O$55&amp;"*"&amp;"A"</f>
        <v>152*2018*7010*A</v>
      </c>
      <c r="B745" s="279">
        <f>ROUND(O59,0)</f>
        <v>747</v>
      </c>
      <c r="C745" s="282">
        <f>ROUND(O60,2)</f>
        <v>0</v>
      </c>
      <c r="D745" s="279">
        <f>ROUND(O61,0)</f>
        <v>0</v>
      </c>
      <c r="E745" s="279">
        <f>ROUND(O62,0)</f>
        <v>0</v>
      </c>
      <c r="F745" s="279">
        <f>ROUND(O63,0)</f>
        <v>0</v>
      </c>
      <c r="G745" s="279">
        <f>ROUND(O64,0)</f>
        <v>57725</v>
      </c>
      <c r="H745" s="279">
        <f>ROUND(O65,0)</f>
        <v>0</v>
      </c>
      <c r="I745" s="279">
        <f>ROUND(O66,0)</f>
        <v>19404</v>
      </c>
      <c r="J745" s="279">
        <f>ROUND(O67,0)</f>
        <v>30394</v>
      </c>
      <c r="K745" s="279">
        <f>ROUND(O68,0)</f>
        <v>3592</v>
      </c>
      <c r="L745" s="279">
        <f>ROUND(O70,0)</f>
        <v>3402</v>
      </c>
      <c r="M745" s="279">
        <f>ROUND(O71,0)</f>
        <v>0</v>
      </c>
      <c r="N745" s="279">
        <f>ROUND(O76,0)</f>
        <v>2508675</v>
      </c>
      <c r="O745" s="279">
        <f>ROUND(O74,0)</f>
        <v>1954161</v>
      </c>
      <c r="P745" s="279">
        <f>IF(O77&gt;0,ROUND(O77,0),0)</f>
        <v>974</v>
      </c>
      <c r="Q745" s="279">
        <f>IF(O78&gt;0,ROUND(O78,0),0)</f>
        <v>0</v>
      </c>
      <c r="R745" s="279">
        <f>IF(O79&gt;0,ROUND(O79,0),0)</f>
        <v>974</v>
      </c>
      <c r="S745" s="279">
        <f>IF(O80&gt;0,ROUND(O80,0),0)</f>
        <v>28267</v>
      </c>
      <c r="T745" s="282">
        <f>IF(O81&gt;0,ROUND(O81,2),0)</f>
        <v>0</v>
      </c>
      <c r="U745" s="279"/>
      <c r="X745" s="279"/>
      <c r="Y745" s="279"/>
      <c r="Z745" s="279">
        <f t="shared" si="23"/>
        <v>266244</v>
      </c>
    </row>
    <row r="746" spans="1:26" ht="12.6" customHeight="1" x14ac:dyDescent="0.25">
      <c r="A746" s="209" t="str">
        <f>RIGHT($C$84,3)&amp;"*"&amp;RIGHT($C$83,4)&amp;"*"&amp;P$55&amp;"*"&amp;"A"</f>
        <v>152*2018*7020*A</v>
      </c>
      <c r="B746" s="279">
        <f>ROUND(P59,0)</f>
        <v>109409</v>
      </c>
      <c r="C746" s="282">
        <f>ROUND(P60,2)</f>
        <v>19.41</v>
      </c>
      <c r="D746" s="279">
        <f>ROUND(P61,0)</f>
        <v>1404480</v>
      </c>
      <c r="E746" s="279">
        <f>ROUND(P62,0)</f>
        <v>450108</v>
      </c>
      <c r="F746" s="279">
        <f>ROUND(P63,0)</f>
        <v>31429</v>
      </c>
      <c r="G746" s="279">
        <f>ROUND(P64,0)</f>
        <v>655273</v>
      </c>
      <c r="H746" s="279">
        <f>ROUND(P65,0)</f>
        <v>0</v>
      </c>
      <c r="I746" s="279">
        <f>ROUND(P66,0)</f>
        <v>182002</v>
      </c>
      <c r="J746" s="279">
        <f>ROUND(P67,0)</f>
        <v>204689</v>
      </c>
      <c r="K746" s="279">
        <f>ROUND(P68,0)</f>
        <v>191294</v>
      </c>
      <c r="L746" s="279">
        <f>ROUND(P70,0)</f>
        <v>8062</v>
      </c>
      <c r="M746" s="279">
        <f>ROUND(P71,0)</f>
        <v>0</v>
      </c>
      <c r="N746" s="279">
        <f>ROUND(P76,0)</f>
        <v>13312705</v>
      </c>
      <c r="O746" s="279">
        <f>ROUND(P74,0)</f>
        <v>3783983</v>
      </c>
      <c r="P746" s="279">
        <f>IF(P77&gt;0,ROUND(P77,0),0)</f>
        <v>6557</v>
      </c>
      <c r="Q746" s="279">
        <f>IF(P78&gt;0,ROUND(P78,0),0)</f>
        <v>850</v>
      </c>
      <c r="R746" s="279">
        <f>IF(P79&gt;0,ROUND(P79,0),0)</f>
        <v>6557</v>
      </c>
      <c r="S746" s="279">
        <f>IF(P80&gt;0,ROUND(P80,0),0)</f>
        <v>36907</v>
      </c>
      <c r="T746" s="282">
        <f>IF(P81&gt;0,ROUND(P81,2),0)</f>
        <v>19.41</v>
      </c>
      <c r="U746" s="279"/>
      <c r="X746" s="279"/>
      <c r="Y746" s="279"/>
      <c r="Z746" s="279">
        <f t="shared" si="23"/>
        <v>2365927</v>
      </c>
    </row>
    <row r="747" spans="1:26" ht="12.6" customHeight="1" x14ac:dyDescent="0.25">
      <c r="A747" s="209" t="str">
        <f>RIGHT($C$84,3)&amp;"*"&amp;RIGHT($C$83,4)&amp;"*"&amp;Q$55&amp;"*"&amp;"A"</f>
        <v>152*2018*7030*A</v>
      </c>
      <c r="B747" s="279">
        <f>ROUND(Q59,0)</f>
        <v>117610</v>
      </c>
      <c r="C747" s="282">
        <f>ROUND(Q60,2)</f>
        <v>13.47</v>
      </c>
      <c r="D747" s="279">
        <f>ROUND(Q61,0)</f>
        <v>1158389</v>
      </c>
      <c r="E747" s="279">
        <f>ROUND(Q62,0)</f>
        <v>350396</v>
      </c>
      <c r="F747" s="279">
        <f>ROUND(Q63,0)</f>
        <v>0</v>
      </c>
      <c r="G747" s="279">
        <f>ROUND(Q64,0)</f>
        <v>90810</v>
      </c>
      <c r="H747" s="279">
        <f>ROUND(Q65,0)</f>
        <v>0</v>
      </c>
      <c r="I747" s="279">
        <f>ROUND(Q66,0)</f>
        <v>4675</v>
      </c>
      <c r="J747" s="279">
        <f>ROUND(Q67,0)</f>
        <v>225944</v>
      </c>
      <c r="K747" s="279">
        <f>ROUND(Q68,0)</f>
        <v>4699</v>
      </c>
      <c r="L747" s="279">
        <f>ROUND(Q70,0)</f>
        <v>3436</v>
      </c>
      <c r="M747" s="279">
        <f>ROUND(Q71,0)</f>
        <v>0</v>
      </c>
      <c r="N747" s="279">
        <f>ROUND(Q76,0)</f>
        <v>5116083</v>
      </c>
      <c r="O747" s="279">
        <f>ROUND(Q74,0)</f>
        <v>976104</v>
      </c>
      <c r="P747" s="279">
        <f>IF(Q77&gt;0,ROUND(Q77,0),0)</f>
        <v>7238</v>
      </c>
      <c r="Q747" s="279">
        <f>IF(Q78&gt;0,ROUND(Q78,0),0)</f>
        <v>0</v>
      </c>
      <c r="R747" s="279">
        <f>IF(Q79&gt;0,ROUND(Q79,0),0)</f>
        <v>7238</v>
      </c>
      <c r="S747" s="279">
        <f>IF(Q80&gt;0,ROUND(Q80,0),0)</f>
        <v>25759</v>
      </c>
      <c r="T747" s="282">
        <f>IF(Q81&gt;0,ROUND(Q81,2),0)</f>
        <v>13.47</v>
      </c>
      <c r="U747" s="279"/>
      <c r="X747" s="279"/>
      <c r="Y747" s="279"/>
      <c r="Z747" s="279">
        <f t="shared" si="23"/>
        <v>1470655</v>
      </c>
    </row>
    <row r="748" spans="1:26" ht="12.6" customHeight="1" x14ac:dyDescent="0.25">
      <c r="A748" s="209" t="str">
        <f>RIGHT($C$84,3)&amp;"*"&amp;RIGHT($C$83,4)&amp;"*"&amp;R$55&amp;"*"&amp;"A"</f>
        <v>152*2018*7040*A</v>
      </c>
      <c r="B748" s="279">
        <f>ROUND(R59,0)</f>
        <v>109409</v>
      </c>
      <c r="C748" s="282">
        <f>ROUND(R60,2)</f>
        <v>5.2</v>
      </c>
      <c r="D748" s="279">
        <f>ROUND(R61,0)</f>
        <v>916014</v>
      </c>
      <c r="E748" s="279">
        <f>ROUND(R62,0)</f>
        <v>206085</v>
      </c>
      <c r="F748" s="279">
        <f>ROUND(R63,0)</f>
        <v>1040</v>
      </c>
      <c r="G748" s="279">
        <f>ROUND(R64,0)</f>
        <v>62908</v>
      </c>
      <c r="H748" s="279">
        <f>ROUND(R65,0)</f>
        <v>0</v>
      </c>
      <c r="I748" s="279">
        <f>ROUND(R66,0)</f>
        <v>62643</v>
      </c>
      <c r="J748" s="279">
        <f>ROUND(R67,0)</f>
        <v>9715</v>
      </c>
      <c r="K748" s="279">
        <f>ROUND(R68,0)</f>
        <v>1568</v>
      </c>
      <c r="L748" s="279">
        <f>ROUND(R70,0)</f>
        <v>15201</v>
      </c>
      <c r="M748" s="279">
        <f>ROUND(R71,0)</f>
        <v>1461556</v>
      </c>
      <c r="N748" s="279">
        <f>ROUND(R76,0)</f>
        <v>1764807</v>
      </c>
      <c r="O748" s="279">
        <f>ROUND(R74,0)</f>
        <v>581485</v>
      </c>
      <c r="P748" s="279">
        <f>IF(R77&gt;0,ROUND(R77,0),0)</f>
        <v>311</v>
      </c>
      <c r="Q748" s="279">
        <f>IF(R78&gt;0,ROUND(R78,0),0)</f>
        <v>0</v>
      </c>
      <c r="R748" s="279">
        <f>IF(R79&gt;0,ROUND(R79,0),0)</f>
        <v>311</v>
      </c>
      <c r="S748" s="279">
        <f>IF(R80&gt;0,ROUND(R80,0),0)</f>
        <v>0</v>
      </c>
      <c r="T748" s="282">
        <f>IF(R81&gt;0,ROUND(R81,2),0)</f>
        <v>5.2</v>
      </c>
      <c r="U748" s="279"/>
      <c r="X748" s="279"/>
      <c r="Y748" s="279"/>
      <c r="Z748" s="279">
        <f t="shared" si="23"/>
        <v>308312</v>
      </c>
    </row>
    <row r="749" spans="1:26" ht="12.6" customHeight="1" x14ac:dyDescent="0.25">
      <c r="A749" s="209" t="str">
        <f>RIGHT($C$84,3)&amp;"*"&amp;RIGHT($C$83,4)&amp;"*"&amp;S$55&amp;"*"&amp;"A"</f>
        <v>152*2018*7050*A</v>
      </c>
      <c r="B749" s="279"/>
      <c r="C749" s="282">
        <f>ROUND(S60,2)</f>
        <v>0</v>
      </c>
      <c r="D749" s="279">
        <f>ROUND(S61,0)</f>
        <v>0</v>
      </c>
      <c r="E749" s="279">
        <f>ROUND(S62,0)</f>
        <v>0</v>
      </c>
      <c r="F749" s="279">
        <f>ROUND(S63,0)</f>
        <v>0</v>
      </c>
      <c r="G749" s="279">
        <f>ROUND(S64,0)</f>
        <v>3620942</v>
      </c>
      <c r="H749" s="279">
        <f>ROUND(S65,0)</f>
        <v>0</v>
      </c>
      <c r="I749" s="279">
        <f>ROUND(S66,0)</f>
        <v>0</v>
      </c>
      <c r="J749" s="279">
        <f>ROUND(S67,0)</f>
        <v>92607</v>
      </c>
      <c r="K749" s="279">
        <f>ROUND(S68,0)</f>
        <v>15654</v>
      </c>
      <c r="L749" s="279">
        <f>ROUND(S70,0)</f>
        <v>0</v>
      </c>
      <c r="M749" s="279">
        <f>ROUND(S71,0)</f>
        <v>0</v>
      </c>
      <c r="N749" s="279">
        <f>ROUND(S76,0)</f>
        <v>5906960</v>
      </c>
      <c r="O749" s="279">
        <f>ROUND(S74,0)</f>
        <v>2912903</v>
      </c>
      <c r="P749" s="279">
        <f>IF(S77&gt;0,ROUND(S77,0),0)</f>
        <v>2967</v>
      </c>
      <c r="Q749" s="279">
        <f>IF(S78&gt;0,ROUND(S78,0),0)</f>
        <v>0</v>
      </c>
      <c r="R749" s="279">
        <f>IF(S79&gt;0,ROUND(S79,0),0)</f>
        <v>2967</v>
      </c>
      <c r="S749" s="279">
        <f>IF(S80&gt;0,ROUND(S80,0),0)</f>
        <v>0</v>
      </c>
      <c r="T749" s="282">
        <f>IF(S81&gt;0,ROUND(S81,2),0)</f>
        <v>0</v>
      </c>
      <c r="U749" s="279"/>
      <c r="X749" s="279"/>
      <c r="Y749" s="279"/>
      <c r="Z749" s="279">
        <f t="shared" si="23"/>
        <v>1118344</v>
      </c>
    </row>
    <row r="750" spans="1:26" ht="12.6" customHeight="1" x14ac:dyDescent="0.25">
      <c r="A750" s="209" t="str">
        <f>RIGHT($C$84,3)&amp;"*"&amp;RIGHT($C$83,4)&amp;"*"&amp;T$55&amp;"*"&amp;"A"</f>
        <v>152*2018*7060*A</v>
      </c>
      <c r="B750" s="279"/>
      <c r="C750" s="282">
        <f>ROUND(T60,2)</f>
        <v>0</v>
      </c>
      <c r="D750" s="279">
        <f>ROUND(T61,0)</f>
        <v>0</v>
      </c>
      <c r="E750" s="279">
        <f>ROUND(T62,0)</f>
        <v>0</v>
      </c>
      <c r="F750" s="279">
        <f>ROUND(T63,0)</f>
        <v>0</v>
      </c>
      <c r="G750" s="279">
        <f>ROUND(T64,0)</f>
        <v>0</v>
      </c>
      <c r="H750" s="279">
        <f>ROUND(T65,0)</f>
        <v>0</v>
      </c>
      <c r="I750" s="279">
        <f>ROUND(T66,0)</f>
        <v>0</v>
      </c>
      <c r="J750" s="279">
        <f>ROUND(T67,0)</f>
        <v>0</v>
      </c>
      <c r="K750" s="279">
        <f>ROUND(T68,0)</f>
        <v>0</v>
      </c>
      <c r="L750" s="279">
        <f>ROUND(T70,0)</f>
        <v>0</v>
      </c>
      <c r="M750" s="279">
        <f>ROUND(T71,0)</f>
        <v>0</v>
      </c>
      <c r="N750" s="279">
        <f>ROUND(T76,0)</f>
        <v>0</v>
      </c>
      <c r="O750" s="279">
        <f>ROUND(T74,0)</f>
        <v>0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0</v>
      </c>
      <c r="U750" s="279"/>
      <c r="X750" s="279"/>
      <c r="Y750" s="279"/>
      <c r="Z750" s="279">
        <f t="shared" si="23"/>
        <v>0</v>
      </c>
    </row>
    <row r="751" spans="1:26" ht="12.6" customHeight="1" x14ac:dyDescent="0.25">
      <c r="A751" s="209" t="str">
        <f>RIGHT($C$84,3)&amp;"*"&amp;RIGHT($C$83,4)&amp;"*"&amp;U$55&amp;"*"&amp;"A"</f>
        <v>152*2018*7070*A</v>
      </c>
      <c r="B751" s="279">
        <f>ROUND(U59,0)</f>
        <v>204576</v>
      </c>
      <c r="C751" s="282">
        <f>ROUND(U60,2)</f>
        <v>26.11</v>
      </c>
      <c r="D751" s="279">
        <f>ROUND(U61,0)</f>
        <v>1693842</v>
      </c>
      <c r="E751" s="279">
        <f>ROUND(U62,0)</f>
        <v>475178</v>
      </c>
      <c r="F751" s="279">
        <f>ROUND(U63,0)</f>
        <v>8145</v>
      </c>
      <c r="G751" s="279">
        <f>ROUND(U64,0)</f>
        <v>1467300</v>
      </c>
      <c r="H751" s="279">
        <f>ROUND(U65,0)</f>
        <v>970</v>
      </c>
      <c r="I751" s="279">
        <f>ROUND(U66,0)</f>
        <v>831247</v>
      </c>
      <c r="J751" s="279">
        <f>ROUND(U67,0)</f>
        <v>129482</v>
      </c>
      <c r="K751" s="279">
        <f>ROUND(U68,0)</f>
        <v>13867</v>
      </c>
      <c r="L751" s="279">
        <f>ROUND(U70,0)</f>
        <v>7086</v>
      </c>
      <c r="M751" s="279">
        <f>ROUND(U71,0)</f>
        <v>0</v>
      </c>
      <c r="N751" s="279">
        <f>ROUND(U76,0)</f>
        <v>26864209</v>
      </c>
      <c r="O751" s="279">
        <f>ROUND(U74,0)</f>
        <v>3561284</v>
      </c>
      <c r="P751" s="279">
        <f>IF(U77&gt;0,ROUND(U77,0),0)</f>
        <v>4148</v>
      </c>
      <c r="Q751" s="279">
        <f>IF(U78&gt;0,ROUND(U78,0),0)</f>
        <v>0</v>
      </c>
      <c r="R751" s="279">
        <f>IF(U79&gt;0,ROUND(U79,0),0)</f>
        <v>4148</v>
      </c>
      <c r="S751" s="279">
        <f>IF(U80&gt;0,ROUND(U80,0),0)</f>
        <v>28656</v>
      </c>
      <c r="T751" s="282">
        <f>IF(U81&gt;0,ROUND(U81,2),0)</f>
        <v>0</v>
      </c>
      <c r="U751" s="279"/>
      <c r="X751" s="279"/>
      <c r="Y751" s="279"/>
      <c r="Z751" s="279">
        <f t="shared" si="23"/>
        <v>2476801</v>
      </c>
    </row>
    <row r="752" spans="1:26" ht="12.6" customHeight="1" x14ac:dyDescent="0.25">
      <c r="A752" s="209" t="str">
        <f>RIGHT($C$84,3)&amp;"*"&amp;RIGHT($C$83,4)&amp;"*"&amp;V$55&amp;"*"&amp;"A"</f>
        <v>152*2018*7110*A</v>
      </c>
      <c r="B752" s="279">
        <f>ROUND(V59,0)</f>
        <v>0</v>
      </c>
      <c r="C752" s="282">
        <f>ROUND(V60,2)</f>
        <v>0</v>
      </c>
      <c r="D752" s="279">
        <f>ROUND(V61,0)</f>
        <v>0</v>
      </c>
      <c r="E752" s="279">
        <f>ROUND(V62,0)</f>
        <v>0</v>
      </c>
      <c r="F752" s="279">
        <f>ROUND(V63,0)</f>
        <v>0</v>
      </c>
      <c r="G752" s="279">
        <f>ROUND(V64,0)</f>
        <v>0</v>
      </c>
      <c r="H752" s="279">
        <f>ROUND(V65,0)</f>
        <v>0</v>
      </c>
      <c r="I752" s="279">
        <f>ROUND(V66,0)</f>
        <v>0</v>
      </c>
      <c r="J752" s="279">
        <f>ROUND(V67,0)</f>
        <v>0</v>
      </c>
      <c r="K752" s="279">
        <f>ROUND(V68,0)</f>
        <v>0</v>
      </c>
      <c r="L752" s="279">
        <f>ROUND(V70,0)</f>
        <v>0</v>
      </c>
      <c r="M752" s="279">
        <f>ROUND(V71,0)</f>
        <v>0</v>
      </c>
      <c r="N752" s="279">
        <f>ROUND(V76,0)</f>
        <v>0</v>
      </c>
      <c r="O752" s="279">
        <f>ROUND(V74,0)</f>
        <v>0</v>
      </c>
      <c r="P752" s="279">
        <f>IF(V77&gt;0,ROUND(V77,0),0)</f>
        <v>0</v>
      </c>
      <c r="Q752" s="279">
        <f>IF(V78&gt;0,ROUND(V78,0),0)</f>
        <v>0</v>
      </c>
      <c r="R752" s="279">
        <f>IF(V79&gt;0,ROUND(V79,0),0)</f>
        <v>0</v>
      </c>
      <c r="S752" s="279">
        <f>IF(V80&gt;0,ROUND(V80,0),0)</f>
        <v>0</v>
      </c>
      <c r="T752" s="282">
        <f>IF(V81&gt;0,ROUND(V81,2),0)</f>
        <v>0</v>
      </c>
      <c r="U752" s="279"/>
      <c r="X752" s="279"/>
      <c r="Y752" s="279"/>
      <c r="Z752" s="279">
        <f t="shared" si="23"/>
        <v>0</v>
      </c>
    </row>
    <row r="753" spans="1:26" ht="12.6" customHeight="1" x14ac:dyDescent="0.25">
      <c r="A753" s="209" t="str">
        <f>RIGHT($C$84,3)&amp;"*"&amp;RIGHT($C$83,4)&amp;"*"&amp;W$55&amp;"*"&amp;"A"</f>
        <v>152*2018*7120*A</v>
      </c>
      <c r="B753" s="279">
        <f>ROUND(W59,0)</f>
        <v>1833</v>
      </c>
      <c r="C753" s="282">
        <f>ROUND(W60,2)</f>
        <v>1.61</v>
      </c>
      <c r="D753" s="279">
        <f>ROUND(W61,0)</f>
        <v>162160</v>
      </c>
      <c r="E753" s="279">
        <f>ROUND(W62,0)</f>
        <v>55186</v>
      </c>
      <c r="F753" s="279">
        <f>ROUND(W63,0)</f>
        <v>0</v>
      </c>
      <c r="G753" s="279">
        <f>ROUND(W64,0)</f>
        <v>14363</v>
      </c>
      <c r="H753" s="279">
        <f>ROUND(W65,0)</f>
        <v>0</v>
      </c>
      <c r="I753" s="279">
        <f>ROUND(W66,0)</f>
        <v>148629</v>
      </c>
      <c r="J753" s="279">
        <f>ROUND(W67,0)</f>
        <v>66639</v>
      </c>
      <c r="K753" s="279">
        <f>ROUND(W68,0)</f>
        <v>0</v>
      </c>
      <c r="L753" s="279">
        <f>ROUND(W70,0)</f>
        <v>2126</v>
      </c>
      <c r="M753" s="279">
        <f>ROUND(W71,0)</f>
        <v>0</v>
      </c>
      <c r="N753" s="279">
        <f>ROUND(W76,0)</f>
        <v>6750771</v>
      </c>
      <c r="O753" s="279">
        <f>ROUND(W74,0)</f>
        <v>395854</v>
      </c>
      <c r="P753" s="279">
        <f>IF(W77&gt;0,ROUND(W77,0),0)</f>
        <v>2135</v>
      </c>
      <c r="Q753" s="279">
        <f>IF(W78&gt;0,ROUND(W78,0),0)</f>
        <v>0</v>
      </c>
      <c r="R753" s="279">
        <f>IF(W79&gt;0,ROUND(W79,0),0)</f>
        <v>2135</v>
      </c>
      <c r="S753" s="279">
        <f>IF(W80&gt;0,ROUND(W80,0),0)</f>
        <v>0</v>
      </c>
      <c r="T753" s="282">
        <f>IF(W81&gt;0,ROUND(W81,2),0)</f>
        <v>0</v>
      </c>
      <c r="U753" s="279"/>
      <c r="X753" s="279"/>
      <c r="Y753" s="279"/>
      <c r="Z753" s="279">
        <f t="shared" si="23"/>
        <v>576063</v>
      </c>
    </row>
    <row r="754" spans="1:26" ht="12.6" customHeight="1" x14ac:dyDescent="0.25">
      <c r="A754" s="209" t="str">
        <f>RIGHT($C$84,3)&amp;"*"&amp;RIGHT($C$83,4)&amp;"*"&amp;X$55&amp;"*"&amp;"A"</f>
        <v>152*2018*7130*A</v>
      </c>
      <c r="B754" s="279">
        <f>ROUND(X59,0)</f>
        <v>26503</v>
      </c>
      <c r="C754" s="282">
        <f>ROUND(X60,2)</f>
        <v>4.0199999999999996</v>
      </c>
      <c r="D754" s="279">
        <f>ROUND(X61,0)</f>
        <v>405120</v>
      </c>
      <c r="E754" s="279">
        <f>ROUND(X62,0)</f>
        <v>110347</v>
      </c>
      <c r="F754" s="279">
        <f>ROUND(X63,0)</f>
        <v>0</v>
      </c>
      <c r="G754" s="279">
        <f>ROUND(X64,0)</f>
        <v>96402</v>
      </c>
      <c r="H754" s="279">
        <f>ROUND(X65,0)</f>
        <v>0</v>
      </c>
      <c r="I754" s="279">
        <f>ROUND(X66,0)</f>
        <v>138183</v>
      </c>
      <c r="J754" s="279">
        <f>ROUND(X67,0)</f>
        <v>24682</v>
      </c>
      <c r="K754" s="279">
        <f>ROUND(X68,0)</f>
        <v>0</v>
      </c>
      <c r="L754" s="279">
        <f>ROUND(X70,0)</f>
        <v>1300</v>
      </c>
      <c r="M754" s="279">
        <f>ROUND(X71,0)</f>
        <v>0</v>
      </c>
      <c r="N754" s="279">
        <f>ROUND(X76,0)</f>
        <v>21725704</v>
      </c>
      <c r="O754" s="279">
        <f>ROUND(X74,0)</f>
        <v>1653078</v>
      </c>
      <c r="P754" s="279">
        <f>IF(X77&gt;0,ROUND(X77,0),0)</f>
        <v>791</v>
      </c>
      <c r="Q754" s="279">
        <f>IF(X78&gt;0,ROUND(X78,0),0)</f>
        <v>0</v>
      </c>
      <c r="R754" s="279">
        <f>IF(X79&gt;0,ROUND(X79,0),0)</f>
        <v>791</v>
      </c>
      <c r="S754" s="279">
        <f>IF(X80&gt;0,ROUND(X80,0),0)</f>
        <v>0</v>
      </c>
      <c r="T754" s="282">
        <f>IF(X81&gt;0,ROUND(X81,2),0)</f>
        <v>0</v>
      </c>
      <c r="U754" s="279"/>
      <c r="X754" s="279"/>
      <c r="Y754" s="279"/>
      <c r="Z754" s="279">
        <f t="shared" si="23"/>
        <v>1421979</v>
      </c>
    </row>
    <row r="755" spans="1:26" ht="12.6" customHeight="1" x14ac:dyDescent="0.25">
      <c r="A755" s="209" t="str">
        <f>RIGHT($C$84,3)&amp;"*"&amp;RIGHT($C$83,4)&amp;"*"&amp;Y$55&amp;"*"&amp;"A"</f>
        <v>152*2018*7140*A</v>
      </c>
      <c r="B755" s="279">
        <f>ROUND(Y59,0)</f>
        <v>36371</v>
      </c>
      <c r="C755" s="282">
        <f>ROUND(Y60,2)</f>
        <v>21.37</v>
      </c>
      <c r="D755" s="279">
        <f>ROUND(Y61,0)</f>
        <v>1745932</v>
      </c>
      <c r="E755" s="279">
        <f>ROUND(Y62,0)</f>
        <v>489542</v>
      </c>
      <c r="F755" s="279">
        <f>ROUND(Y63,0)</f>
        <v>0</v>
      </c>
      <c r="G755" s="279">
        <f>ROUND(Y64,0)</f>
        <v>110464</v>
      </c>
      <c r="H755" s="279">
        <f>ROUND(Y65,0)</f>
        <v>695</v>
      </c>
      <c r="I755" s="279">
        <f>ROUND(Y66,0)</f>
        <v>543080</v>
      </c>
      <c r="J755" s="279">
        <f>ROUND(Y67,0)</f>
        <v>166158</v>
      </c>
      <c r="K755" s="279">
        <f>ROUND(Y68,0)</f>
        <v>7233</v>
      </c>
      <c r="L755" s="279">
        <f>ROUND(Y70,0)</f>
        <v>13896</v>
      </c>
      <c r="M755" s="279">
        <f>ROUND(Y71,0)</f>
        <v>0</v>
      </c>
      <c r="N755" s="279">
        <f>ROUND(Y76,0)</f>
        <v>18744720</v>
      </c>
      <c r="O755" s="279">
        <f>ROUND(Y74,0)</f>
        <v>1726639</v>
      </c>
      <c r="P755" s="279">
        <f>IF(Y77&gt;0,ROUND(Y77,0),0)</f>
        <v>5323</v>
      </c>
      <c r="Q755" s="279">
        <f>IF(Y78&gt;0,ROUND(Y78,0),0)</f>
        <v>0</v>
      </c>
      <c r="R755" s="279">
        <f>IF(Y79&gt;0,ROUND(Y79,0),0)</f>
        <v>5323</v>
      </c>
      <c r="S755" s="279">
        <f>IF(Y80&gt;0,ROUND(Y80,0),0)</f>
        <v>0</v>
      </c>
      <c r="T755" s="282">
        <f>IF(Y81&gt;0,ROUND(Y81,2),0)</f>
        <v>0</v>
      </c>
      <c r="U755" s="279"/>
      <c r="X755" s="279"/>
      <c r="Y755" s="279"/>
      <c r="Z755" s="279">
        <f t="shared" si="23"/>
        <v>1777333</v>
      </c>
    </row>
    <row r="756" spans="1:26" ht="12.6" customHeight="1" x14ac:dyDescent="0.25">
      <c r="A756" s="209" t="str">
        <f>RIGHT($C$84,3)&amp;"*"&amp;RIGHT($C$83,4)&amp;"*"&amp;Z$55&amp;"*"&amp;"A"</f>
        <v>152*2018*7150*A</v>
      </c>
      <c r="B756" s="279">
        <f>ROUND(Z59,0)</f>
        <v>0</v>
      </c>
      <c r="C756" s="282">
        <f>ROUND(Z60,2)</f>
        <v>0</v>
      </c>
      <c r="D756" s="279">
        <f>ROUND(Z61,0)</f>
        <v>0</v>
      </c>
      <c r="E756" s="279">
        <f>ROUND(Z62,0)</f>
        <v>0</v>
      </c>
      <c r="F756" s="279">
        <f>ROUND(Z63,0)</f>
        <v>0</v>
      </c>
      <c r="G756" s="279">
        <f>ROUND(Z64,0)</f>
        <v>0</v>
      </c>
      <c r="H756" s="279">
        <f>ROUND(Z65,0)</f>
        <v>0</v>
      </c>
      <c r="I756" s="279">
        <f>ROUND(Z66,0)</f>
        <v>0</v>
      </c>
      <c r="J756" s="279">
        <f>ROUND(Z67,0)</f>
        <v>0</v>
      </c>
      <c r="K756" s="279">
        <f>ROUND(Z68,0)</f>
        <v>0</v>
      </c>
      <c r="L756" s="279">
        <f>ROUND(Z70,0)</f>
        <v>0</v>
      </c>
      <c r="M756" s="279">
        <f>ROUND(Z71,0)</f>
        <v>0</v>
      </c>
      <c r="N756" s="279">
        <f>ROUND(Z76,0)</f>
        <v>0</v>
      </c>
      <c r="O756" s="279">
        <f>ROUND(Z74,0)</f>
        <v>0</v>
      </c>
      <c r="P756" s="279">
        <f>IF(Z77&gt;0,ROUND(Z77,0),0)</f>
        <v>0</v>
      </c>
      <c r="Q756" s="279">
        <f>IF(Z78&gt;0,ROUND(Z78,0),0)</f>
        <v>0</v>
      </c>
      <c r="R756" s="279">
        <f>IF(Z79&gt;0,ROUND(Z79,0),0)</f>
        <v>0</v>
      </c>
      <c r="S756" s="279">
        <f>IF(Z80&gt;0,ROUND(Z80,0),0)</f>
        <v>0</v>
      </c>
      <c r="T756" s="282">
        <f>IF(Z81&gt;0,ROUND(Z81,2),0)</f>
        <v>0</v>
      </c>
      <c r="U756" s="279"/>
      <c r="X756" s="279"/>
      <c r="Y756" s="279"/>
      <c r="Z756" s="279">
        <f t="shared" si="23"/>
        <v>0</v>
      </c>
    </row>
    <row r="757" spans="1:26" ht="12.6" customHeight="1" x14ac:dyDescent="0.25">
      <c r="A757" s="209" t="str">
        <f>RIGHT($C$84,3)&amp;"*"&amp;RIGHT($C$83,4)&amp;"*"&amp;AA$55&amp;"*"&amp;"A"</f>
        <v>152*2018*7160*A</v>
      </c>
      <c r="B757" s="279">
        <f>ROUND(AA59,0)</f>
        <v>0</v>
      </c>
      <c r="C757" s="282">
        <f>ROUND(AA60,2)</f>
        <v>1.01</v>
      </c>
      <c r="D757" s="279">
        <f>ROUND(AA61,0)</f>
        <v>101250</v>
      </c>
      <c r="E757" s="279">
        <f>ROUND(AA62,0)</f>
        <v>28331</v>
      </c>
      <c r="F757" s="279">
        <f>ROUND(AA63,0)</f>
        <v>0</v>
      </c>
      <c r="G757" s="279">
        <f>ROUND(AA64,0)</f>
        <v>31128</v>
      </c>
      <c r="H757" s="279">
        <f>ROUND(AA65,0)</f>
        <v>0</v>
      </c>
      <c r="I757" s="279">
        <f>ROUND(AA66,0)</f>
        <v>25486</v>
      </c>
      <c r="J757" s="279">
        <f>ROUND(AA67,0)</f>
        <v>21517</v>
      </c>
      <c r="K757" s="279">
        <f>ROUND(AA68,0)</f>
        <v>0</v>
      </c>
      <c r="L757" s="279">
        <f>ROUND(AA70,0)</f>
        <v>6608</v>
      </c>
      <c r="M757" s="279">
        <f>ROUND(AA71,0)</f>
        <v>0</v>
      </c>
      <c r="N757" s="279">
        <f>ROUND(AA76,0)</f>
        <v>857008</v>
      </c>
      <c r="O757" s="279">
        <f>ROUND(AA74,0)</f>
        <v>73665</v>
      </c>
      <c r="P757" s="279">
        <f>IF(AA77&gt;0,ROUND(AA77,0),0)</f>
        <v>689</v>
      </c>
      <c r="Q757" s="279">
        <f>IF(AA78&gt;0,ROUND(AA78,0),0)</f>
        <v>0</v>
      </c>
      <c r="R757" s="279">
        <f>IF(AA79&gt;0,ROUND(AA79,0),0)</f>
        <v>689</v>
      </c>
      <c r="S757" s="279">
        <f>IF(AA80&gt;0,ROUND(AA80,0),0)</f>
        <v>0</v>
      </c>
      <c r="T757" s="282">
        <f>IF(AA81&gt;0,ROUND(AA81,2),0)</f>
        <v>0</v>
      </c>
      <c r="U757" s="279"/>
      <c r="X757" s="279"/>
      <c r="Y757" s="279"/>
      <c r="Z757" s="279">
        <f t="shared" si="23"/>
        <v>117081</v>
      </c>
    </row>
    <row r="758" spans="1:26" ht="12.6" customHeight="1" x14ac:dyDescent="0.25">
      <c r="A758" s="209" t="str">
        <f>RIGHT($C$84,3)&amp;"*"&amp;RIGHT($C$83,4)&amp;"*"&amp;AB$55&amp;"*"&amp;"A"</f>
        <v>152*2018*7170*A</v>
      </c>
      <c r="B758" s="279"/>
      <c r="C758" s="282">
        <f>ROUND(AB60,2)</f>
        <v>14.24</v>
      </c>
      <c r="D758" s="279">
        <f>ROUND(AB61,0)</f>
        <v>1468528</v>
      </c>
      <c r="E758" s="279">
        <f>ROUND(AB62,0)</f>
        <v>406806</v>
      </c>
      <c r="F758" s="279">
        <f>ROUND(AB63,0)</f>
        <v>0</v>
      </c>
      <c r="G758" s="279">
        <f>ROUND(AB64,0)</f>
        <v>2431817</v>
      </c>
      <c r="H758" s="279">
        <f>ROUND(AB65,0)</f>
        <v>0</v>
      </c>
      <c r="I758" s="279">
        <f>ROUND(AB66,0)</f>
        <v>318226</v>
      </c>
      <c r="J758" s="279">
        <f>ROUND(AB67,0)</f>
        <v>56662</v>
      </c>
      <c r="K758" s="279">
        <f>ROUND(AB68,0)</f>
        <v>41</v>
      </c>
      <c r="L758" s="279">
        <f>ROUND(AB70,0)</f>
        <v>16863</v>
      </c>
      <c r="M758" s="279">
        <f>ROUND(AB71,0)</f>
        <v>3956979</v>
      </c>
      <c r="N758" s="279">
        <f>ROUND(AB76,0)</f>
        <v>8336116</v>
      </c>
      <c r="O758" s="279">
        <f>ROUND(AB74,0)</f>
        <v>2683433</v>
      </c>
      <c r="P758" s="279">
        <f>IF(AB77&gt;0,ROUND(AB77,0),0)</f>
        <v>1815</v>
      </c>
      <c r="Q758" s="279">
        <f>IF(AB78&gt;0,ROUND(AB78,0),0)</f>
        <v>0</v>
      </c>
      <c r="R758" s="279">
        <f>IF(AB79&gt;0,ROUND(AB79,0),0)</f>
        <v>1815</v>
      </c>
      <c r="S758" s="279">
        <f>IF(AB80&gt;0,ROUND(AB80,0),0)</f>
        <v>0</v>
      </c>
      <c r="T758" s="282">
        <f>IF(AB81&gt;0,ROUND(AB81,2),0)</f>
        <v>0</v>
      </c>
      <c r="U758" s="279"/>
      <c r="X758" s="279"/>
      <c r="Y758" s="279"/>
      <c r="Z758" s="279">
        <f t="shared" si="23"/>
        <v>874140</v>
      </c>
    </row>
    <row r="759" spans="1:26" ht="12.6" customHeight="1" x14ac:dyDescent="0.25">
      <c r="A759" s="209" t="str">
        <f>RIGHT($C$84,3)&amp;"*"&amp;RIGHT($C$83,4)&amp;"*"&amp;AC$55&amp;"*"&amp;"A"</f>
        <v>152*2018*7180*A</v>
      </c>
      <c r="B759" s="279">
        <f>ROUND(AC59,0)</f>
        <v>6206</v>
      </c>
      <c r="C759" s="282">
        <f>ROUND(AC60,2)</f>
        <v>8.99</v>
      </c>
      <c r="D759" s="279">
        <f>ROUND(AC61,0)</f>
        <v>779345</v>
      </c>
      <c r="E759" s="279">
        <f>ROUND(AC62,0)</f>
        <v>247454</v>
      </c>
      <c r="F759" s="279">
        <f>ROUND(AC63,0)</f>
        <v>0</v>
      </c>
      <c r="G759" s="279">
        <f>ROUND(AC64,0)</f>
        <v>48081</v>
      </c>
      <c r="H759" s="279">
        <f>ROUND(AC65,0)</f>
        <v>0</v>
      </c>
      <c r="I759" s="279">
        <f>ROUND(AC66,0)</f>
        <v>29083</v>
      </c>
      <c r="J759" s="279">
        <f>ROUND(AC67,0)</f>
        <v>25113</v>
      </c>
      <c r="K759" s="279">
        <f>ROUND(AC68,0)</f>
        <v>15372</v>
      </c>
      <c r="L759" s="279">
        <f>ROUND(AC70,0)</f>
        <v>194</v>
      </c>
      <c r="M759" s="279">
        <f>ROUND(AC71,0)</f>
        <v>0</v>
      </c>
      <c r="N759" s="279">
        <f>ROUND(AC76,0)</f>
        <v>6276446</v>
      </c>
      <c r="O759" s="279">
        <f>ROUND(AC74,0)</f>
        <v>3533670</v>
      </c>
      <c r="P759" s="279">
        <f>IF(AC77&gt;0,ROUND(AC77,0),0)</f>
        <v>804</v>
      </c>
      <c r="Q759" s="279">
        <f>IF(AC78&gt;0,ROUND(AC78,0),0)</f>
        <v>0</v>
      </c>
      <c r="R759" s="279">
        <f>IF(AC79&gt;0,ROUND(AC79,0),0)</f>
        <v>804</v>
      </c>
      <c r="S759" s="279">
        <f>IF(AC80&gt;0,ROUND(AC80,0),0)</f>
        <v>0</v>
      </c>
      <c r="T759" s="282">
        <f>IF(AC81&gt;0,ROUND(AC81,2),0)</f>
        <v>0</v>
      </c>
      <c r="U759" s="279"/>
      <c r="X759" s="279"/>
      <c r="Y759" s="279"/>
      <c r="Z759" s="279">
        <f t="shared" si="23"/>
        <v>551244</v>
      </c>
    </row>
    <row r="760" spans="1:26" ht="12.6" customHeight="1" x14ac:dyDescent="0.25">
      <c r="A760" s="209" t="str">
        <f>RIGHT($C$84,3)&amp;"*"&amp;RIGHT($C$83,4)&amp;"*"&amp;AD$55&amp;"*"&amp;"A"</f>
        <v>152*2018*7190*A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>
        <f>ROUND(AD62,0)</f>
        <v>0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>
        <f>ROUND(AD67,0)</f>
        <v>0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>
        <f t="shared" si="23"/>
        <v>0</v>
      </c>
    </row>
    <row r="761" spans="1:26" ht="12.6" customHeight="1" x14ac:dyDescent="0.25">
      <c r="A761" s="209" t="str">
        <f>RIGHT($C$84,3)&amp;"*"&amp;RIGHT($C$83,4)&amp;"*"&amp;AE$55&amp;"*"&amp;"A"</f>
        <v>152*2018*7200*A</v>
      </c>
      <c r="B761" s="279">
        <f>ROUND(AE59,0)</f>
        <v>22498</v>
      </c>
      <c r="C761" s="282">
        <f>ROUND(AE60,2)</f>
        <v>20.170000000000002</v>
      </c>
      <c r="D761" s="279">
        <f>ROUND(AE61,0)</f>
        <v>1552220</v>
      </c>
      <c r="E761" s="279">
        <f>ROUND(AE62,0)</f>
        <v>400265</v>
      </c>
      <c r="F761" s="279">
        <f>ROUND(AE63,0)</f>
        <v>65392</v>
      </c>
      <c r="G761" s="279">
        <f>ROUND(AE64,0)</f>
        <v>36510</v>
      </c>
      <c r="H761" s="279">
        <f>ROUND(AE65,0)</f>
        <v>0</v>
      </c>
      <c r="I761" s="279">
        <f>ROUND(AE66,0)</f>
        <v>19158</v>
      </c>
      <c r="J761" s="279">
        <f>ROUND(AE67,0)</f>
        <v>121168</v>
      </c>
      <c r="K761" s="279">
        <f>ROUND(AE68,0)</f>
        <v>7381</v>
      </c>
      <c r="L761" s="279">
        <f>ROUND(AE70,0)</f>
        <v>12175</v>
      </c>
      <c r="M761" s="279">
        <f>ROUND(AE71,0)</f>
        <v>0</v>
      </c>
      <c r="N761" s="279">
        <f>ROUND(AE76,0)</f>
        <v>7313547</v>
      </c>
      <c r="O761" s="279">
        <f>ROUND(AE74,0)</f>
        <v>466434</v>
      </c>
      <c r="P761" s="279">
        <f>IF(AE77&gt;0,ROUND(AE77,0),0)</f>
        <v>3882</v>
      </c>
      <c r="Q761" s="279">
        <f>IF(AE78&gt;0,ROUND(AE78,0),0)</f>
        <v>0</v>
      </c>
      <c r="R761" s="279">
        <f>IF(AE79&gt;0,ROUND(AE79,0),0)</f>
        <v>3882</v>
      </c>
      <c r="S761" s="279">
        <f>IF(AE80&gt;0,ROUND(AE80,0),0)</f>
        <v>9664</v>
      </c>
      <c r="T761" s="282">
        <f>IF(AE81&gt;0,ROUND(AE81,2),0)</f>
        <v>0</v>
      </c>
      <c r="U761" s="279"/>
      <c r="X761" s="279"/>
      <c r="Y761" s="279"/>
      <c r="Z761" s="279">
        <f t="shared" si="23"/>
        <v>940790</v>
      </c>
    </row>
    <row r="762" spans="1:26" ht="12.6" customHeight="1" x14ac:dyDescent="0.25">
      <c r="A762" s="209" t="str">
        <f>RIGHT($C$84,3)&amp;"*"&amp;RIGHT($C$83,4)&amp;"*"&amp;AF$55&amp;"*"&amp;"A"</f>
        <v>152*2018*7220*A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>
        <f>ROUND(AF62,0)</f>
        <v>0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>
        <f>ROUND(AF67,0)</f>
        <v>0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>
        <f t="shared" si="23"/>
        <v>0</v>
      </c>
    </row>
    <row r="763" spans="1:26" ht="12.6" customHeight="1" x14ac:dyDescent="0.25">
      <c r="A763" s="209" t="str">
        <f>RIGHT($C$84,3)&amp;"*"&amp;RIGHT($C$83,4)&amp;"*"&amp;AG$55&amp;"*"&amp;"A"</f>
        <v>152*2018*7230*A</v>
      </c>
      <c r="B763" s="279">
        <f>ROUND(AG59,0)</f>
        <v>19855</v>
      </c>
      <c r="C763" s="282">
        <f>ROUND(AG60,2)</f>
        <v>28.26</v>
      </c>
      <c r="D763" s="279">
        <f>ROUND(AG61,0)</f>
        <v>2462978</v>
      </c>
      <c r="E763" s="279">
        <f>ROUND(AG62,0)</f>
        <v>579279</v>
      </c>
      <c r="F763" s="279">
        <f>ROUND(AG63,0)</f>
        <v>2761051</v>
      </c>
      <c r="G763" s="279">
        <f>ROUND(AG64,0)</f>
        <v>272309</v>
      </c>
      <c r="H763" s="279">
        <f>ROUND(AG65,0)</f>
        <v>0</v>
      </c>
      <c r="I763" s="279">
        <f>ROUND(AG66,0)</f>
        <v>21468</v>
      </c>
      <c r="J763" s="279">
        <f>ROUND(AG67,0)</f>
        <v>297518</v>
      </c>
      <c r="K763" s="279">
        <f>ROUND(AG68,0)</f>
        <v>10575</v>
      </c>
      <c r="L763" s="279">
        <f>ROUND(AG70,0)</f>
        <v>35849</v>
      </c>
      <c r="M763" s="279">
        <f>ROUND(AG71,0)</f>
        <v>0</v>
      </c>
      <c r="N763" s="279">
        <f>ROUND(AG76,0)</f>
        <v>40125068</v>
      </c>
      <c r="O763" s="279">
        <f>ROUND(AG74,0)</f>
        <v>1565902</v>
      </c>
      <c r="P763" s="279">
        <f>IF(AG77&gt;0,ROUND(AG77,0),0)</f>
        <v>9531</v>
      </c>
      <c r="Q763" s="279">
        <f>IF(AG78&gt;0,ROUND(AG78,0),0)</f>
        <v>2991</v>
      </c>
      <c r="R763" s="279">
        <f>IF(AG79&gt;0,ROUND(AG79,0),0)</f>
        <v>9531</v>
      </c>
      <c r="S763" s="279">
        <f>IF(AG80&gt;0,ROUND(AG80,0),0)</f>
        <v>71691</v>
      </c>
      <c r="T763" s="282">
        <f>IF(AG81&gt;0,ROUND(AG81,2),0)</f>
        <v>28.26</v>
      </c>
      <c r="U763" s="279"/>
      <c r="X763" s="279"/>
      <c r="Y763" s="279"/>
      <c r="Z763" s="279">
        <f t="shared" si="23"/>
        <v>4933541</v>
      </c>
    </row>
    <row r="764" spans="1:26" ht="12.6" customHeight="1" x14ac:dyDescent="0.25">
      <c r="A764" s="209" t="str">
        <f>RIGHT($C$84,3)&amp;"*"&amp;RIGHT($C$83,4)&amp;"*"&amp;AH$55&amp;"*"&amp;"A"</f>
        <v>152*2018*7240*A</v>
      </c>
      <c r="B764" s="279">
        <f>ROUND(AH59,0)</f>
        <v>0</v>
      </c>
      <c r="C764" s="282">
        <f>ROUND(AH60,2)</f>
        <v>0</v>
      </c>
      <c r="D764" s="279">
        <f>ROUND(AH61,0)</f>
        <v>0</v>
      </c>
      <c r="E764" s="279">
        <f>ROUND(AH62,0)</f>
        <v>0</v>
      </c>
      <c r="F764" s="279">
        <f>ROUND(AH63,0)</f>
        <v>0</v>
      </c>
      <c r="G764" s="279">
        <f>ROUND(AH64,0)</f>
        <v>0</v>
      </c>
      <c r="H764" s="279">
        <f>ROUND(AH65,0)</f>
        <v>0</v>
      </c>
      <c r="I764" s="279">
        <f>ROUND(AH66,0)</f>
        <v>0</v>
      </c>
      <c r="J764" s="279">
        <f>ROUND(AH67,0)</f>
        <v>0</v>
      </c>
      <c r="K764" s="279">
        <f>ROUND(AH68,0)</f>
        <v>0</v>
      </c>
      <c r="L764" s="279">
        <f>ROUND(AH70,0)</f>
        <v>0</v>
      </c>
      <c r="M764" s="279">
        <f>ROUND(AH71,0)</f>
        <v>0</v>
      </c>
      <c r="N764" s="279">
        <f>ROUND(AH76,0)</f>
        <v>0</v>
      </c>
      <c r="O764" s="279">
        <f>ROUND(AH74,0)</f>
        <v>0</v>
      </c>
      <c r="P764" s="279">
        <f>IF(AH77&gt;0,ROUND(AH77,0),0)</f>
        <v>0</v>
      </c>
      <c r="Q764" s="279">
        <f>IF(AH78&gt;0,ROUND(AH78,0),0)</f>
        <v>0</v>
      </c>
      <c r="R764" s="279">
        <f>IF(AH79&gt;0,ROUND(AH79,0),0)</f>
        <v>0</v>
      </c>
      <c r="S764" s="279">
        <f>IF(AH80&gt;0,ROUND(AH80,0),0)</f>
        <v>0</v>
      </c>
      <c r="T764" s="282">
        <f>IF(AH81&gt;0,ROUND(AH81,2),0)</f>
        <v>0</v>
      </c>
      <c r="U764" s="279"/>
      <c r="X764" s="279"/>
      <c r="Y764" s="279"/>
      <c r="Z764" s="279">
        <f t="shared" si="23"/>
        <v>0</v>
      </c>
    </row>
    <row r="765" spans="1:26" ht="12.6" customHeight="1" x14ac:dyDescent="0.25">
      <c r="A765" s="209" t="str">
        <f>RIGHT($C$84,3)&amp;"*"&amp;RIGHT($C$83,4)&amp;"*"&amp;AI$55&amp;"*"&amp;"A"</f>
        <v>152*2018*7250*A</v>
      </c>
      <c r="B765" s="279">
        <f>ROUND(AI59,0)</f>
        <v>0</v>
      </c>
      <c r="C765" s="282">
        <f>ROUND(AI60,2)</f>
        <v>0</v>
      </c>
      <c r="D765" s="279">
        <f>ROUND(AI61,0)</f>
        <v>0</v>
      </c>
      <c r="E765" s="279">
        <f>ROUND(AI62,0)</f>
        <v>0</v>
      </c>
      <c r="F765" s="279">
        <f>ROUND(AI63,0)</f>
        <v>0</v>
      </c>
      <c r="G765" s="279">
        <f>ROUND(AI64,0)</f>
        <v>0</v>
      </c>
      <c r="H765" s="279">
        <f>ROUND(AI65,0)</f>
        <v>0</v>
      </c>
      <c r="I765" s="279">
        <f>ROUND(AI66,0)</f>
        <v>0</v>
      </c>
      <c r="J765" s="279">
        <f>ROUND(AI67,0)</f>
        <v>0</v>
      </c>
      <c r="K765" s="279">
        <f>ROUND(AI68,0)</f>
        <v>0</v>
      </c>
      <c r="L765" s="279">
        <f>ROUND(AI70,0)</f>
        <v>0</v>
      </c>
      <c r="M765" s="279">
        <f>ROUND(AI71,0)</f>
        <v>0</v>
      </c>
      <c r="N765" s="279">
        <f>ROUND(AI76,0)</f>
        <v>0</v>
      </c>
      <c r="O765" s="279">
        <f>ROUND(AI74,0)</f>
        <v>0</v>
      </c>
      <c r="P765" s="279">
        <f>IF(AI77&gt;0,ROUND(AI77,0),0)</f>
        <v>0</v>
      </c>
      <c r="Q765" s="279">
        <f>IF(AI78&gt;0,ROUND(AI78,0),0)</f>
        <v>0</v>
      </c>
      <c r="R765" s="279">
        <f>IF(AI79&gt;0,ROUND(AI79,0),0)</f>
        <v>0</v>
      </c>
      <c r="S765" s="279">
        <f>IF(AI80&gt;0,ROUND(AI80,0),0)</f>
        <v>0</v>
      </c>
      <c r="T765" s="282">
        <f>IF(AI81&gt;0,ROUND(AI81,2),0)</f>
        <v>0</v>
      </c>
      <c r="U765" s="279"/>
      <c r="X765" s="279"/>
      <c r="Y765" s="279"/>
      <c r="Z765" s="279">
        <f t="shared" si="23"/>
        <v>0</v>
      </c>
    </row>
    <row r="766" spans="1:26" ht="12.6" customHeight="1" x14ac:dyDescent="0.25">
      <c r="A766" s="209" t="str">
        <f>RIGHT($C$84,3)&amp;"*"&amp;RIGHT($C$83,4)&amp;"*"&amp;AJ$55&amp;"*"&amp;"A"</f>
        <v>152*2018*7260*A</v>
      </c>
      <c r="B766" s="279">
        <f>ROUND(AJ59,0)</f>
        <v>0</v>
      </c>
      <c r="C766" s="282">
        <f>ROUND(AJ60,2)</f>
        <v>0</v>
      </c>
      <c r="D766" s="279">
        <f>ROUND(AJ61,0)</f>
        <v>0</v>
      </c>
      <c r="E766" s="279">
        <f>ROUND(AJ62,0)</f>
        <v>0</v>
      </c>
      <c r="F766" s="279">
        <f>ROUND(AJ63,0)</f>
        <v>0</v>
      </c>
      <c r="G766" s="279">
        <f>ROUND(AJ64,0)</f>
        <v>0</v>
      </c>
      <c r="H766" s="279">
        <f>ROUND(AJ65,0)</f>
        <v>0</v>
      </c>
      <c r="I766" s="279">
        <f>ROUND(AJ66,0)</f>
        <v>0</v>
      </c>
      <c r="J766" s="279">
        <f>ROUND(AJ67,0)</f>
        <v>0</v>
      </c>
      <c r="K766" s="279">
        <f>ROUND(AJ68,0)</f>
        <v>0</v>
      </c>
      <c r="L766" s="279">
        <f>ROUND(AJ70,0)</f>
        <v>0</v>
      </c>
      <c r="M766" s="279">
        <f>ROUND(AJ71,0)</f>
        <v>0</v>
      </c>
      <c r="N766" s="279">
        <f>ROUND(AJ76,0)</f>
        <v>0</v>
      </c>
      <c r="O766" s="279">
        <f>ROUND(AJ74,0)</f>
        <v>0</v>
      </c>
      <c r="P766" s="279">
        <f>IF(AJ77&gt;0,ROUND(AJ77,0),0)</f>
        <v>0</v>
      </c>
      <c r="Q766" s="279">
        <f>IF(AJ78&gt;0,ROUND(AJ78,0),0)</f>
        <v>0</v>
      </c>
      <c r="R766" s="279">
        <f>IF(AJ79&gt;0,ROUND(AJ79,0),0)</f>
        <v>0</v>
      </c>
      <c r="S766" s="279">
        <f>IF(AJ80&gt;0,ROUND(AJ80,0),0)</f>
        <v>0</v>
      </c>
      <c r="T766" s="282">
        <f>IF(AJ81&gt;0,ROUND(AJ81,2),0)</f>
        <v>0</v>
      </c>
      <c r="U766" s="279"/>
      <c r="X766" s="279"/>
      <c r="Y766" s="279"/>
      <c r="Z766" s="279">
        <f t="shared" si="23"/>
        <v>0</v>
      </c>
    </row>
    <row r="767" spans="1:26" ht="12.6" customHeight="1" x14ac:dyDescent="0.25">
      <c r="A767" s="209" t="str">
        <f>RIGHT($C$84,3)&amp;"*"&amp;RIGHT($C$83,4)&amp;"*"&amp;AK$55&amp;"*"&amp;"A"</f>
        <v>152*2018*7310*A</v>
      </c>
      <c r="B767" s="279">
        <f>ROUND(AK59,0)</f>
        <v>0</v>
      </c>
      <c r="C767" s="282">
        <f>ROUND(AK60,2)</f>
        <v>0</v>
      </c>
      <c r="D767" s="279">
        <f>ROUND(AK61,0)</f>
        <v>0</v>
      </c>
      <c r="E767" s="279">
        <f>ROUND(AK62,0)</f>
        <v>0</v>
      </c>
      <c r="F767" s="279">
        <f>ROUND(AK63,0)</f>
        <v>0</v>
      </c>
      <c r="G767" s="279">
        <f>ROUND(AK64,0)</f>
        <v>0</v>
      </c>
      <c r="H767" s="279">
        <f>ROUND(AK65,0)</f>
        <v>0</v>
      </c>
      <c r="I767" s="279">
        <f>ROUND(AK66,0)</f>
        <v>0</v>
      </c>
      <c r="J767" s="279">
        <f>ROUND(AK67,0)</f>
        <v>0</v>
      </c>
      <c r="K767" s="279">
        <f>ROUND(AK68,0)</f>
        <v>0</v>
      </c>
      <c r="L767" s="279">
        <f>ROUND(AK70,0)</f>
        <v>0</v>
      </c>
      <c r="M767" s="279">
        <f>ROUND(AK71,0)</f>
        <v>0</v>
      </c>
      <c r="N767" s="279">
        <f>ROUND(AK76,0)</f>
        <v>0</v>
      </c>
      <c r="O767" s="279">
        <f>ROUND(AK74,0)</f>
        <v>0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0</v>
      </c>
      <c r="U767" s="279"/>
      <c r="X767" s="279"/>
      <c r="Y767" s="279"/>
      <c r="Z767" s="279">
        <f t="shared" si="23"/>
        <v>0</v>
      </c>
    </row>
    <row r="768" spans="1:26" ht="12.6" customHeight="1" x14ac:dyDescent="0.25">
      <c r="A768" s="209" t="str">
        <f>RIGHT($C$84,3)&amp;"*"&amp;RIGHT($C$83,4)&amp;"*"&amp;AL$55&amp;"*"&amp;"A"</f>
        <v>152*2018*7320*A</v>
      </c>
      <c r="B768" s="279">
        <f>ROUND(AL59,0)</f>
        <v>0</v>
      </c>
      <c r="C768" s="282">
        <f>ROUND(AL60,2)</f>
        <v>0</v>
      </c>
      <c r="D768" s="279">
        <f>ROUND(AL61,0)</f>
        <v>0</v>
      </c>
      <c r="E768" s="279">
        <f>ROUND(AL62,0)</f>
        <v>0</v>
      </c>
      <c r="F768" s="279">
        <f>ROUND(AL63,0)</f>
        <v>0</v>
      </c>
      <c r="G768" s="279">
        <f>ROUND(AL64,0)</f>
        <v>0</v>
      </c>
      <c r="H768" s="279">
        <f>ROUND(AL65,0)</f>
        <v>0</v>
      </c>
      <c r="I768" s="279">
        <f>ROUND(AL66,0)</f>
        <v>0</v>
      </c>
      <c r="J768" s="279">
        <f>ROUND(AL67,0)</f>
        <v>0</v>
      </c>
      <c r="K768" s="279">
        <f>ROUND(AL68,0)</f>
        <v>0</v>
      </c>
      <c r="L768" s="279">
        <f>ROUND(AL70,0)</f>
        <v>0</v>
      </c>
      <c r="M768" s="279">
        <f>ROUND(AL71,0)</f>
        <v>0</v>
      </c>
      <c r="N768" s="279">
        <f>ROUND(AL76,0)</f>
        <v>0</v>
      </c>
      <c r="O768" s="279">
        <f>ROUND(AL74,0)</f>
        <v>0</v>
      </c>
      <c r="P768" s="279">
        <f>IF(AL77&gt;0,ROUND(AL77,0),0)</f>
        <v>0</v>
      </c>
      <c r="Q768" s="279">
        <f>IF(AL78&gt;0,ROUND(AL78,0),0)</f>
        <v>0</v>
      </c>
      <c r="R768" s="279">
        <f>IF(AL79&gt;0,ROUND(AL79,0),0)</f>
        <v>0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>
        <f t="shared" si="23"/>
        <v>0</v>
      </c>
    </row>
    <row r="769" spans="1:26" ht="12.6" customHeight="1" x14ac:dyDescent="0.25">
      <c r="A769" s="209" t="str">
        <f>RIGHT($C$84,3)&amp;"*"&amp;RIGHT($C$83,4)&amp;"*"&amp;AM$55&amp;"*"&amp;"A"</f>
        <v>152*2018*7330*A</v>
      </c>
      <c r="B769" s="279">
        <f>ROUND(AM59,0)</f>
        <v>0</v>
      </c>
      <c r="C769" s="282">
        <f>ROUND(AM60,2)</f>
        <v>0</v>
      </c>
      <c r="D769" s="279">
        <f>ROUND(AM61,0)</f>
        <v>0</v>
      </c>
      <c r="E769" s="279">
        <f>ROUND(AM62,0)</f>
        <v>0</v>
      </c>
      <c r="F769" s="279">
        <f>ROUND(AM63,0)</f>
        <v>0</v>
      </c>
      <c r="G769" s="279">
        <f>ROUND(AM64,0)</f>
        <v>0</v>
      </c>
      <c r="H769" s="279">
        <f>ROUND(AM65,0)</f>
        <v>0</v>
      </c>
      <c r="I769" s="279">
        <f>ROUND(AM66,0)</f>
        <v>0</v>
      </c>
      <c r="J769" s="279">
        <f>ROUND(AM67,0)</f>
        <v>0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0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>
        <f t="shared" si="23"/>
        <v>0</v>
      </c>
    </row>
    <row r="770" spans="1:26" ht="12.6" customHeight="1" x14ac:dyDescent="0.25">
      <c r="A770" s="209" t="str">
        <f>RIGHT($C$84,3)&amp;"*"&amp;RIGHT($C$83,4)&amp;"*"&amp;AN$55&amp;"*"&amp;"A"</f>
        <v>152*2018*7340*A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>
        <f>ROUND(AN62,0)</f>
        <v>0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>
        <f>ROUND(AN67,0)</f>
        <v>0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>
        <f t="shared" si="23"/>
        <v>0</v>
      </c>
    </row>
    <row r="771" spans="1:26" ht="12.6" customHeight="1" x14ac:dyDescent="0.25">
      <c r="A771" s="209" t="str">
        <f>RIGHT($C$84,3)&amp;"*"&amp;RIGHT($C$83,4)&amp;"*"&amp;AO$55&amp;"*"&amp;"A"</f>
        <v>152*2018*7350*A</v>
      </c>
      <c r="B771" s="279">
        <f>ROUND(AO59,0)</f>
        <v>0</v>
      </c>
      <c r="C771" s="282">
        <f>ROUND(AO60,2)</f>
        <v>0</v>
      </c>
      <c r="D771" s="279">
        <f>ROUND(AO61,0)</f>
        <v>0</v>
      </c>
      <c r="E771" s="279">
        <f>ROUND(AO62,0)</f>
        <v>0</v>
      </c>
      <c r="F771" s="279">
        <f>ROUND(AO63,0)</f>
        <v>0</v>
      </c>
      <c r="G771" s="279">
        <f>ROUND(AO64,0)</f>
        <v>0</v>
      </c>
      <c r="H771" s="279">
        <f>ROUND(AO65,0)</f>
        <v>0</v>
      </c>
      <c r="I771" s="279">
        <f>ROUND(AO66,0)</f>
        <v>0</v>
      </c>
      <c r="J771" s="279">
        <f>ROUND(AO67,0)</f>
        <v>0</v>
      </c>
      <c r="K771" s="279">
        <f>ROUND(AO68,0)</f>
        <v>0</v>
      </c>
      <c r="L771" s="279">
        <f>ROUND(AO70,0)</f>
        <v>0</v>
      </c>
      <c r="M771" s="279">
        <f>ROUND(AO71,0)</f>
        <v>0</v>
      </c>
      <c r="N771" s="279">
        <f>ROUND(AO76,0)</f>
        <v>0</v>
      </c>
      <c r="O771" s="279">
        <f>ROUND(AO74,0)</f>
        <v>0</v>
      </c>
      <c r="P771" s="279">
        <f>IF(AO77&gt;0,ROUND(AO77,0),0)</f>
        <v>0</v>
      </c>
      <c r="Q771" s="279">
        <f>IF(AO78&gt;0,ROUND(AO78,0),0)</f>
        <v>0</v>
      </c>
      <c r="R771" s="279">
        <f>IF(AO79&gt;0,ROUND(AO79,0),0)</f>
        <v>0</v>
      </c>
      <c r="S771" s="279">
        <f>IF(AO80&gt;0,ROUND(AO80,0),0)</f>
        <v>0</v>
      </c>
      <c r="T771" s="282">
        <f>IF(AO81&gt;0,ROUND(AO81,2),0)</f>
        <v>0</v>
      </c>
      <c r="U771" s="279"/>
      <c r="X771" s="279"/>
      <c r="Y771" s="279"/>
      <c r="Z771" s="279">
        <f t="shared" si="23"/>
        <v>0</v>
      </c>
    </row>
    <row r="772" spans="1:26" ht="12.6" customHeight="1" x14ac:dyDescent="0.25">
      <c r="A772" s="209" t="str">
        <f>RIGHT($C$84,3)&amp;"*"&amp;RIGHT($C$83,4)&amp;"*"&amp;AP$55&amp;"*"&amp;"A"</f>
        <v>152*2018*7380*A</v>
      </c>
      <c r="B772" s="279">
        <f>ROUND(AP59,0)</f>
        <v>85586</v>
      </c>
      <c r="C772" s="282">
        <f>ROUND(AP60,2)</f>
        <v>146.30000000000001</v>
      </c>
      <c r="D772" s="279">
        <f>ROUND(AP61,0)</f>
        <v>14403966</v>
      </c>
      <c r="E772" s="279">
        <f>ROUND(AP62,0)</f>
        <v>3594259</v>
      </c>
      <c r="F772" s="279">
        <f>ROUND(AP63,0)</f>
        <v>1059947</v>
      </c>
      <c r="G772" s="279">
        <f>ROUND(AP64,0)</f>
        <v>845062</v>
      </c>
      <c r="H772" s="279">
        <f>ROUND(AP65,0)</f>
        <v>54649</v>
      </c>
      <c r="I772" s="279">
        <f>ROUND(AP66,0)</f>
        <v>274110</v>
      </c>
      <c r="J772" s="279">
        <f>ROUND(AP67,0)</f>
        <v>2031842</v>
      </c>
      <c r="K772" s="279">
        <f>ROUND(AP68,0)</f>
        <v>83038</v>
      </c>
      <c r="L772" s="279">
        <f>ROUND(AP70,0)</f>
        <v>468951</v>
      </c>
      <c r="M772" s="279">
        <f>ROUND(AP71,0)</f>
        <v>50125</v>
      </c>
      <c r="N772" s="279">
        <f>ROUND(AP76,0)</f>
        <v>27728939</v>
      </c>
      <c r="O772" s="279">
        <f>ROUND(AP74,0)</f>
        <v>0</v>
      </c>
      <c r="P772" s="279">
        <f>IF(AP77&gt;0,ROUND(AP77,0),0)</f>
        <v>44190</v>
      </c>
      <c r="Q772" s="279">
        <f>IF(AP78&gt;0,ROUND(AP78,0),0)</f>
        <v>0</v>
      </c>
      <c r="R772" s="279">
        <f>IF(AP79&gt;0,ROUND(AP79,0),0)</f>
        <v>44190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>
        <f t="shared" si="23"/>
        <v>6847337</v>
      </c>
    </row>
    <row r="773" spans="1:26" ht="12.6" customHeight="1" x14ac:dyDescent="0.25">
      <c r="A773" s="209" t="str">
        <f>RIGHT($C$84,3)&amp;"*"&amp;RIGHT($C$83,4)&amp;"*"&amp;AQ$55&amp;"*"&amp;"A"</f>
        <v>152*2018*7390*A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>
        <f>ROUND(AQ62,0)</f>
        <v>0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>
        <f>ROUND(AQ67,0)</f>
        <v>0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>
        <f t="shared" si="23"/>
        <v>0</v>
      </c>
    </row>
    <row r="774" spans="1:26" ht="12.6" customHeight="1" x14ac:dyDescent="0.25">
      <c r="A774" s="209" t="str">
        <f>RIGHT($C$84,3)&amp;"*"&amp;RIGHT($C$83,4)&amp;"*"&amp;AR$55&amp;"*"&amp;"A"</f>
        <v>152*2018*7400*A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>
        <f>ROUND(AR62,0)</f>
        <v>0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>
        <f>ROUND(AR67,0)</f>
        <v>0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>
        <f t="shared" si="23"/>
        <v>0</v>
      </c>
    </row>
    <row r="775" spans="1:26" ht="12.6" customHeight="1" x14ac:dyDescent="0.25">
      <c r="A775" s="209" t="str">
        <f>RIGHT($C$84,3)&amp;"*"&amp;RIGHT($C$83,4)&amp;"*"&amp;AS$55&amp;"*"&amp;"A"</f>
        <v>152*2018*7410*A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>
        <f>ROUND(AS62,0)</f>
        <v>0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>
        <f>ROUND(AS67,0)</f>
        <v>0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>
        <f t="shared" si="23"/>
        <v>0</v>
      </c>
    </row>
    <row r="776" spans="1:26" ht="12.6" customHeight="1" x14ac:dyDescent="0.25">
      <c r="A776" s="209" t="str">
        <f>RIGHT($C$84,3)&amp;"*"&amp;RIGHT($C$83,4)&amp;"*"&amp;AT$55&amp;"*"&amp;"A"</f>
        <v>152*2018*7420*A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>
        <f>ROUND(AT62,0)</f>
        <v>0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>
        <f>ROUND(AT67,0)</f>
        <v>0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>
        <f t="shared" si="23"/>
        <v>0</v>
      </c>
    </row>
    <row r="777" spans="1:26" ht="12.6" customHeight="1" x14ac:dyDescent="0.25">
      <c r="A777" s="209" t="str">
        <f>RIGHT($C$84,3)&amp;"*"&amp;RIGHT($C$83,4)&amp;"*"&amp;AU$55&amp;"*"&amp;"A"</f>
        <v>152*2018*7430*A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>
        <f>ROUND(AU62,0)</f>
        <v>0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>
        <f>ROUND(AU67,0)</f>
        <v>0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>
        <f t="shared" si="23"/>
        <v>0</v>
      </c>
    </row>
    <row r="778" spans="1:26" ht="12.6" customHeight="1" x14ac:dyDescent="0.25">
      <c r="A778" s="209" t="str">
        <f>RIGHT($C$84,3)&amp;"*"&amp;RIGHT($C$83,4)&amp;"*"&amp;AV$55&amp;"*"&amp;"A"</f>
        <v>152*2018*7490*A</v>
      </c>
      <c r="B778" s="279"/>
      <c r="C778" s="282">
        <f>ROUND(AV60,2)</f>
        <v>3.16</v>
      </c>
      <c r="D778" s="279">
        <f>ROUND(AV61,0)</f>
        <v>261978</v>
      </c>
      <c r="E778" s="279">
        <f>ROUND(AV62,0)</f>
        <v>78870</v>
      </c>
      <c r="F778" s="279">
        <f>ROUND(AV63,0)</f>
        <v>0</v>
      </c>
      <c r="G778" s="279">
        <f>ROUND(AV64,0)</f>
        <v>4111</v>
      </c>
      <c r="H778" s="279">
        <f>ROUND(AV65,0)</f>
        <v>0</v>
      </c>
      <c r="I778" s="279">
        <f>ROUND(AV66,0)</f>
        <v>4153</v>
      </c>
      <c r="J778" s="279">
        <f>ROUND(AV67,0)</f>
        <v>8354</v>
      </c>
      <c r="K778" s="279">
        <f>ROUND(AV68,0)</f>
        <v>190</v>
      </c>
      <c r="L778" s="279">
        <f>ROUND(AV70,0)</f>
        <v>6440</v>
      </c>
      <c r="M778" s="279">
        <f>ROUND(AV71,0)</f>
        <v>1025</v>
      </c>
      <c r="N778" s="279">
        <f>ROUND(AV76,0)</f>
        <v>232401</v>
      </c>
      <c r="O778" s="279">
        <f>ROUND(AV74,0)</f>
        <v>0</v>
      </c>
      <c r="P778" s="279">
        <f>IF(AV77&gt;0,ROUND(AV77,0),0)</f>
        <v>268</v>
      </c>
      <c r="Q778" s="279">
        <f>IF(AV78&gt;0,ROUND(AV78,0),0)</f>
        <v>0</v>
      </c>
      <c r="R778" s="279">
        <f>IF(AV79&gt;0,ROUND(AV79,0),0)</f>
        <v>268</v>
      </c>
      <c r="S778" s="279">
        <f>IF(AV80&gt;0,ROUND(AV80,0),0)</f>
        <v>0</v>
      </c>
      <c r="T778" s="282">
        <f>IF(AV81&gt;0,ROUND(AV81,2),0)</f>
        <v>0</v>
      </c>
      <c r="U778" s="279"/>
      <c r="X778" s="279"/>
      <c r="Y778" s="279"/>
      <c r="Z778" s="279">
        <f t="shared" si="23"/>
        <v>71539</v>
      </c>
    </row>
    <row r="779" spans="1:26" ht="12.6" customHeight="1" x14ac:dyDescent="0.25">
      <c r="A779" s="209" t="str">
        <f>RIGHT($C$84,3)&amp;"*"&amp;RIGHT($C$83,4)&amp;"*"&amp;AW$55&amp;"*"&amp;"A"</f>
        <v>152*2018*8200*A</v>
      </c>
      <c r="B779" s="279"/>
      <c r="C779" s="282">
        <f>ROUND(AW60,2)</f>
        <v>0</v>
      </c>
      <c r="D779" s="279">
        <f>ROUND(AW61,0)</f>
        <v>0</v>
      </c>
      <c r="E779" s="279">
        <f>ROUND(AW62,0)</f>
        <v>0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>
        <f>ROUND(AW67,0)</f>
        <v>0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" customHeight="1" x14ac:dyDescent="0.25">
      <c r="A780" s="209" t="str">
        <f>RIGHT($C$84,3)&amp;"*"&amp;RIGHT($C$83,4)&amp;"*"&amp;AX$55&amp;"*"&amp;"A"</f>
        <v>152*2018*8310*A</v>
      </c>
      <c r="B780" s="279"/>
      <c r="C780" s="282">
        <f>ROUND(AX60,2)</f>
        <v>0</v>
      </c>
      <c r="D780" s="279">
        <f>ROUND(AX61,0)</f>
        <v>0</v>
      </c>
      <c r="E780" s="279">
        <f>ROUND(AX62,0)</f>
        <v>0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0</v>
      </c>
      <c r="J780" s="279">
        <f>ROUND(AX67,0)</f>
        <v>0</v>
      </c>
      <c r="K780" s="279">
        <f>ROUND(AX68,0)</f>
        <v>0</v>
      </c>
      <c r="L780" s="279">
        <f>ROUND(AX70,0)</f>
        <v>0</v>
      </c>
      <c r="M780" s="279">
        <f>ROUND(AX71,0)</f>
        <v>0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" customHeight="1" x14ac:dyDescent="0.25">
      <c r="A781" s="209" t="str">
        <f>RIGHT($C$84,3)&amp;"*"&amp;RIGHT($C$83,4)&amp;"*"&amp;AY$55&amp;"*"&amp;"A"</f>
        <v>152*2018*8320*A</v>
      </c>
      <c r="B781" s="279">
        <f>ROUND(AY59,0)</f>
        <v>28442</v>
      </c>
      <c r="C781" s="282">
        <f>ROUND(AY60,2)</f>
        <v>16.55</v>
      </c>
      <c r="D781" s="279">
        <f>ROUND(AY61,0)</f>
        <v>697896</v>
      </c>
      <c r="E781" s="279">
        <f>ROUND(AY62,0)</f>
        <v>298567</v>
      </c>
      <c r="F781" s="279">
        <f>ROUND(AY63,0)</f>
        <v>0</v>
      </c>
      <c r="G781" s="279">
        <f>ROUND(AY64,0)</f>
        <v>719900</v>
      </c>
      <c r="H781" s="279">
        <f>ROUND(AY65,0)</f>
        <v>0</v>
      </c>
      <c r="I781" s="279">
        <f>ROUND(AY66,0)</f>
        <v>15983</v>
      </c>
      <c r="J781" s="279">
        <f>ROUND(AY67,0)</f>
        <v>157127</v>
      </c>
      <c r="K781" s="279">
        <f>ROUND(AY68,0)</f>
        <v>9711</v>
      </c>
      <c r="L781" s="279">
        <f>ROUND(AY70,0)</f>
        <v>23</v>
      </c>
      <c r="M781" s="279">
        <f>ROUND(AY71,0)</f>
        <v>545569</v>
      </c>
      <c r="N781" s="279"/>
      <c r="O781" s="279"/>
      <c r="P781" s="279">
        <f>IF(AY77&gt;0,ROUND(AY77,0),0)</f>
        <v>5033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" customHeight="1" x14ac:dyDescent="0.25">
      <c r="A782" s="209" t="str">
        <f>RIGHT($C$84,3)&amp;"*"&amp;RIGHT($C$83,4)&amp;"*"&amp;AZ$55&amp;"*"&amp;"A"</f>
        <v>152*2018*8330*A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>
        <f>ROUND(AZ62,0)</f>
        <v>0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>
        <f>ROUND(AZ67,0)</f>
        <v>0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" customHeight="1" x14ac:dyDescent="0.25">
      <c r="A783" s="209" t="str">
        <f>RIGHT($C$84,3)&amp;"*"&amp;RIGHT($C$83,4)&amp;"*"&amp;BA$55&amp;"*"&amp;"A"</f>
        <v>152*2018*8350*A</v>
      </c>
      <c r="B783" s="279">
        <f>ROUND(BA59,0)</f>
        <v>0</v>
      </c>
      <c r="C783" s="282">
        <f>ROUND(BA60,2)</f>
        <v>1.49</v>
      </c>
      <c r="D783" s="279">
        <f>ROUND(BA61,0)</f>
        <v>55745</v>
      </c>
      <c r="E783" s="279">
        <f>ROUND(BA62,0)</f>
        <v>32332</v>
      </c>
      <c r="F783" s="279">
        <f>ROUND(BA63,0)</f>
        <v>0</v>
      </c>
      <c r="G783" s="279">
        <f>ROUND(BA64,0)</f>
        <v>60812</v>
      </c>
      <c r="H783" s="279">
        <f>ROUND(BA65,0)</f>
        <v>0</v>
      </c>
      <c r="I783" s="279">
        <f>ROUND(BA66,0)</f>
        <v>141240</v>
      </c>
      <c r="J783" s="279">
        <f>ROUND(BA67,0)</f>
        <v>45543</v>
      </c>
      <c r="K783" s="279">
        <f>ROUND(BA68,0)</f>
        <v>0</v>
      </c>
      <c r="L783" s="279">
        <f>ROUND(BA70,0)</f>
        <v>0</v>
      </c>
      <c r="M783" s="279">
        <f>ROUND(BA71,0)</f>
        <v>0</v>
      </c>
      <c r="N783" s="279"/>
      <c r="O783" s="279"/>
      <c r="P783" s="279">
        <f>IF(BA77&gt;0,ROUND(BA77,0),0)</f>
        <v>1459</v>
      </c>
      <c r="Q783" s="279">
        <f>IF(BA78&gt;0,ROUND(BA78,0),0)</f>
        <v>0</v>
      </c>
      <c r="R783" s="279">
        <f>IF(BA79&gt;0,ROUND(BA79,0),0)</f>
        <v>1459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" customHeight="1" x14ac:dyDescent="0.25">
      <c r="A784" s="209" t="str">
        <f>RIGHT($C$84,3)&amp;"*"&amp;RIGHT($C$83,4)&amp;"*"&amp;BB$55&amp;"*"&amp;"A"</f>
        <v>152*2018*8360*A</v>
      </c>
      <c r="B784" s="279"/>
      <c r="C784" s="282">
        <f>ROUND(BB60,2)</f>
        <v>0</v>
      </c>
      <c r="D784" s="279">
        <f>ROUND(BB61,0)</f>
        <v>0</v>
      </c>
      <c r="E784" s="279">
        <f>ROUND(BB62,0)</f>
        <v>0</v>
      </c>
      <c r="F784" s="279">
        <f>ROUND(BB63,0)</f>
        <v>0</v>
      </c>
      <c r="G784" s="279">
        <f>ROUND(BB64,0)</f>
        <v>0</v>
      </c>
      <c r="H784" s="279">
        <f>ROUND(BB65,0)</f>
        <v>0</v>
      </c>
      <c r="I784" s="279">
        <f>ROUND(BB66,0)</f>
        <v>0</v>
      </c>
      <c r="J784" s="279">
        <f>ROUND(BB67,0)</f>
        <v>0</v>
      </c>
      <c r="K784" s="279">
        <f>ROUND(BB68,0)</f>
        <v>0</v>
      </c>
      <c r="L784" s="279">
        <f>ROUND(BB70,0)</f>
        <v>0</v>
      </c>
      <c r="M784" s="279">
        <f>ROUND(BB71,0)</f>
        <v>0</v>
      </c>
      <c r="N784" s="279"/>
      <c r="O784" s="279"/>
      <c r="P784" s="279">
        <f>IF(BB77&gt;0,ROUND(BB77,0),0)</f>
        <v>0</v>
      </c>
      <c r="Q784" s="279">
        <f>IF(BB78&gt;0,ROUND(BB78,0),0)</f>
        <v>0</v>
      </c>
      <c r="R784" s="279">
        <f>IF(BB79&gt;0,ROUND(BB79,0),0)</f>
        <v>0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" customHeight="1" x14ac:dyDescent="0.25">
      <c r="A785" s="209" t="str">
        <f>RIGHT($C$84,3)&amp;"*"&amp;RIGHT($C$83,4)&amp;"*"&amp;BC$55&amp;"*"&amp;"A"</f>
        <v>152*2018*8370*A</v>
      </c>
      <c r="B785" s="279"/>
      <c r="C785" s="282">
        <f>ROUND(BC60,2)</f>
        <v>0</v>
      </c>
      <c r="D785" s="279">
        <f>ROUND(BC61,0)</f>
        <v>0</v>
      </c>
      <c r="E785" s="279">
        <f>ROUND(BC62,0)</f>
        <v>0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0</v>
      </c>
      <c r="J785" s="279">
        <f>ROUND(BC67,0)</f>
        <v>0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" customHeight="1" x14ac:dyDescent="0.25">
      <c r="A786" s="209" t="str">
        <f>RIGHT($C$84,3)&amp;"*"&amp;RIGHT($C$83,4)&amp;"*"&amp;BD$55&amp;"*"&amp;"A"</f>
        <v>152*2018*8420*A</v>
      </c>
      <c r="B786" s="279"/>
      <c r="C786" s="282">
        <f>ROUND(BD60,2)</f>
        <v>5.7</v>
      </c>
      <c r="D786" s="279">
        <f>ROUND(BD61,0)</f>
        <v>311381</v>
      </c>
      <c r="E786" s="279">
        <f>ROUND(BD62,0)</f>
        <v>97486</v>
      </c>
      <c r="F786" s="279">
        <f>ROUND(BD63,0)</f>
        <v>0</v>
      </c>
      <c r="G786" s="279">
        <f>ROUND(BD64,0)</f>
        <v>30565</v>
      </c>
      <c r="H786" s="279">
        <f>ROUND(BD65,0)</f>
        <v>1352</v>
      </c>
      <c r="I786" s="279">
        <f>ROUND(BD66,0)</f>
        <v>211</v>
      </c>
      <c r="J786" s="279">
        <f>ROUND(BD67,0)</f>
        <v>106073</v>
      </c>
      <c r="K786" s="279">
        <f>ROUND(BD68,0)</f>
        <v>12470</v>
      </c>
      <c r="L786" s="279">
        <f>ROUND(BD70,0)</f>
        <v>24698</v>
      </c>
      <c r="M786" s="279">
        <f>ROUND(BD71,0)</f>
        <v>0</v>
      </c>
      <c r="N786" s="279"/>
      <c r="O786" s="279"/>
      <c r="P786" s="279">
        <f>IF(BD77&gt;0,ROUND(BD77,0),0)</f>
        <v>3398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" customHeight="1" x14ac:dyDescent="0.25">
      <c r="A787" s="209" t="str">
        <f>RIGHT($C$84,3)&amp;"*"&amp;RIGHT($C$83,4)&amp;"*"&amp;BE$55&amp;"*"&amp;"A"</f>
        <v>152*2018*8430*A</v>
      </c>
      <c r="B787" s="279">
        <f>ROUND(BE59,0)</f>
        <v>186977</v>
      </c>
      <c r="C787" s="282">
        <f>ROUND(BE60,2)</f>
        <v>11.54</v>
      </c>
      <c r="D787" s="279">
        <f>ROUND(BE61,0)</f>
        <v>834715</v>
      </c>
      <c r="E787" s="279">
        <f>ROUND(BE62,0)</f>
        <v>262940</v>
      </c>
      <c r="F787" s="279">
        <f>ROUND(BE63,0)</f>
        <v>0</v>
      </c>
      <c r="G787" s="279">
        <f>ROUND(BE64,0)</f>
        <v>90554</v>
      </c>
      <c r="H787" s="279">
        <f>ROUND(BE65,0)</f>
        <v>649624</v>
      </c>
      <c r="I787" s="279">
        <f>ROUND(BE66,0)</f>
        <v>363089</v>
      </c>
      <c r="J787" s="279">
        <f>ROUND(BE67,0)</f>
        <v>772341</v>
      </c>
      <c r="K787" s="279">
        <f>ROUND(BE68,0)</f>
        <v>35155</v>
      </c>
      <c r="L787" s="279">
        <f>ROUND(BE70,0)</f>
        <v>14303</v>
      </c>
      <c r="M787" s="279">
        <f>ROUND(BE71,0)</f>
        <v>8505</v>
      </c>
      <c r="N787" s="279"/>
      <c r="O787" s="279"/>
      <c r="P787" s="279">
        <f>IF(BE77&gt;0,ROUND(BE77,0),0)</f>
        <v>24741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" customHeight="1" x14ac:dyDescent="0.25">
      <c r="A788" s="209" t="str">
        <f>RIGHT($C$84,3)&amp;"*"&amp;RIGHT($C$83,4)&amp;"*"&amp;BF$55&amp;"*"&amp;"A"</f>
        <v>152*2018*8460*A</v>
      </c>
      <c r="B788" s="279"/>
      <c r="C788" s="282">
        <f>ROUND(BF60,2)</f>
        <v>23.93</v>
      </c>
      <c r="D788" s="279">
        <f>ROUND(BF61,0)</f>
        <v>966825</v>
      </c>
      <c r="E788" s="279">
        <f>ROUND(BF62,0)</f>
        <v>349985</v>
      </c>
      <c r="F788" s="279">
        <f>ROUND(BF63,0)</f>
        <v>0</v>
      </c>
      <c r="G788" s="279">
        <f>ROUND(BF64,0)</f>
        <v>149365</v>
      </c>
      <c r="H788" s="279">
        <f>ROUND(BF65,0)</f>
        <v>122094</v>
      </c>
      <c r="I788" s="279">
        <f>ROUND(BF66,0)</f>
        <v>70980</v>
      </c>
      <c r="J788" s="279">
        <f>ROUND(BF67,0)</f>
        <v>66387</v>
      </c>
      <c r="K788" s="279">
        <f>ROUND(BF68,0)</f>
        <v>1666</v>
      </c>
      <c r="L788" s="279">
        <f>ROUND(BF70,0)</f>
        <v>19984</v>
      </c>
      <c r="M788" s="279">
        <f>ROUND(BF71,0)</f>
        <v>0</v>
      </c>
      <c r="N788" s="279"/>
      <c r="O788" s="279"/>
      <c r="P788" s="279">
        <f>IF(BF77&gt;0,ROUND(BF77,0),0)</f>
        <v>2127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" customHeight="1" x14ac:dyDescent="0.25">
      <c r="A789" s="209" t="str">
        <f>RIGHT($C$84,3)&amp;"*"&amp;RIGHT($C$83,4)&amp;"*"&amp;BG$55&amp;"*"&amp;"A"</f>
        <v>152*2018*8470*A</v>
      </c>
      <c r="B789" s="279"/>
      <c r="C789" s="282">
        <f>ROUND(BG60,2)</f>
        <v>0</v>
      </c>
      <c r="D789" s="279">
        <f>ROUND(BG61,0)</f>
        <v>0</v>
      </c>
      <c r="E789" s="279">
        <f>ROUND(BG62,0)</f>
        <v>0</v>
      </c>
      <c r="F789" s="279">
        <f>ROUND(BG63,0)</f>
        <v>0</v>
      </c>
      <c r="G789" s="279">
        <f>ROUND(BG64,0)</f>
        <v>0</v>
      </c>
      <c r="H789" s="279">
        <f>ROUND(BG65,0)</f>
        <v>0</v>
      </c>
      <c r="I789" s="279">
        <f>ROUND(BG66,0)</f>
        <v>0</v>
      </c>
      <c r="J789" s="279">
        <f>ROUND(BG67,0)</f>
        <v>0</v>
      </c>
      <c r="K789" s="279">
        <f>ROUND(BG68,0)</f>
        <v>0</v>
      </c>
      <c r="L789" s="279">
        <f>ROUND(BG70,0)</f>
        <v>0</v>
      </c>
      <c r="M789" s="279">
        <f>ROUND(BG71,0)</f>
        <v>0</v>
      </c>
      <c r="N789" s="279"/>
      <c r="O789" s="279"/>
      <c r="P789" s="279">
        <f>IF(BG77&gt;0,ROUND(BG77,0),0)</f>
        <v>0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" customHeight="1" x14ac:dyDescent="0.25">
      <c r="A790" s="209" t="str">
        <f>RIGHT($C$84,3)&amp;"*"&amp;RIGHT($C$83,4)&amp;"*"&amp;BH$55&amp;"*"&amp;"A"</f>
        <v>152*2018*8480*A</v>
      </c>
      <c r="B790" s="279"/>
      <c r="C790" s="282">
        <f>ROUND(BH60,2)</f>
        <v>5.79</v>
      </c>
      <c r="D790" s="279">
        <f>ROUND(BH61,0)</f>
        <v>462384</v>
      </c>
      <c r="E790" s="279">
        <f>ROUND(BH62,0)</f>
        <v>141616</v>
      </c>
      <c r="F790" s="279">
        <f>ROUND(BH63,0)</f>
        <v>0</v>
      </c>
      <c r="G790" s="279">
        <f>ROUND(BH64,0)</f>
        <v>432304</v>
      </c>
      <c r="H790" s="279">
        <f>ROUND(BH65,0)</f>
        <v>177769</v>
      </c>
      <c r="I790" s="279">
        <f>ROUND(BH66,0)</f>
        <v>3679873</v>
      </c>
      <c r="J790" s="279">
        <f>ROUND(BH67,0)</f>
        <v>101483</v>
      </c>
      <c r="K790" s="279">
        <f>ROUND(BH68,0)</f>
        <v>57080</v>
      </c>
      <c r="L790" s="279">
        <f>ROUND(BH70,0)</f>
        <v>77664</v>
      </c>
      <c r="M790" s="279">
        <f>ROUND(BH71,0)</f>
        <v>0</v>
      </c>
      <c r="N790" s="279"/>
      <c r="O790" s="279"/>
      <c r="P790" s="279">
        <f>IF(BH77&gt;0,ROUND(BH77,0),0)</f>
        <v>3251</v>
      </c>
      <c r="Q790" s="279">
        <f>IF(BH78&gt;0,ROUND(BH78,0),0)</f>
        <v>0</v>
      </c>
      <c r="R790" s="279">
        <f>IF(BH79&gt;0,ROUND(BH79,0),0)</f>
        <v>3251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" customHeight="1" x14ac:dyDescent="0.25">
      <c r="A791" s="209" t="str">
        <f>RIGHT($C$84,3)&amp;"*"&amp;RIGHT($C$83,4)&amp;"*"&amp;BI$55&amp;"*"&amp;"A"</f>
        <v>152*2018*8490*A</v>
      </c>
      <c r="B791" s="279"/>
      <c r="C791" s="282">
        <f>ROUND(BI60,2)</f>
        <v>0</v>
      </c>
      <c r="D791" s="279">
        <f>ROUND(BI61,0)</f>
        <v>0</v>
      </c>
      <c r="E791" s="279">
        <f>ROUND(BI62,0)</f>
        <v>0</v>
      </c>
      <c r="F791" s="279">
        <f>ROUND(BI63,0)</f>
        <v>0</v>
      </c>
      <c r="G791" s="279">
        <f>ROUND(BI64,0)</f>
        <v>0</v>
      </c>
      <c r="H791" s="279">
        <f>ROUND(BI65,0)</f>
        <v>0</v>
      </c>
      <c r="I791" s="279">
        <f>ROUND(BI66,0)</f>
        <v>0</v>
      </c>
      <c r="J791" s="279">
        <f>ROUND(BI67,0)</f>
        <v>0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" customHeight="1" x14ac:dyDescent="0.25">
      <c r="A792" s="209" t="str">
        <f>RIGHT($C$84,3)&amp;"*"&amp;RIGHT($C$83,4)&amp;"*"&amp;BJ$55&amp;"*"&amp;"A"</f>
        <v>152*2018*8510*A</v>
      </c>
      <c r="B792" s="279"/>
      <c r="C792" s="282">
        <f>ROUND(BJ60,2)</f>
        <v>6.41</v>
      </c>
      <c r="D792" s="279">
        <f>ROUND(BJ61,0)</f>
        <v>458662</v>
      </c>
      <c r="E792" s="279">
        <f>ROUND(BJ62,0)</f>
        <v>130910</v>
      </c>
      <c r="F792" s="279">
        <f>ROUND(BJ63,0)</f>
        <v>0</v>
      </c>
      <c r="G792" s="279">
        <f>ROUND(BJ64,0)</f>
        <v>5251</v>
      </c>
      <c r="H792" s="279">
        <f>ROUND(BJ65,0)</f>
        <v>0</v>
      </c>
      <c r="I792" s="279">
        <f>ROUND(BJ66,0)</f>
        <v>23125</v>
      </c>
      <c r="J792" s="279">
        <f>ROUND(BJ67,0)</f>
        <v>95820</v>
      </c>
      <c r="K792" s="279">
        <f>ROUND(BJ68,0)</f>
        <v>26467</v>
      </c>
      <c r="L792" s="279">
        <f>ROUND(BJ70,0)</f>
        <v>139683</v>
      </c>
      <c r="M792" s="279">
        <f>ROUND(BJ71,0)</f>
        <v>0</v>
      </c>
      <c r="N792" s="279"/>
      <c r="O792" s="279"/>
      <c r="P792" s="279">
        <f>IF(BJ77&gt;0,ROUND(BJ77,0),0)</f>
        <v>3070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" customHeight="1" x14ac:dyDescent="0.25">
      <c r="A793" s="209" t="str">
        <f>RIGHT($C$84,3)&amp;"*"&amp;RIGHT($C$83,4)&amp;"*"&amp;BK$55&amp;"*"&amp;"A"</f>
        <v>152*2018*8530*A</v>
      </c>
      <c r="B793" s="279"/>
      <c r="C793" s="282">
        <f>ROUND(BK60,2)</f>
        <v>21.86</v>
      </c>
      <c r="D793" s="279">
        <f>ROUND(BK61,0)</f>
        <v>1143042</v>
      </c>
      <c r="E793" s="279">
        <f>ROUND(BK62,0)</f>
        <v>410145</v>
      </c>
      <c r="F793" s="279">
        <f>ROUND(BK63,0)</f>
        <v>189</v>
      </c>
      <c r="G793" s="279">
        <f>ROUND(BK64,0)</f>
        <v>9834</v>
      </c>
      <c r="H793" s="279">
        <f>ROUND(BK65,0)</f>
        <v>0</v>
      </c>
      <c r="I793" s="279">
        <f>ROUND(BK66,0)</f>
        <v>173669</v>
      </c>
      <c r="J793" s="279">
        <f>ROUND(BK67,0)</f>
        <v>85362</v>
      </c>
      <c r="K793" s="279">
        <f>ROUND(BK68,0)</f>
        <v>54302</v>
      </c>
      <c r="L793" s="279">
        <f>ROUND(BK70,0)</f>
        <v>15533</v>
      </c>
      <c r="M793" s="279">
        <f>ROUND(BK71,0)</f>
        <v>0</v>
      </c>
      <c r="N793" s="279"/>
      <c r="O793" s="279"/>
      <c r="P793" s="279">
        <f>IF(BK77&gt;0,ROUND(BK77,0),0)</f>
        <v>2735</v>
      </c>
      <c r="Q793" s="279">
        <f>IF(BK78&gt;0,ROUND(BK78,0),0)</f>
        <v>0</v>
      </c>
      <c r="R793" s="279">
        <f>IF(BK79&gt;0,ROUND(BK79,0),0)</f>
        <v>2735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" customHeight="1" x14ac:dyDescent="0.25">
      <c r="A794" s="209" t="str">
        <f>RIGHT($C$84,3)&amp;"*"&amp;RIGHT($C$83,4)&amp;"*"&amp;BL$55&amp;"*"&amp;"A"</f>
        <v>152*2018*8560*A</v>
      </c>
      <c r="B794" s="279"/>
      <c r="C794" s="282">
        <f>ROUND(BL60,2)</f>
        <v>22.97</v>
      </c>
      <c r="D794" s="279">
        <f>ROUND(BL61,0)</f>
        <v>1020513</v>
      </c>
      <c r="E794" s="279">
        <f>ROUND(BL62,0)</f>
        <v>389536</v>
      </c>
      <c r="F794" s="279">
        <f>ROUND(BL63,0)</f>
        <v>0</v>
      </c>
      <c r="G794" s="279">
        <f>ROUND(BL64,0)</f>
        <v>15461</v>
      </c>
      <c r="H794" s="279">
        <f>ROUND(BL65,0)</f>
        <v>0</v>
      </c>
      <c r="I794" s="279">
        <f>ROUND(BL66,0)</f>
        <v>38515</v>
      </c>
      <c r="J794" s="279">
        <f>ROUND(BL67,0)</f>
        <v>67356</v>
      </c>
      <c r="K794" s="279">
        <f>ROUND(BL68,0)</f>
        <v>8397</v>
      </c>
      <c r="L794" s="279">
        <f>ROUND(BL70,0)</f>
        <v>12509</v>
      </c>
      <c r="M794" s="279">
        <f>ROUND(BL71,0)</f>
        <v>0</v>
      </c>
      <c r="N794" s="279"/>
      <c r="O794" s="279"/>
      <c r="P794" s="279">
        <f>IF(BL77&gt;0,ROUND(BL77,0),0)</f>
        <v>2158</v>
      </c>
      <c r="Q794" s="279">
        <f>IF(BL78&gt;0,ROUND(BL78,0),0)</f>
        <v>0</v>
      </c>
      <c r="R794" s="279">
        <f>IF(BL79&gt;0,ROUND(BL79,0),0)</f>
        <v>2158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" customHeight="1" x14ac:dyDescent="0.25">
      <c r="A795" s="209" t="str">
        <f>RIGHT($C$84,3)&amp;"*"&amp;RIGHT($C$83,4)&amp;"*"&amp;BM$55&amp;"*"&amp;"A"</f>
        <v>152*2018*8590*A</v>
      </c>
      <c r="B795" s="279"/>
      <c r="C795" s="282">
        <f>ROUND(BM60,2)</f>
        <v>0</v>
      </c>
      <c r="D795" s="279">
        <f>ROUND(BM61,0)</f>
        <v>0</v>
      </c>
      <c r="E795" s="279">
        <f>ROUND(BM62,0)</f>
        <v>0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>
        <f>ROUND(BM67,0)</f>
        <v>0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0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" customHeight="1" x14ac:dyDescent="0.25">
      <c r="A796" s="209" t="str">
        <f>RIGHT($C$84,3)&amp;"*"&amp;RIGHT($C$83,4)&amp;"*"&amp;BN$55&amp;"*"&amp;"A"</f>
        <v>152*2018*8610*A</v>
      </c>
      <c r="B796" s="279"/>
      <c r="C796" s="282">
        <f>ROUND(BN60,2)</f>
        <v>12.13</v>
      </c>
      <c r="D796" s="279">
        <f>ROUND(BN61,0)</f>
        <v>2487265</v>
      </c>
      <c r="E796" s="279">
        <f>ROUND(BN62,0)</f>
        <v>555727</v>
      </c>
      <c r="F796" s="279">
        <f>ROUND(BN63,0)</f>
        <v>164800</v>
      </c>
      <c r="G796" s="279">
        <f>ROUND(BN64,0)</f>
        <v>68760</v>
      </c>
      <c r="H796" s="279">
        <f>ROUND(BN65,0)</f>
        <v>1871</v>
      </c>
      <c r="I796" s="279">
        <f>ROUND(BN66,0)</f>
        <v>683693</v>
      </c>
      <c r="J796" s="279">
        <f>ROUND(BN67,0)</f>
        <v>139770</v>
      </c>
      <c r="K796" s="279">
        <f>ROUND(BN68,0)</f>
        <v>26431</v>
      </c>
      <c r="L796" s="279">
        <f>ROUND(BN70,0)</f>
        <v>415324</v>
      </c>
      <c r="M796" s="279">
        <f>ROUND(BN71,0)</f>
        <v>250333</v>
      </c>
      <c r="N796" s="279"/>
      <c r="O796" s="279"/>
      <c r="P796" s="279">
        <f>IF(BN77&gt;0,ROUND(BN77,0),0)</f>
        <v>4477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" customHeight="1" x14ac:dyDescent="0.25">
      <c r="A797" s="209" t="str">
        <f>RIGHT($C$84,3)&amp;"*"&amp;RIGHT($C$83,4)&amp;"*"&amp;BO$55&amp;"*"&amp;"A"</f>
        <v>152*2018*8620*A</v>
      </c>
      <c r="B797" s="279"/>
      <c r="C797" s="282">
        <f>ROUND(BO60,2)</f>
        <v>2.0099999999999998</v>
      </c>
      <c r="D797" s="279">
        <f>ROUND(BO61,0)</f>
        <v>152431</v>
      </c>
      <c r="E797" s="279">
        <f>ROUND(BO62,0)</f>
        <v>50160</v>
      </c>
      <c r="F797" s="279">
        <f>ROUND(BO63,0)</f>
        <v>0</v>
      </c>
      <c r="G797" s="279">
        <f>ROUND(BO64,0)</f>
        <v>14958</v>
      </c>
      <c r="H797" s="279">
        <f>ROUND(BO65,0)</f>
        <v>1356</v>
      </c>
      <c r="I797" s="279">
        <f>ROUND(BO66,0)</f>
        <v>41391</v>
      </c>
      <c r="J797" s="279">
        <f>ROUND(BO67,0)</f>
        <v>9955</v>
      </c>
      <c r="K797" s="279">
        <f>ROUND(BO68,0)</f>
        <v>2503</v>
      </c>
      <c r="L797" s="279">
        <f>ROUND(BO70,0)</f>
        <v>5204</v>
      </c>
      <c r="M797" s="279">
        <f>ROUND(BO71,0)</f>
        <v>0</v>
      </c>
      <c r="N797" s="279"/>
      <c r="O797" s="279"/>
      <c r="P797" s="279">
        <f>IF(BO77&gt;0,ROUND(BO77,0),0)</f>
        <v>319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" customHeight="1" x14ac:dyDescent="0.25">
      <c r="A798" s="209" t="str">
        <f>RIGHT($C$84,3)&amp;"*"&amp;RIGHT($C$83,4)&amp;"*"&amp;BP$55&amp;"*"&amp;"A"</f>
        <v>152*2018*8630*A</v>
      </c>
      <c r="B798" s="279"/>
      <c r="C798" s="282">
        <f>ROUND(BP60,2)</f>
        <v>0</v>
      </c>
      <c r="D798" s="279">
        <f>ROUND(BP61,0)</f>
        <v>0</v>
      </c>
      <c r="E798" s="279">
        <f>ROUND(BP62,0)</f>
        <v>0</v>
      </c>
      <c r="F798" s="279">
        <f>ROUND(BP63,0)</f>
        <v>0</v>
      </c>
      <c r="G798" s="279">
        <f>ROUND(BP64,0)</f>
        <v>1932</v>
      </c>
      <c r="H798" s="279">
        <f>ROUND(BP65,0)</f>
        <v>0</v>
      </c>
      <c r="I798" s="279">
        <f>ROUND(BP66,0)</f>
        <v>218322</v>
      </c>
      <c r="J798" s="279">
        <f>ROUND(BP67,0)</f>
        <v>0</v>
      </c>
      <c r="K798" s="279">
        <f>ROUND(BP68,0)</f>
        <v>0</v>
      </c>
      <c r="L798" s="279">
        <f>ROUND(BP70,0)</f>
        <v>67590</v>
      </c>
      <c r="M798" s="279">
        <f>ROUND(BP71,0)</f>
        <v>0</v>
      </c>
      <c r="N798" s="279"/>
      <c r="O798" s="279"/>
      <c r="P798" s="279">
        <f>IF(BP77&gt;0,ROUND(BP77,0),0)</f>
        <v>0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" customHeight="1" x14ac:dyDescent="0.25">
      <c r="A799" s="209" t="str">
        <f>RIGHT($C$84,3)&amp;"*"&amp;RIGHT($C$83,4)&amp;"*"&amp;BQ$55&amp;"*"&amp;"A"</f>
        <v>152*2018*8640*A</v>
      </c>
      <c r="B799" s="279"/>
      <c r="C799" s="282">
        <f>ROUND(BQ60,2)</f>
        <v>0</v>
      </c>
      <c r="D799" s="279">
        <f>ROUND(BQ61,0)</f>
        <v>0</v>
      </c>
      <c r="E799" s="279">
        <f>ROUND(BQ62,0)</f>
        <v>0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>
        <f>ROUND(BQ67,0)</f>
        <v>0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" customHeight="1" x14ac:dyDescent="0.25">
      <c r="A800" s="209" t="str">
        <f>RIGHT($C$84,3)&amp;"*"&amp;RIGHT($C$83,4)&amp;"*"&amp;BR$55&amp;"*"&amp;"A"</f>
        <v>152*2018*8650*A</v>
      </c>
      <c r="B800" s="279"/>
      <c r="C800" s="282">
        <f>ROUND(BR60,2)</f>
        <v>4.26</v>
      </c>
      <c r="D800" s="279">
        <f>ROUND(BR61,0)</f>
        <v>317860</v>
      </c>
      <c r="E800" s="279">
        <f>ROUND(BR62,0)</f>
        <v>74852</v>
      </c>
      <c r="F800" s="279">
        <f>ROUND(BR63,0)</f>
        <v>0</v>
      </c>
      <c r="G800" s="279">
        <f>ROUND(BR64,0)</f>
        <v>33661</v>
      </c>
      <c r="H800" s="279">
        <f>ROUND(BR65,0)</f>
        <v>0</v>
      </c>
      <c r="I800" s="279">
        <f>ROUND(BR66,0)</f>
        <v>152160</v>
      </c>
      <c r="J800" s="279">
        <f>ROUND(BR67,0)</f>
        <v>59145</v>
      </c>
      <c r="K800" s="279">
        <f>ROUND(BR68,0)</f>
        <v>8628</v>
      </c>
      <c r="L800" s="279">
        <f>ROUND(BR70,0)</f>
        <v>164361</v>
      </c>
      <c r="M800" s="279">
        <f>ROUND(BR71,0)</f>
        <v>63</v>
      </c>
      <c r="N800" s="279"/>
      <c r="O800" s="279"/>
      <c r="P800" s="279">
        <f>IF(BR77&gt;0,ROUND(BR77,0),0)</f>
        <v>1895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" customHeight="1" x14ac:dyDescent="0.25">
      <c r="A801" s="209" t="str">
        <f>RIGHT($C$84,3)&amp;"*"&amp;RIGHT($C$83,4)&amp;"*"&amp;BS$55&amp;"*"&amp;"A"</f>
        <v>152*2018*8660*A</v>
      </c>
      <c r="B801" s="279"/>
      <c r="C801" s="282">
        <f>ROUND(BS60,2)</f>
        <v>0</v>
      </c>
      <c r="D801" s="279">
        <f>ROUND(BS61,0)</f>
        <v>0</v>
      </c>
      <c r="E801" s="279">
        <f>ROUND(BS62,0)</f>
        <v>0</v>
      </c>
      <c r="F801" s="279">
        <f>ROUND(BS63,0)</f>
        <v>0</v>
      </c>
      <c r="G801" s="279">
        <f>ROUND(BS64,0)</f>
        <v>0</v>
      </c>
      <c r="H801" s="279">
        <f>ROUND(BS65,0)</f>
        <v>0</v>
      </c>
      <c r="I801" s="279">
        <f>ROUND(BS66,0)</f>
        <v>0</v>
      </c>
      <c r="J801" s="279">
        <f>ROUND(BS67,0)</f>
        <v>0</v>
      </c>
      <c r="K801" s="279">
        <f>ROUND(BS68,0)</f>
        <v>0</v>
      </c>
      <c r="L801" s="279">
        <f>ROUND(BS70,0)</f>
        <v>0</v>
      </c>
      <c r="M801" s="279">
        <f>ROUND(BS71,0)</f>
        <v>0</v>
      </c>
      <c r="N801" s="279"/>
      <c r="O801" s="279"/>
      <c r="P801" s="279">
        <f>IF(BS77&gt;0,ROUND(BS77,0),0)</f>
        <v>0</v>
      </c>
      <c r="Q801" s="279">
        <f>IF(BS78&gt;0,ROUND(BS78,0),0)</f>
        <v>0</v>
      </c>
      <c r="R801" s="279">
        <f>IF(BS79&gt;0,ROUND(BS79,0),0)</f>
        <v>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" customHeight="1" x14ac:dyDescent="0.25">
      <c r="A802" s="209" t="str">
        <f>RIGHT($C$84,3)&amp;"*"&amp;RIGHT($C$83,4)&amp;"*"&amp;BT$55&amp;"*"&amp;"A"</f>
        <v>152*2018*8670*A</v>
      </c>
      <c r="B802" s="279"/>
      <c r="C802" s="282">
        <f>ROUND(BT60,2)</f>
        <v>0</v>
      </c>
      <c r="D802" s="279">
        <f>ROUND(BT61,0)</f>
        <v>0</v>
      </c>
      <c r="E802" s="279">
        <f>ROUND(BT62,0)</f>
        <v>0</v>
      </c>
      <c r="F802" s="279">
        <f>ROUND(BT63,0)</f>
        <v>0</v>
      </c>
      <c r="G802" s="279">
        <f>ROUND(BT64,0)</f>
        <v>0</v>
      </c>
      <c r="H802" s="279">
        <f>ROUND(BT65,0)</f>
        <v>0</v>
      </c>
      <c r="I802" s="279">
        <f>ROUND(BT66,0)</f>
        <v>0</v>
      </c>
      <c r="J802" s="279">
        <f>ROUND(BT67,0)</f>
        <v>0</v>
      </c>
      <c r="K802" s="279">
        <f>ROUND(BT68,0)</f>
        <v>0</v>
      </c>
      <c r="L802" s="279">
        <f>ROUND(BT70,0)</f>
        <v>0</v>
      </c>
      <c r="M802" s="279">
        <f>ROUND(BT71,0)</f>
        <v>0</v>
      </c>
      <c r="N802" s="279"/>
      <c r="O802" s="279"/>
      <c r="P802" s="279">
        <f>IF(BT77&gt;0,ROUND(BT77,0),0)</f>
        <v>0</v>
      </c>
      <c r="Q802" s="279">
        <f>IF(BT78&gt;0,ROUND(BT78,0),0)</f>
        <v>0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" customHeight="1" x14ac:dyDescent="0.25">
      <c r="A803" s="209" t="str">
        <f>RIGHT($C$84,3)&amp;"*"&amp;RIGHT($C$83,4)&amp;"*"&amp;BU$55&amp;"*"&amp;"A"</f>
        <v>152*2018*8680*A</v>
      </c>
      <c r="B803" s="279"/>
      <c r="C803" s="282">
        <f>ROUND(BU60,2)</f>
        <v>0</v>
      </c>
      <c r="D803" s="279">
        <f>ROUND(BU61,0)</f>
        <v>0</v>
      </c>
      <c r="E803" s="279">
        <f>ROUND(BU62,0)</f>
        <v>0</v>
      </c>
      <c r="F803" s="279">
        <f>ROUND(BU63,0)</f>
        <v>0</v>
      </c>
      <c r="G803" s="279">
        <f>ROUND(BU64,0)</f>
        <v>0</v>
      </c>
      <c r="H803" s="279">
        <f>ROUND(BU65,0)</f>
        <v>0</v>
      </c>
      <c r="I803" s="279">
        <f>ROUND(BU66,0)</f>
        <v>0</v>
      </c>
      <c r="J803" s="279">
        <f>ROUND(BU67,0)</f>
        <v>0</v>
      </c>
      <c r="K803" s="279">
        <f>ROUND(BU68,0)</f>
        <v>0</v>
      </c>
      <c r="L803" s="279">
        <f>ROUND(BU70,0)</f>
        <v>0</v>
      </c>
      <c r="M803" s="279">
        <f>ROUND(BU71,0)</f>
        <v>0</v>
      </c>
      <c r="N803" s="279"/>
      <c r="O803" s="279"/>
      <c r="P803" s="279">
        <f>IF(BU77&gt;0,ROUND(BU77,0),0)</f>
        <v>0</v>
      </c>
      <c r="Q803" s="279">
        <f>IF(BU78&gt;0,ROUND(BU78,0),0)</f>
        <v>0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" customHeight="1" x14ac:dyDescent="0.25">
      <c r="A804" s="209" t="str">
        <f>RIGHT($C$84,3)&amp;"*"&amp;RIGHT($C$83,4)&amp;"*"&amp;BV$55&amp;"*"&amp;"A"</f>
        <v>152*2018*8690*A</v>
      </c>
      <c r="B804" s="279"/>
      <c r="C804" s="282">
        <f>ROUND(BV60,2)</f>
        <v>20.78</v>
      </c>
      <c r="D804" s="279">
        <f>ROUND(BV61,0)</f>
        <v>1116065</v>
      </c>
      <c r="E804" s="279">
        <f>ROUND(BV62,0)</f>
        <v>422125</v>
      </c>
      <c r="F804" s="279">
        <f>ROUND(BV63,0)</f>
        <v>0</v>
      </c>
      <c r="G804" s="279">
        <f>ROUND(BV64,0)</f>
        <v>11894</v>
      </c>
      <c r="H804" s="279">
        <f>ROUND(BV65,0)</f>
        <v>4597</v>
      </c>
      <c r="I804" s="279">
        <f>ROUND(BV66,0)</f>
        <v>397607</v>
      </c>
      <c r="J804" s="279">
        <f>ROUND(BV67,0)</f>
        <v>131160</v>
      </c>
      <c r="K804" s="279">
        <f>ROUND(BV68,0)</f>
        <v>46236</v>
      </c>
      <c r="L804" s="279">
        <f>ROUND(BV70,0)</f>
        <v>16594</v>
      </c>
      <c r="M804" s="279">
        <f>ROUND(BV71,0)</f>
        <v>31291</v>
      </c>
      <c r="N804" s="279"/>
      <c r="O804" s="279"/>
      <c r="P804" s="279">
        <f>IF(BV77&gt;0,ROUND(BV77,0),0)</f>
        <v>4202</v>
      </c>
      <c r="Q804" s="279">
        <f>IF(BV78&gt;0,ROUND(BV78,0),0)</f>
        <v>0</v>
      </c>
      <c r="R804" s="279">
        <f>IF(BV79&gt;0,ROUND(BV79,0),0)</f>
        <v>4202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" customHeight="1" x14ac:dyDescent="0.25">
      <c r="A805" s="209" t="str">
        <f>RIGHT($C$84,3)&amp;"*"&amp;RIGHT($C$83,4)&amp;"*"&amp;BW$55&amp;"*"&amp;"A"</f>
        <v>152*2018*8700*A</v>
      </c>
      <c r="B805" s="279"/>
      <c r="C805" s="282">
        <f>ROUND(BW60,2)</f>
        <v>2</v>
      </c>
      <c r="D805" s="279">
        <f>ROUND(BW61,0)</f>
        <v>141222</v>
      </c>
      <c r="E805" s="279">
        <f>ROUND(BW62,0)</f>
        <v>44169</v>
      </c>
      <c r="F805" s="279">
        <f>ROUND(BW63,0)</f>
        <v>6800</v>
      </c>
      <c r="G805" s="279">
        <f>ROUND(BW64,0)</f>
        <v>5139</v>
      </c>
      <c r="H805" s="279">
        <f>ROUND(BW65,0)</f>
        <v>0</v>
      </c>
      <c r="I805" s="279">
        <f>ROUND(BW66,0)</f>
        <v>11534</v>
      </c>
      <c r="J805" s="279">
        <f>ROUND(BW67,0)</f>
        <v>31857</v>
      </c>
      <c r="K805" s="279">
        <f>ROUND(BW68,0)</f>
        <v>257</v>
      </c>
      <c r="L805" s="279">
        <f>ROUND(BW70,0)</f>
        <v>55492</v>
      </c>
      <c r="M805" s="279">
        <f>ROUND(BW71,0)</f>
        <v>4795</v>
      </c>
      <c r="N805" s="279"/>
      <c r="O805" s="279"/>
      <c r="P805" s="279">
        <f>IF(BW77&gt;0,ROUND(BW77,0),0)</f>
        <v>1021</v>
      </c>
      <c r="Q805" s="279">
        <f>IF(BW78&gt;0,ROUND(BW78,0),0)</f>
        <v>2838</v>
      </c>
      <c r="R805" s="279">
        <f>IF(BW79&gt;0,ROUND(BW79,0),0)</f>
        <v>1021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" customHeight="1" x14ac:dyDescent="0.25">
      <c r="A806" s="209" t="str">
        <f>RIGHT($C$84,3)&amp;"*"&amp;RIGHT($C$83,4)&amp;"*"&amp;BX$55&amp;"*"&amp;"A"</f>
        <v>152*2018*8710*A</v>
      </c>
      <c r="B806" s="279"/>
      <c r="C806" s="282">
        <f>ROUND(BX60,2)</f>
        <v>0</v>
      </c>
      <c r="D806" s="279">
        <f>ROUND(BX61,0)</f>
        <v>0</v>
      </c>
      <c r="E806" s="279">
        <f>ROUND(BX62,0)</f>
        <v>0</v>
      </c>
      <c r="F806" s="279">
        <f>ROUND(BX63,0)</f>
        <v>0</v>
      </c>
      <c r="G806" s="279">
        <f>ROUND(BX64,0)</f>
        <v>0</v>
      </c>
      <c r="H806" s="279">
        <f>ROUND(BX65,0)</f>
        <v>0</v>
      </c>
      <c r="I806" s="279">
        <f>ROUND(BX66,0)</f>
        <v>0</v>
      </c>
      <c r="J806" s="279">
        <f>ROUND(BX67,0)</f>
        <v>0</v>
      </c>
      <c r="K806" s="279">
        <f>ROUND(BX68,0)</f>
        <v>0</v>
      </c>
      <c r="L806" s="279">
        <f>ROUND(BX70,0)</f>
        <v>0</v>
      </c>
      <c r="M806" s="279">
        <f>ROUND(BX71,0)</f>
        <v>0</v>
      </c>
      <c r="N806" s="279"/>
      <c r="O806" s="279"/>
      <c r="P806" s="279">
        <f>IF(BX77&gt;0,ROUND(BX77,0),0)</f>
        <v>0</v>
      </c>
      <c r="Q806" s="279">
        <f>IF(BX78&gt;0,ROUND(BX78,0),0)</f>
        <v>0</v>
      </c>
      <c r="R806" s="279">
        <f>IF(BX79&gt;0,ROUND(BX79,0),0)</f>
        <v>0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" customHeight="1" x14ac:dyDescent="0.25">
      <c r="A807" s="209" t="str">
        <f>RIGHT($C$84,3)&amp;"*"&amp;RIGHT($C$83,4)&amp;"*"&amp;BY$55&amp;"*"&amp;"A"</f>
        <v>152*2018*8720*A</v>
      </c>
      <c r="B807" s="279"/>
      <c r="C807" s="282">
        <f>ROUND(BY60,2)</f>
        <v>27.56</v>
      </c>
      <c r="D807" s="279">
        <f>ROUND(BY61,0)</f>
        <v>2633851</v>
      </c>
      <c r="E807" s="279">
        <f>ROUND(BY62,0)</f>
        <v>741653</v>
      </c>
      <c r="F807" s="279">
        <f>ROUND(BY63,0)</f>
        <v>0</v>
      </c>
      <c r="G807" s="279">
        <f>ROUND(BY64,0)</f>
        <v>8887</v>
      </c>
      <c r="H807" s="279">
        <f>ROUND(BY65,0)</f>
        <v>10966</v>
      </c>
      <c r="I807" s="279">
        <f>ROUND(BY66,0)</f>
        <v>230607</v>
      </c>
      <c r="J807" s="279">
        <f>ROUND(BY67,0)</f>
        <v>75715</v>
      </c>
      <c r="K807" s="279">
        <f>ROUND(BY68,0)</f>
        <v>8467</v>
      </c>
      <c r="L807" s="279">
        <f>ROUND(BY70,0)</f>
        <v>21290</v>
      </c>
      <c r="M807" s="279">
        <f>ROUND(BY71,0)</f>
        <v>0</v>
      </c>
      <c r="N807" s="279"/>
      <c r="O807" s="279"/>
      <c r="P807" s="279">
        <f>IF(BY77&gt;0,ROUND(BY77,0),0)</f>
        <v>2425</v>
      </c>
      <c r="Q807" s="279">
        <f>IF(BY78&gt;0,ROUND(BY78,0),0)</f>
        <v>0</v>
      </c>
      <c r="R807" s="279">
        <f>IF(BY79&gt;0,ROUND(BY79,0),0)</f>
        <v>2425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" customHeight="1" x14ac:dyDescent="0.25">
      <c r="A808" s="209" t="str">
        <f>RIGHT($C$84,3)&amp;"*"&amp;RIGHT($C$83,4)&amp;"*"&amp;BZ$55&amp;"*"&amp;"A"</f>
        <v>152*2018*8730*A</v>
      </c>
      <c r="B808" s="279"/>
      <c r="C808" s="282">
        <f>ROUND(BZ60,2)</f>
        <v>0</v>
      </c>
      <c r="D808" s="279">
        <f>ROUND(BZ61,0)</f>
        <v>0</v>
      </c>
      <c r="E808" s="279">
        <f>ROUND(BZ62,0)</f>
        <v>0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>
        <f>ROUND(BZ67,0)</f>
        <v>0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" customHeight="1" x14ac:dyDescent="0.25">
      <c r="A809" s="209" t="str">
        <f>RIGHT($C$84,3)&amp;"*"&amp;RIGHT($C$83,4)&amp;"*"&amp;CA$55&amp;"*"&amp;"A"</f>
        <v>152*2018*8740*A</v>
      </c>
      <c r="B809" s="279"/>
      <c r="C809" s="282">
        <f>ROUND(CA60,2)</f>
        <v>2.23</v>
      </c>
      <c r="D809" s="279">
        <f>ROUND(CA61,0)</f>
        <v>199041</v>
      </c>
      <c r="E809" s="279">
        <f>ROUND(CA62,0)</f>
        <v>58108</v>
      </c>
      <c r="F809" s="279">
        <f>ROUND(CA63,0)</f>
        <v>0</v>
      </c>
      <c r="G809" s="279">
        <f>ROUND(CA64,0)</f>
        <v>5996</v>
      </c>
      <c r="H809" s="279">
        <f>ROUND(CA65,0)</f>
        <v>696</v>
      </c>
      <c r="I809" s="279">
        <f>ROUND(CA66,0)</f>
        <v>19761</v>
      </c>
      <c r="J809" s="279">
        <f>ROUND(CA67,0)</f>
        <v>32653</v>
      </c>
      <c r="K809" s="279">
        <f>ROUND(CA68,0)</f>
        <v>21416</v>
      </c>
      <c r="L809" s="279">
        <f>ROUND(CA70,0)</f>
        <v>15605</v>
      </c>
      <c r="M809" s="279">
        <f>ROUND(CA71,0)</f>
        <v>0</v>
      </c>
      <c r="N809" s="279"/>
      <c r="O809" s="279"/>
      <c r="P809" s="279">
        <f>IF(CA77&gt;0,ROUND(CA77,0),0)</f>
        <v>1046</v>
      </c>
      <c r="Q809" s="279">
        <f>IF(CA78&gt;0,ROUND(CA78,0),0)</f>
        <v>0</v>
      </c>
      <c r="R809" s="279">
        <f>IF(CA79&gt;0,ROUND(CA79,0),0)</f>
        <v>1046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" customHeight="1" x14ac:dyDescent="0.25">
      <c r="A810" s="209" t="str">
        <f>RIGHT($C$84,3)&amp;"*"&amp;RIGHT($C$83,4)&amp;"*"&amp;CB$55&amp;"*"&amp;"A"</f>
        <v>152*2018*8770*A</v>
      </c>
      <c r="B810" s="279"/>
      <c r="C810" s="282">
        <f>ROUND(CB60,2)</f>
        <v>0</v>
      </c>
      <c r="D810" s="279">
        <f>ROUND(CB61,0)</f>
        <v>0</v>
      </c>
      <c r="E810" s="279">
        <f>ROUND(CB62,0)</f>
        <v>0</v>
      </c>
      <c r="F810" s="279">
        <f>ROUND(CB63,0)</f>
        <v>0</v>
      </c>
      <c r="G810" s="279">
        <f>ROUND(CB64,0)</f>
        <v>0</v>
      </c>
      <c r="H810" s="279">
        <f>ROUND(CB65,0)</f>
        <v>0</v>
      </c>
      <c r="I810" s="279">
        <f>ROUND(CB66,0)</f>
        <v>0</v>
      </c>
      <c r="J810" s="279">
        <f>ROUND(CB67,0)</f>
        <v>0</v>
      </c>
      <c r="K810" s="279">
        <f>ROUND(CB68,0)</f>
        <v>0</v>
      </c>
      <c r="L810" s="279">
        <f>ROUND(CB70,0)</f>
        <v>0</v>
      </c>
      <c r="M810" s="279">
        <f>ROUND(CB71,0)</f>
        <v>0</v>
      </c>
      <c r="N810" s="279"/>
      <c r="O810" s="279"/>
      <c r="P810" s="279">
        <f>IF(CB77&gt;0,ROUND(CB77,0),0)</f>
        <v>0</v>
      </c>
      <c r="Q810" s="279">
        <f>IF(CB78&gt;0,ROUND(CB78,0),0)</f>
        <v>0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" customHeight="1" x14ac:dyDescent="0.25">
      <c r="A811" s="209" t="str">
        <f>RIGHT($C$84,3)&amp;"*"&amp;RIGHT($C$83,4)&amp;"*"&amp;CC$55&amp;"*"&amp;"A"</f>
        <v>152*2018*8790*A</v>
      </c>
      <c r="B811" s="279"/>
      <c r="C811" s="282">
        <f>ROUND(CC60,2)</f>
        <v>9.73</v>
      </c>
      <c r="D811" s="279">
        <f>ROUND(CC61,0)</f>
        <v>571017</v>
      </c>
      <c r="E811" s="279">
        <f>ROUND(CC62,0)</f>
        <v>177465</v>
      </c>
      <c r="F811" s="279">
        <f>ROUND(CC63,0)</f>
        <v>0</v>
      </c>
      <c r="G811" s="279">
        <f>ROUND(CC64,0)</f>
        <v>33397</v>
      </c>
      <c r="H811" s="279">
        <f>ROUND(CC65,0)</f>
        <v>4090</v>
      </c>
      <c r="I811" s="279">
        <f>ROUND(CC66,0)</f>
        <v>140114</v>
      </c>
      <c r="J811" s="279">
        <f>ROUND(CC67,0)</f>
        <v>180435</v>
      </c>
      <c r="K811" s="279">
        <f>ROUND(CC68,0)</f>
        <v>51342</v>
      </c>
      <c r="L811" s="279">
        <f>ROUND(CC70,0)</f>
        <v>866343</v>
      </c>
      <c r="M811" s="279">
        <f>ROUND(CC71,0)</f>
        <v>0</v>
      </c>
      <c r="N811" s="279"/>
      <c r="O811" s="279"/>
      <c r="P811" s="279">
        <f>IF(CC77&gt;0,ROUND(CC77,0),0)</f>
        <v>5780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RIGHT($C$84,3)&amp;"*"&amp;RIGHT($C$83,4)&amp;"*"&amp;"9000"&amp;"*"&amp;"A"</f>
        <v>152*2018*9000*A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1332333</v>
      </c>
      <c r="V812" s="180">
        <f>ROUND(CD69,0)</f>
        <v>4316744</v>
      </c>
      <c r="W812" s="180">
        <f>ROUND(CD71,0)</f>
        <v>1848955</v>
      </c>
      <c r="X812" s="279">
        <f>ROUND(CE73,0)</f>
        <v>2215600</v>
      </c>
      <c r="Y812" s="279">
        <f>ROUND(C132,0)</f>
        <v>0</v>
      </c>
      <c r="Z812" s="279"/>
    </row>
    <row r="814" spans="1:26" ht="12.6" customHeight="1" x14ac:dyDescent="0.25">
      <c r="B814" s="199" t="s">
        <v>1004</v>
      </c>
      <c r="C814" s="266">
        <f t="shared" ref="C814:K814" si="24">SUM(C733:C812)</f>
        <v>577.79000000000008</v>
      </c>
      <c r="D814" s="180">
        <f t="shared" si="24"/>
        <v>48797793</v>
      </c>
      <c r="E814" s="180">
        <f t="shared" si="24"/>
        <v>13460108</v>
      </c>
      <c r="F814" s="180">
        <f t="shared" si="24"/>
        <v>4300805</v>
      </c>
      <c r="G814" s="180">
        <f t="shared" si="24"/>
        <v>11855296</v>
      </c>
      <c r="H814" s="180">
        <f t="shared" si="24"/>
        <v>1033970</v>
      </c>
      <c r="I814" s="180">
        <f t="shared" si="24"/>
        <v>9462831</v>
      </c>
      <c r="J814" s="180">
        <f t="shared" si="24"/>
        <v>6489171</v>
      </c>
      <c r="K814" s="180">
        <f t="shared" si="24"/>
        <v>735822</v>
      </c>
      <c r="L814" s="180">
        <f>SUM(L733:L812)+SUM(U733:U812)</f>
        <v>3894547</v>
      </c>
      <c r="M814" s="180">
        <f>SUM(M733:M812)+SUM(W733:W812)</f>
        <v>8159196</v>
      </c>
      <c r="N814" s="180">
        <f t="shared" ref="N814:Z814" si="25">SUM(N733:N812)</f>
        <v>222882635</v>
      </c>
      <c r="O814" s="180">
        <f t="shared" si="25"/>
        <v>49586755</v>
      </c>
      <c r="P814" s="180">
        <f t="shared" si="25"/>
        <v>186980</v>
      </c>
      <c r="Q814" s="180">
        <f t="shared" si="25"/>
        <v>28442</v>
      </c>
      <c r="R814" s="180">
        <f t="shared" si="25"/>
        <v>136140</v>
      </c>
      <c r="S814" s="180">
        <f t="shared" si="25"/>
        <v>298490</v>
      </c>
      <c r="T814" s="266">
        <f t="shared" si="25"/>
        <v>133.87</v>
      </c>
      <c r="U814" s="180">
        <f t="shared" si="25"/>
        <v>1332333</v>
      </c>
      <c r="V814" s="180">
        <f t="shared" si="25"/>
        <v>4316744</v>
      </c>
      <c r="W814" s="180">
        <f t="shared" si="25"/>
        <v>1848955</v>
      </c>
      <c r="X814" s="180">
        <f t="shared" si="25"/>
        <v>2215600</v>
      </c>
      <c r="Y814" s="180">
        <f t="shared" si="25"/>
        <v>0</v>
      </c>
      <c r="Z814" s="180">
        <f t="shared" si="25"/>
        <v>34474914</v>
      </c>
    </row>
    <row r="815" spans="1:26" ht="12.6" customHeight="1" x14ac:dyDescent="0.25">
      <c r="B815" s="180" t="s">
        <v>1005</v>
      </c>
      <c r="C815" s="266">
        <f>CE60</f>
        <v>577.79000000000008</v>
      </c>
      <c r="D815" s="180">
        <f>CE61</f>
        <v>48797793</v>
      </c>
      <c r="E815" s="180">
        <f>CE62</f>
        <v>13460108</v>
      </c>
      <c r="F815" s="180">
        <f>CE63</f>
        <v>4300805</v>
      </c>
      <c r="G815" s="180">
        <f>CE64</f>
        <v>11855296</v>
      </c>
      <c r="H815" s="243">
        <f>CE65</f>
        <v>1033970</v>
      </c>
      <c r="I815" s="243">
        <f>CE66</f>
        <v>9462831</v>
      </c>
      <c r="J815" s="243">
        <f>CE67</f>
        <v>6489171</v>
      </c>
      <c r="K815" s="243">
        <f>CE68</f>
        <v>735822</v>
      </c>
      <c r="L815" s="243">
        <f>CE70</f>
        <v>3894547</v>
      </c>
      <c r="M815" s="243">
        <f>CE71</f>
        <v>8159196</v>
      </c>
      <c r="N815" s="180">
        <f>CE76</f>
        <v>222882635</v>
      </c>
      <c r="O815" s="180">
        <f>CE74</f>
        <v>49586755</v>
      </c>
      <c r="P815" s="180">
        <f>CE77</f>
        <v>186976.47999999998</v>
      </c>
      <c r="Q815" s="180">
        <f>CE78</f>
        <v>28442</v>
      </c>
      <c r="R815" s="180">
        <f>CE79</f>
        <v>136136.65999999997</v>
      </c>
      <c r="S815" s="180">
        <f>CE80</f>
        <v>298490</v>
      </c>
      <c r="T815" s="266">
        <f>CE81</f>
        <v>133.87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34474915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48797794</v>
      </c>
      <c r="E816" s="180">
        <f>C377</f>
        <v>13460108</v>
      </c>
      <c r="F816" s="180">
        <f>C378</f>
        <v>4300805</v>
      </c>
      <c r="G816" s="243">
        <f>C379</f>
        <v>11855296</v>
      </c>
      <c r="H816" s="243">
        <f>C380</f>
        <v>1033970</v>
      </c>
      <c r="I816" s="243">
        <f>C381</f>
        <v>9462831</v>
      </c>
      <c r="J816" s="243">
        <f>C382</f>
        <v>6489169</v>
      </c>
      <c r="K816" s="243">
        <f>C383</f>
        <v>735822</v>
      </c>
      <c r="L816" s="243">
        <f>C384+C385+C386+C388</f>
        <v>3894547</v>
      </c>
      <c r="M816" s="243">
        <f>C368</f>
        <v>8159192</v>
      </c>
      <c r="N816" s="180">
        <f>D360</f>
        <v>222882635</v>
      </c>
      <c r="O816" s="180">
        <f>C358</f>
        <v>49586754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zoomScaleNormal="75" workbookViewId="0">
      <selection activeCell="B1" sqref="B1:J4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Public Hospital District No 1 of Mason County, WA, DBA Mason General Hospital and Family of Clinics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901 Mountain View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901 Mountain View Drive, PO Box 1668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Shelton, WA 98584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sqref="A1:G40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H-152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Public Hospital District No 1 of Mason County, WA, DBA Mason General Hospital and Family of Clinics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Mason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Eric Moll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Rick Smith, CFO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Don Wilson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360-432-7721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360-427-1921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1448</v>
      </c>
      <c r="G23" s="21">
        <f>data!D111</f>
        <v>4530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300</v>
      </c>
      <c r="G26" s="13">
        <f>data!D114</f>
        <v>648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D40" sqref="D4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Public Hospital District No 1 of Mason County, WA, DBA Mason General Hospital and Family of Clinics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797</v>
      </c>
      <c r="C7" s="48">
        <f>data!B139</f>
        <v>2767</v>
      </c>
      <c r="D7" s="48">
        <f>data!B140</f>
        <v>77932</v>
      </c>
      <c r="E7" s="48">
        <f>data!B141</f>
        <v>30618993.34</v>
      </c>
      <c r="F7" s="48">
        <f>data!B142</f>
        <v>89527160.109999999</v>
      </c>
      <c r="G7" s="48">
        <f>data!B141+data!B142</f>
        <v>120146153.45</v>
      </c>
    </row>
    <row r="8" spans="1:13" ht="20.100000000000001" customHeight="1" x14ac:dyDescent="0.25">
      <c r="A8" s="23" t="s">
        <v>297</v>
      </c>
      <c r="B8" s="48">
        <f>data!C138</f>
        <v>403</v>
      </c>
      <c r="C8" s="48">
        <f>data!C139</f>
        <v>1070</v>
      </c>
      <c r="D8" s="48">
        <f>data!C140</f>
        <v>58215</v>
      </c>
      <c r="E8" s="48">
        <f>data!C141</f>
        <v>14884352.93</v>
      </c>
      <c r="F8" s="48">
        <f>data!C142</f>
        <v>60247304.5</v>
      </c>
      <c r="G8" s="48">
        <f>data!C141+data!C142</f>
        <v>75131657.430000007</v>
      </c>
    </row>
    <row r="9" spans="1:13" ht="20.100000000000001" customHeight="1" x14ac:dyDescent="0.25">
      <c r="A9" s="23" t="s">
        <v>1058</v>
      </c>
      <c r="B9" s="48">
        <f>data!D138</f>
        <v>248</v>
      </c>
      <c r="C9" s="48">
        <f>data!D139</f>
        <v>693</v>
      </c>
      <c r="D9" s="48">
        <f>data!D140</f>
        <v>57693</v>
      </c>
      <c r="E9" s="48">
        <f>data!D141</f>
        <v>10629560.970000001</v>
      </c>
      <c r="F9" s="48">
        <f>data!D142</f>
        <v>57621200.340000004</v>
      </c>
      <c r="G9" s="48">
        <f>data!D141+data!D142</f>
        <v>68250761.310000002</v>
      </c>
    </row>
    <row r="10" spans="1:13" ht="20.100000000000001" customHeight="1" x14ac:dyDescent="0.25">
      <c r="A10" s="111" t="s">
        <v>203</v>
      </c>
      <c r="B10" s="48">
        <f>data!E138</f>
        <v>1448</v>
      </c>
      <c r="C10" s="48">
        <f>data!E139</f>
        <v>4530</v>
      </c>
      <c r="D10" s="48">
        <f>data!E140</f>
        <v>193840</v>
      </c>
      <c r="E10" s="48">
        <f>data!E141</f>
        <v>56132907.239999995</v>
      </c>
      <c r="F10" s="48">
        <f>data!E142</f>
        <v>207395664.95000002</v>
      </c>
      <c r="G10" s="48">
        <f>data!E141+data!E142</f>
        <v>263528572.19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7371625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2760910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sqref="A1:C40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Public Hospital District No 1 of Mason County, WA, DBA Mason General Hospital and Family of Clinics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3456606.6100000003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99527.96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468034.28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8161904.6599999992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94099.46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2236000.9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114471.22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14630645.090000002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176343.91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489551.29000000004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665895.20000000007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341782.96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267528.57999999996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609311.54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679783.76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679783.76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1010201.6700000002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1010201.6700000002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sqref="A1:F3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Public Hospital District No 1 of Mason County, WA, DBA Mason General Hospital and Family of Clinics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2015497.22</v>
      </c>
      <c r="D7" s="21">
        <f>data!C195</f>
        <v>0</v>
      </c>
      <c r="E7" s="21">
        <f>data!D195</f>
        <v>0</v>
      </c>
      <c r="F7" s="21">
        <f>data!E195</f>
        <v>2015497.22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2729455.78</v>
      </c>
      <c r="D8" s="21">
        <f>data!C196</f>
        <v>2036527.01</v>
      </c>
      <c r="E8" s="21">
        <f>data!D196</f>
        <v>28033.42</v>
      </c>
      <c r="F8" s="21">
        <f>data!E196</f>
        <v>4737949.37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36033915.340000004</v>
      </c>
      <c r="D9" s="21">
        <f>data!C197</f>
        <v>329243.24</v>
      </c>
      <c r="E9" s="21">
        <f>data!D197</f>
        <v>301080.43</v>
      </c>
      <c r="F9" s="21">
        <f>data!E197</f>
        <v>36062078.150000006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21304668.879999999</v>
      </c>
      <c r="D10" s="21">
        <f>data!C198</f>
        <v>0</v>
      </c>
      <c r="E10" s="21">
        <f>data!D198</f>
        <v>236204.89</v>
      </c>
      <c r="F10" s="21">
        <f>data!E198</f>
        <v>21068463.989999998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1750936</v>
      </c>
      <c r="D11" s="21">
        <f>data!C199</f>
        <v>-1750936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33847875.759999998</v>
      </c>
      <c r="D12" s="21">
        <f>data!C200</f>
        <v>3604530.4</v>
      </c>
      <c r="E12" s="21">
        <f>data!D200</f>
        <v>2015322.4200000002</v>
      </c>
      <c r="F12" s="21">
        <f>data!E200</f>
        <v>35437083.739999995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1150714.8500000001</v>
      </c>
      <c r="D14" s="21">
        <f>data!C202</f>
        <v>12478.190000000002</v>
      </c>
      <c r="E14" s="21">
        <f>data!D202</f>
        <v>0</v>
      </c>
      <c r="F14" s="21">
        <f>data!E202</f>
        <v>1163193.04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6155455.5499999998</v>
      </c>
      <c r="D15" s="21">
        <f>data!C203</f>
        <v>33141579.18</v>
      </c>
      <c r="E15" s="21">
        <f>data!D203</f>
        <v>2615165.7599999998</v>
      </c>
      <c r="F15" s="21">
        <f>data!E203</f>
        <v>36681868.969999999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104988519.37999998</v>
      </c>
      <c r="D16" s="21">
        <f>data!C204</f>
        <v>37373422.020000003</v>
      </c>
      <c r="E16" s="21">
        <f>data!D204</f>
        <v>5195806.92</v>
      </c>
      <c r="F16" s="21">
        <f>data!E204</f>
        <v>137166134.48000002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1729922.91</v>
      </c>
      <c r="D24" s="21">
        <f>data!C209</f>
        <v>254128.39</v>
      </c>
      <c r="E24" s="21">
        <f>data!D209</f>
        <v>16883.72</v>
      </c>
      <c r="F24" s="21">
        <f>data!E209</f>
        <v>1967167.5799999998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17673482.559999999</v>
      </c>
      <c r="D25" s="21">
        <f>data!C210</f>
        <v>1484224.97</v>
      </c>
      <c r="E25" s="21">
        <f>data!D210</f>
        <v>301080.43</v>
      </c>
      <c r="F25" s="21">
        <f>data!E210</f>
        <v>18856627.099999998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9745231.9399999995</v>
      </c>
      <c r="D26" s="21">
        <f>data!C211</f>
        <v>1206307.69</v>
      </c>
      <c r="E26" s="21">
        <f>data!D211</f>
        <v>227907.52</v>
      </c>
      <c r="F26" s="21">
        <f>data!E211</f>
        <v>10723632.109999999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1602239</v>
      </c>
      <c r="D27" s="21">
        <f>data!C212</f>
        <v>-1602239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27624964.309999999</v>
      </c>
      <c r="D28" s="21">
        <f>data!C213</f>
        <v>3457873.7800000003</v>
      </c>
      <c r="E28" s="21">
        <f>data!D213</f>
        <v>1971607.48</v>
      </c>
      <c r="F28" s="21">
        <f>data!E213</f>
        <v>29111230.609999999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124622.46</v>
      </c>
      <c r="D30" s="21">
        <f>data!C215</f>
        <v>175132.04</v>
      </c>
      <c r="E30" s="21">
        <f>data!D215</f>
        <v>0</v>
      </c>
      <c r="F30" s="21">
        <f>data!E215</f>
        <v>299754.5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58500463.18</v>
      </c>
      <c r="D32" s="21">
        <f>data!C217</f>
        <v>4975427.87</v>
      </c>
      <c r="E32" s="21">
        <f>data!D217</f>
        <v>2517479.15</v>
      </c>
      <c r="F32" s="21">
        <f>data!E217</f>
        <v>60958411.899999991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sqref="A1:D3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Public Hospital District No 1 of Mason County, WA, DBA Mason General Hospital and Family of Clinics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4642552.5999999996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75097730.920000002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48516317.300000004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2315828.62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22227270.599999998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148157147.44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2112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543583.67000000004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4313580.2300000004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4857163.9000000004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2227141.3000000007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159884005.24000001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31" zoomScale="75" workbookViewId="0">
      <selection activeCell="A53" sqref="A53:C10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Public Hospital District No 1 of Mason County, WA, DBA Mason General Hospital and Family of Clinics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68625442.319999993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38686059.549999997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23556810.000000004</v>
      </c>
    </row>
    <row r="10" spans="1:13" ht="20.100000000000001" customHeight="1" x14ac:dyDescent="0.25">
      <c r="A10" s="13">
        <v>6</v>
      </c>
      <c r="B10" s="14" t="s">
        <v>1105</v>
      </c>
      <c r="C10" s="21" t="str">
        <f>data!C254</f>
        <v/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472796.47000000003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1277976.0900000001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2095959.7499999995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87601424.179999992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8808016.9400000013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8808016.9400000013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2015497.22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4737949.3699999992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36062078.150000006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21068463.989999998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35437083.919999994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1163193.04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36681869.18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137166134.87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60958411.900000006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76207722.969999999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172617164.08999997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Public Hospital District No 1 of Mason County, WA, DBA Mason General Hospital and Family of Clinics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4603744.4600000009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13379602.630000001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95802.290000000008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354332.69000000012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217631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1400000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20051113.070000004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1.9098999999999998E-11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1.9098999999999998E-11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63396639.630000003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63396639.630000003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1400000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61996639.630000003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90569410.88000001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90569410.88000001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172617163.58000001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Public Hospital District No 1 of Mason County, WA, DBA Mason General Hospital and Family of Clinics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56132907.240000002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207395664.94999999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263528572.19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4642552.5999999996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148157147.44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4857163.9000000004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2227141.3000000007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159884005.24000001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103644566.94999999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6587359.669999999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2266077.4200000004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8853437.0899999999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112498004.03999999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50758870.729999997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14630645.09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5938956.7300000004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13254622.659999998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1078923.8799999999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10369997.379999999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4975427.8699999992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665895.19999999995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609311.53999999992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679783.76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1010201.67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1670442.7900000003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105643079.30000001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6854924.7399999797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2218142.6800000002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9073067.4199999794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9073067.4199999794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view="pageBreakPreview" zoomScale="60" zoomScaleNormal="65" workbookViewId="0">
      <selection activeCell="P46" sqref="P4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Public Hospital District No 1 of Mason County, WA, DBA Mason General Hospital and Family of Clinics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1155</v>
      </c>
      <c r="D9" s="14">
        <f>data!D59</f>
        <v>0</v>
      </c>
      <c r="E9" s="14">
        <f>data!E59</f>
        <v>3375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18.733985576923079</v>
      </c>
      <c r="D10" s="26">
        <f>data!D60</f>
        <v>0</v>
      </c>
      <c r="E10" s="26">
        <f>data!E60</f>
        <v>48.555714423076928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1812848.22</v>
      </c>
      <c r="D11" s="14">
        <f>data!D61</f>
        <v>0</v>
      </c>
      <c r="E11" s="14">
        <f>data!E61</f>
        <v>4340984.41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526806</v>
      </c>
      <c r="D12" s="14">
        <f>data!D62</f>
        <v>0</v>
      </c>
      <c r="E12" s="14">
        <f>data!E62</f>
        <v>1270525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336706.38</v>
      </c>
      <c r="D13" s="14">
        <f>data!D63</f>
        <v>0</v>
      </c>
      <c r="E13" s="14">
        <f>data!E63</f>
        <v>201623.29000000004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180921.67</v>
      </c>
      <c r="D14" s="14">
        <f>data!D64</f>
        <v>0</v>
      </c>
      <c r="E14" s="14">
        <f>data!E64</f>
        <v>175019.90999999997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798.2399999999999</v>
      </c>
      <c r="D15" s="14">
        <f>data!D65</f>
        <v>0</v>
      </c>
      <c r="E15" s="14">
        <f>data!E65</f>
        <v>727.82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13402.19</v>
      </c>
      <c r="D16" s="14">
        <f>data!D66</f>
        <v>0</v>
      </c>
      <c r="E16" s="14">
        <f>data!E66</f>
        <v>14323.76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155436</v>
      </c>
      <c r="D17" s="14">
        <f>data!D67</f>
        <v>0</v>
      </c>
      <c r="E17" s="14">
        <f>data!E67</f>
        <v>459140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2625.63</v>
      </c>
      <c r="D18" s="14">
        <f>data!D68</f>
        <v>0</v>
      </c>
      <c r="E18" s="14">
        <f>data!E68</f>
        <v>6550.4400000000014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2223.6799999999998</v>
      </c>
      <c r="D19" s="14">
        <f>data!D69</f>
        <v>0</v>
      </c>
      <c r="E19" s="14">
        <f>data!E69</f>
        <v>2271.8100000000004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3031768.01</v>
      </c>
      <c r="D21" s="14">
        <f>data!D71</f>
        <v>0</v>
      </c>
      <c r="E21" s="14">
        <f>data!E71</f>
        <v>6471166.4400000004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2203161</v>
      </c>
      <c r="D23" s="48">
        <f>+data!M669</f>
        <v>0</v>
      </c>
      <c r="E23" s="48">
        <f>+data!M670</f>
        <v>5765106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8590446.2100000009</v>
      </c>
      <c r="D24" s="14">
        <f>data!D73</f>
        <v>0</v>
      </c>
      <c r="E24" s="14">
        <f>data!E73</f>
        <v>16077234.869999999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2463698.7000000002</v>
      </c>
      <c r="D25" s="14">
        <f>data!D74</f>
        <v>0</v>
      </c>
      <c r="E25" s="14">
        <f>data!E74</f>
        <v>5618392.8500000006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11054144.91</v>
      </c>
      <c r="D26" s="14">
        <f>data!D75</f>
        <v>0</v>
      </c>
      <c r="E26" s="14">
        <f>data!E75</f>
        <v>21695627.719999999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6509.73</v>
      </c>
      <c r="D28" s="14">
        <f>data!D76</f>
        <v>0</v>
      </c>
      <c r="E28" s="14">
        <f>data!E76</f>
        <v>19228.939999999999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5140.2402179832534</v>
      </c>
      <c r="D29" s="14">
        <f>data!D77</f>
        <v>0</v>
      </c>
      <c r="E29" s="14">
        <f>data!E77</f>
        <v>20895.682603832662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6509.73</v>
      </c>
      <c r="D30" s="14">
        <f>data!D78</f>
        <v>0</v>
      </c>
      <c r="E30" s="14">
        <f>data!E78</f>
        <v>19228.939999999999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35797</v>
      </c>
      <c r="D31" s="14">
        <f>data!D79</f>
        <v>0</v>
      </c>
      <c r="E31" s="14">
        <f>data!E79</f>
        <v>65137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18.733985576923079</v>
      </c>
      <c r="D32" s="84">
        <f>data!D80</f>
        <v>0</v>
      </c>
      <c r="E32" s="84">
        <f>data!E80</f>
        <v>48.555714423076928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Public Hospital District No 1 of Mason County, WA, DBA Mason General Hospital and Family of Clinics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648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951</v>
      </c>
      <c r="I41" s="14">
        <f>data!P59</f>
        <v>117668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15.200120192307692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1251063.7499999998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381976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491152.38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20068.609999999997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80784.03</v>
      </c>
      <c r="I46" s="14">
        <f>data!P64</f>
        <v>689290.40999999992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1929.97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11928.55</v>
      </c>
      <c r="I48" s="14">
        <f>data!P66</f>
        <v>243005.27000000002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11495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23248</v>
      </c>
      <c r="I49" s="14">
        <f>data!P67</f>
        <v>156566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4539.4699999999993</v>
      </c>
      <c r="I50" s="14">
        <f>data!P68</f>
        <v>182057.05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2848.22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1680.54</v>
      </c>
      <c r="I51" s="14">
        <f>data!P69</f>
        <v>8440.75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36341.800000000003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122180.59</v>
      </c>
      <c r="I53" s="14">
        <f>data!P71</f>
        <v>3403551.61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91821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268739</v>
      </c>
      <c r="I55" s="48">
        <f>+data!M681</f>
        <v>2020789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1248565.77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2314884.86</v>
      </c>
      <c r="I56" s="14">
        <f>data!P73</f>
        <v>4232911.34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80670.350000000006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904748.80999999994</v>
      </c>
      <c r="I57" s="14">
        <f>data!P74</f>
        <v>10978180.359999998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1329236.1200000001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3219633.67</v>
      </c>
      <c r="I58" s="14">
        <f>data!P75</f>
        <v>15211091.699999997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481.41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973.64</v>
      </c>
      <c r="I60" s="14">
        <f>data!P76</f>
        <v>6557.0400000000009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313.01005199264438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481.41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973.64</v>
      </c>
      <c r="I62" s="14">
        <f>data!P78</f>
        <v>6557.0400000000009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33609</v>
      </c>
      <c r="I63" s="14">
        <f>data!P79</f>
        <v>31846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15.200120192307692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Public Hospital District No 1 of Mason County, WA, DBA Mason General Hospital and Family of Clinics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129253</v>
      </c>
      <c r="D73" s="48">
        <f>data!R59</f>
        <v>117668</v>
      </c>
      <c r="E73" s="212"/>
      <c r="F73" s="212"/>
      <c r="G73" s="14">
        <f>data!U59</f>
        <v>238993</v>
      </c>
      <c r="H73" s="14">
        <f>data!V59</f>
        <v>0</v>
      </c>
      <c r="I73" s="14">
        <f>data!W59</f>
        <v>1983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13.279192307692309</v>
      </c>
      <c r="D74" s="26">
        <f>data!R60</f>
        <v>5.2713990384615386</v>
      </c>
      <c r="E74" s="26">
        <f>data!S60</f>
        <v>0</v>
      </c>
      <c r="F74" s="26">
        <f>data!T60</f>
        <v>0</v>
      </c>
      <c r="G74" s="26">
        <f>data!U60</f>
        <v>26.405326923076924</v>
      </c>
      <c r="H74" s="26">
        <f>data!V60</f>
        <v>0</v>
      </c>
      <c r="I74" s="26">
        <f>data!W60</f>
        <v>2.0900240384615385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1244986.8499999996</v>
      </c>
      <c r="D75" s="14">
        <f>data!R61</f>
        <v>996649.32</v>
      </c>
      <c r="E75" s="14">
        <f>data!S61</f>
        <v>0</v>
      </c>
      <c r="F75" s="14">
        <f>data!T61</f>
        <v>0</v>
      </c>
      <c r="G75" s="14">
        <f>data!U61</f>
        <v>1767848.3499999999</v>
      </c>
      <c r="H75" s="14">
        <f>data!V61</f>
        <v>0</v>
      </c>
      <c r="I75" s="14">
        <f>data!W61</f>
        <v>191838.12000000002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369186</v>
      </c>
      <c r="D76" s="14">
        <f>data!R62</f>
        <v>218065</v>
      </c>
      <c r="E76" s="14">
        <f>data!S62</f>
        <v>0</v>
      </c>
      <c r="F76" s="14">
        <f>data!T62</f>
        <v>0</v>
      </c>
      <c r="G76" s="14">
        <f>data!U62</f>
        <v>545607</v>
      </c>
      <c r="H76" s="14">
        <f>data!V62</f>
        <v>0</v>
      </c>
      <c r="I76" s="14">
        <f>data!W62</f>
        <v>62872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3824.88</v>
      </c>
      <c r="E77" s="14">
        <f>data!S63</f>
        <v>0</v>
      </c>
      <c r="F77" s="14">
        <f>data!T63</f>
        <v>0</v>
      </c>
      <c r="G77" s="14">
        <f>data!U63</f>
        <v>13410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114276.54</v>
      </c>
      <c r="D78" s="14">
        <f>data!R64</f>
        <v>89148.08</v>
      </c>
      <c r="E78" s="14">
        <f>data!S64</f>
        <v>3992375.34</v>
      </c>
      <c r="F78" s="14">
        <f>data!T64</f>
        <v>0</v>
      </c>
      <c r="G78" s="14">
        <f>data!U64</f>
        <v>1694210.9699999997</v>
      </c>
      <c r="H78" s="14">
        <f>data!V64</f>
        <v>0</v>
      </c>
      <c r="I78" s="14">
        <f>data!W64</f>
        <v>20288.11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1793.59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2548.63</v>
      </c>
      <c r="D80" s="14">
        <f>data!R66</f>
        <v>44882.400000000001</v>
      </c>
      <c r="E80" s="14">
        <f>data!S66</f>
        <v>353.13</v>
      </c>
      <c r="F80" s="14">
        <f>data!T66</f>
        <v>0</v>
      </c>
      <c r="G80" s="14">
        <f>data!U66</f>
        <v>1000520.6499999999</v>
      </c>
      <c r="H80" s="14">
        <f>data!V66</f>
        <v>0</v>
      </c>
      <c r="I80" s="14">
        <f>data!W66</f>
        <v>13626.700000000003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172823</v>
      </c>
      <c r="D81" s="14">
        <f>data!R67</f>
        <v>7431</v>
      </c>
      <c r="E81" s="14">
        <f>data!S67</f>
        <v>70834</v>
      </c>
      <c r="F81" s="14">
        <f>data!T67</f>
        <v>0</v>
      </c>
      <c r="G81" s="14">
        <f>data!U67</f>
        <v>99040</v>
      </c>
      <c r="H81" s="14">
        <f>data!V67</f>
        <v>0</v>
      </c>
      <c r="I81" s="14">
        <f>data!W67</f>
        <v>50972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4248.75</v>
      </c>
      <c r="D82" s="14">
        <f>data!R68</f>
        <v>1371.3300000000002</v>
      </c>
      <c r="E82" s="14">
        <f>data!S68</f>
        <v>7230.5800000000008</v>
      </c>
      <c r="F82" s="14">
        <f>data!T68</f>
        <v>0</v>
      </c>
      <c r="G82" s="14">
        <f>data!U68</f>
        <v>12041.68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423</v>
      </c>
      <c r="D83" s="14">
        <f>data!R69</f>
        <v>16466.57</v>
      </c>
      <c r="E83" s="14">
        <f>data!S69</f>
        <v>0</v>
      </c>
      <c r="F83" s="14">
        <f>data!T69</f>
        <v>0</v>
      </c>
      <c r="G83" s="14">
        <f>data!U69</f>
        <v>5923.35</v>
      </c>
      <c r="H83" s="14">
        <f>data!V69</f>
        <v>0</v>
      </c>
      <c r="I83" s="14">
        <f>data!W69</f>
        <v>2564.89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-1637271.18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1908492.7699999996</v>
      </c>
      <c r="D85" s="14">
        <f>data!R71</f>
        <v>-259432.60000000009</v>
      </c>
      <c r="E85" s="14">
        <f>data!S71</f>
        <v>4070793.05</v>
      </c>
      <c r="F85" s="14">
        <f>data!T71</f>
        <v>0</v>
      </c>
      <c r="G85" s="14">
        <f>data!U71</f>
        <v>5140395.589999998</v>
      </c>
      <c r="H85" s="14">
        <f>data!V71</f>
        <v>0</v>
      </c>
      <c r="I85" s="14">
        <f>data!W71</f>
        <v>342161.82000000007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1308515</v>
      </c>
      <c r="D87" s="48">
        <f>+data!M683</f>
        <v>308526</v>
      </c>
      <c r="E87" s="48">
        <f>+data!M684</f>
        <v>1031322</v>
      </c>
      <c r="F87" s="48">
        <f>+data!M685</f>
        <v>0</v>
      </c>
      <c r="G87" s="48">
        <f>+data!M686</f>
        <v>2365848</v>
      </c>
      <c r="H87" s="48">
        <f>+data!M687</f>
        <v>0</v>
      </c>
      <c r="I87" s="48">
        <f>+data!M688</f>
        <v>520914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1081716.4000000001</v>
      </c>
      <c r="D88" s="14">
        <f>data!R73</f>
        <v>629097.52</v>
      </c>
      <c r="E88" s="14">
        <f>data!S73</f>
        <v>3399485.39</v>
      </c>
      <c r="F88" s="14">
        <f>data!T73</f>
        <v>0</v>
      </c>
      <c r="G88" s="14">
        <f>data!U73</f>
        <v>3985571.2500000009</v>
      </c>
      <c r="H88" s="14">
        <f>data!V73</f>
        <v>0</v>
      </c>
      <c r="I88" s="14">
        <f>data!W73</f>
        <v>385643.12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4766639.6499999994</v>
      </c>
      <c r="D89" s="14">
        <f>data!R74</f>
        <v>1439975.3299999998</v>
      </c>
      <c r="E89" s="14">
        <f>data!S74</f>
        <v>3697662.1199999996</v>
      </c>
      <c r="F89" s="14">
        <f>data!T74</f>
        <v>0</v>
      </c>
      <c r="G89" s="14">
        <f>data!U74</f>
        <v>27007629.199999999</v>
      </c>
      <c r="H89" s="14">
        <f>data!V74</f>
        <v>0</v>
      </c>
      <c r="I89" s="14">
        <f>data!W74</f>
        <v>7360116.1899999995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5848356.0499999998</v>
      </c>
      <c r="D90" s="14">
        <f>data!R75</f>
        <v>2069072.8499999999</v>
      </c>
      <c r="E90" s="14">
        <f>data!S75</f>
        <v>7097147.5099999998</v>
      </c>
      <c r="F90" s="14">
        <f>data!T75</f>
        <v>0</v>
      </c>
      <c r="G90" s="14">
        <f>data!U75</f>
        <v>30993200.449999999</v>
      </c>
      <c r="H90" s="14">
        <f>data!V75</f>
        <v>0</v>
      </c>
      <c r="I90" s="14">
        <f>data!W75</f>
        <v>7745759.3099999996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7237.91</v>
      </c>
      <c r="D92" s="14">
        <f>data!R76</f>
        <v>311.2</v>
      </c>
      <c r="E92" s="14">
        <f>data!S76</f>
        <v>2966.57</v>
      </c>
      <c r="F92" s="14">
        <f>data!T76</f>
        <v>0</v>
      </c>
      <c r="G92" s="14">
        <f>data!U76</f>
        <v>4147.83</v>
      </c>
      <c r="H92" s="14">
        <f>data!V76</f>
        <v>0</v>
      </c>
      <c r="I92" s="14">
        <f>data!W76</f>
        <v>2134.71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7237.91</v>
      </c>
      <c r="D94" s="14">
        <f>data!R78</f>
        <v>311.2</v>
      </c>
      <c r="E94" s="14">
        <f>data!S78</f>
        <v>2966.57</v>
      </c>
      <c r="F94" s="14">
        <f>data!T78</f>
        <v>0</v>
      </c>
      <c r="G94" s="14">
        <f>data!U78</f>
        <v>4147.83</v>
      </c>
      <c r="H94" s="14">
        <f>data!V78</f>
        <v>0</v>
      </c>
      <c r="I94" s="14">
        <f>data!W78</f>
        <v>2134.71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27700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709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13.279192307692309</v>
      </c>
      <c r="D96" s="84">
        <f>data!R80</f>
        <v>5.2713990384615386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Public Hospital District No 1 of Mason County, WA, DBA Mason General Hospital and Family of Clinics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28963</v>
      </c>
      <c r="D105" s="14">
        <f>data!Y59</f>
        <v>42814</v>
      </c>
      <c r="E105" s="14">
        <f>data!Z59</f>
        <v>0</v>
      </c>
      <c r="F105" s="14">
        <f>data!AA59</f>
        <v>1325</v>
      </c>
      <c r="G105" s="212"/>
      <c r="H105" s="14">
        <f>data!AC59</f>
        <v>6616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4.9355769230769226</v>
      </c>
      <c r="D106" s="26">
        <f>data!Y60</f>
        <v>20.439134615384617</v>
      </c>
      <c r="E106" s="26">
        <f>data!Z60</f>
        <v>0</v>
      </c>
      <c r="F106" s="26">
        <f>data!AA60</f>
        <v>0.78521634615384617</v>
      </c>
      <c r="G106" s="26">
        <f>data!AB60</f>
        <v>13.050346153846155</v>
      </c>
      <c r="H106" s="26">
        <f>data!AC60</f>
        <v>9.0180096153846154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495616.19000000006</v>
      </c>
      <c r="D107" s="14">
        <f>data!Y61</f>
        <v>1718740.9000000001</v>
      </c>
      <c r="E107" s="14">
        <f>data!Z61</f>
        <v>0</v>
      </c>
      <c r="F107" s="14">
        <f>data!AA61</f>
        <v>80372.899999999994</v>
      </c>
      <c r="G107" s="14">
        <f>data!AB61</f>
        <v>1413015.74</v>
      </c>
      <c r="H107" s="14">
        <f>data!AC61</f>
        <v>795593.58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142247</v>
      </c>
      <c r="D108" s="14">
        <f>data!Y62</f>
        <v>514216</v>
      </c>
      <c r="E108" s="14">
        <f>data!Z62</f>
        <v>0</v>
      </c>
      <c r="F108" s="14">
        <f>data!AA62</f>
        <v>20887</v>
      </c>
      <c r="G108" s="14">
        <f>data!AB62</f>
        <v>408260</v>
      </c>
      <c r="H108" s="14">
        <f>data!AC62</f>
        <v>275149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97314.329999999987</v>
      </c>
      <c r="D110" s="14">
        <f>data!Y64</f>
        <v>118330.46</v>
      </c>
      <c r="E110" s="14">
        <f>data!Z64</f>
        <v>0</v>
      </c>
      <c r="F110" s="14">
        <f>data!AA64</f>
        <v>29390.799999999999</v>
      </c>
      <c r="G110" s="14">
        <f>data!AB64</f>
        <v>2634255.0699999998</v>
      </c>
      <c r="H110" s="14">
        <f>data!AC64</f>
        <v>82898.42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28.17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127798.82999999997</v>
      </c>
      <c r="D112" s="14">
        <f>data!Y66</f>
        <v>578378.19000000006</v>
      </c>
      <c r="E112" s="14">
        <f>data!Z66</f>
        <v>0</v>
      </c>
      <c r="F112" s="14">
        <f>data!AA66</f>
        <v>44445.4</v>
      </c>
      <c r="G112" s="14">
        <f>data!AB66</f>
        <v>257262.52999999997</v>
      </c>
      <c r="H112" s="14">
        <f>data!AC66</f>
        <v>28174.980000000003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18879</v>
      </c>
      <c r="D113" s="14">
        <f>data!Y67</f>
        <v>127093</v>
      </c>
      <c r="E113" s="14">
        <f>data!Z67</f>
        <v>0</v>
      </c>
      <c r="F113" s="14">
        <f>data!AA67</f>
        <v>16458</v>
      </c>
      <c r="G113" s="14">
        <f>data!AB67</f>
        <v>43341</v>
      </c>
      <c r="H113" s="14">
        <f>data!AC67</f>
        <v>19209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6818.71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19118.21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6194.02</v>
      </c>
      <c r="E115" s="14">
        <f>data!Z69</f>
        <v>0</v>
      </c>
      <c r="F115" s="14">
        <f>data!AA69</f>
        <v>6694.42</v>
      </c>
      <c r="G115" s="14">
        <f>data!AB69</f>
        <v>24220.080000000002</v>
      </c>
      <c r="H115" s="14">
        <f>data!AC69</f>
        <v>169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-3748553.4999999991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881855.35</v>
      </c>
      <c r="D117" s="14">
        <f>data!Y71</f>
        <v>3069799.45</v>
      </c>
      <c r="E117" s="14">
        <f>data!Z71</f>
        <v>0</v>
      </c>
      <c r="F117" s="14">
        <f>data!AA71</f>
        <v>198248.52000000002</v>
      </c>
      <c r="G117" s="14">
        <f>data!AB71</f>
        <v>1031800.9200000009</v>
      </c>
      <c r="H117" s="14">
        <f>data!AC71</f>
        <v>1220312.19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1310046</v>
      </c>
      <c r="D119" s="48">
        <f>+data!M690</f>
        <v>1645606</v>
      </c>
      <c r="E119" s="48">
        <f>+data!M691</f>
        <v>0</v>
      </c>
      <c r="F119" s="48">
        <f>+data!M692</f>
        <v>76875</v>
      </c>
      <c r="G119" s="48">
        <f>+data!M693</f>
        <v>861493</v>
      </c>
      <c r="H119" s="48">
        <f>+data!M694</f>
        <v>549457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1362044.11</v>
      </c>
      <c r="D120" s="14">
        <f>data!Y73</f>
        <v>1635745.8599999999</v>
      </c>
      <c r="E120" s="14">
        <f>data!Z73</f>
        <v>0</v>
      </c>
      <c r="F120" s="14">
        <f>data!AA73</f>
        <v>36684.089999999997</v>
      </c>
      <c r="G120" s="14">
        <f>data!AB73</f>
        <v>3376610.08</v>
      </c>
      <c r="H120" s="14">
        <f>data!AC73</f>
        <v>4451168.9400000004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21539118.829999998</v>
      </c>
      <c r="D121" s="14">
        <f>data!Y74</f>
        <v>18970296.140000001</v>
      </c>
      <c r="E121" s="14">
        <f>data!Z74</f>
        <v>0</v>
      </c>
      <c r="F121" s="14">
        <f>data!AA74</f>
        <v>531083.28999999992</v>
      </c>
      <c r="G121" s="14">
        <f>data!AB74</f>
        <v>6702525.3399999999</v>
      </c>
      <c r="H121" s="14">
        <f>data!AC74</f>
        <v>2971435.61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22901162.939999998</v>
      </c>
      <c r="D122" s="14">
        <f>data!Y75</f>
        <v>20606042</v>
      </c>
      <c r="E122" s="14">
        <f>data!Z75</f>
        <v>0</v>
      </c>
      <c r="F122" s="14">
        <f>data!AA75</f>
        <v>567767.37999999989</v>
      </c>
      <c r="G122" s="14">
        <f>data!AB75</f>
        <v>10079135.42</v>
      </c>
      <c r="H122" s="14">
        <f>data!AC75</f>
        <v>7422604.5500000007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790.65</v>
      </c>
      <c r="D124" s="14">
        <f>data!Y76</f>
        <v>5322.7199999999993</v>
      </c>
      <c r="E124" s="14">
        <f>data!Z76</f>
        <v>0</v>
      </c>
      <c r="F124" s="14">
        <f>data!AA76</f>
        <v>689.27</v>
      </c>
      <c r="G124" s="14">
        <f>data!AB76</f>
        <v>1815.12</v>
      </c>
      <c r="H124" s="14">
        <f>data!AC76</f>
        <v>804.46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790.65</v>
      </c>
      <c r="D126" s="14">
        <f>data!Y78</f>
        <v>5322.7199999999993</v>
      </c>
      <c r="E126" s="14">
        <f>data!Z78</f>
        <v>0</v>
      </c>
      <c r="F126" s="14">
        <f>data!AA78</f>
        <v>689.27</v>
      </c>
      <c r="G126" s="14">
        <f>data!AB78</f>
        <v>1815.12</v>
      </c>
      <c r="H126" s="14">
        <f>data!AC78</f>
        <v>804.46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30961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Public Hospital District No 1 of Mason County, WA, DBA Mason General Hospital and Family of Clinics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22468</v>
      </c>
      <c r="D137" s="14">
        <f>data!AF59</f>
        <v>0</v>
      </c>
      <c r="E137" s="14">
        <f>data!AG59</f>
        <v>20224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20.240841346153843</v>
      </c>
      <c r="D138" s="26">
        <f>data!AF60</f>
        <v>0</v>
      </c>
      <c r="E138" s="26">
        <f>data!AG60</f>
        <v>32.527299519230773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1606708.6000000003</v>
      </c>
      <c r="D139" s="14">
        <f>data!AF61</f>
        <v>0</v>
      </c>
      <c r="E139" s="14">
        <f>data!AG61</f>
        <v>3625431.1500000004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456861</v>
      </c>
      <c r="D140" s="14">
        <f>data!AF62</f>
        <v>0</v>
      </c>
      <c r="E140" s="14">
        <f>data!AG62</f>
        <v>802720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34362</v>
      </c>
      <c r="D141" s="14">
        <f>data!AF63</f>
        <v>0</v>
      </c>
      <c r="E141" s="14">
        <f>data!AG63</f>
        <v>2788684.11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36376.85</v>
      </c>
      <c r="D142" s="14">
        <f>data!AF64</f>
        <v>0</v>
      </c>
      <c r="E142" s="14">
        <f>data!AG64</f>
        <v>318231.88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320.08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27010.019999999997</v>
      </c>
      <c r="D144" s="14">
        <f>data!AF66</f>
        <v>0</v>
      </c>
      <c r="E144" s="14">
        <f>data!AG66</f>
        <v>398584.35000000003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92681</v>
      </c>
      <c r="D145" s="14">
        <f>data!AF67</f>
        <v>0</v>
      </c>
      <c r="E145" s="14">
        <f>data!AG67</f>
        <v>227570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7072.55</v>
      </c>
      <c r="D146" s="14">
        <f>data!AF68</f>
        <v>0</v>
      </c>
      <c r="E146" s="14">
        <f>data!AG68</f>
        <v>11613.02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5238.619999999999</v>
      </c>
      <c r="D147" s="14">
        <f>data!AF69</f>
        <v>0</v>
      </c>
      <c r="E147" s="14">
        <f>data!AG69</f>
        <v>57860.810000000005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2266310.6400000006</v>
      </c>
      <c r="D149" s="14">
        <f>data!AF71</f>
        <v>0</v>
      </c>
      <c r="E149" s="14">
        <f>data!AG71</f>
        <v>8231015.3999999985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833815</v>
      </c>
      <c r="D151" s="48">
        <f>+data!M697</f>
        <v>0</v>
      </c>
      <c r="E151" s="48">
        <f>+data!M698</f>
        <v>5470997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512496.19</v>
      </c>
      <c r="D152" s="14">
        <f>data!AF73</f>
        <v>0</v>
      </c>
      <c r="E152" s="14">
        <f>data!AG73</f>
        <v>2812601.24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7479447.6099999994</v>
      </c>
      <c r="D153" s="14">
        <f>data!AF74</f>
        <v>0</v>
      </c>
      <c r="E153" s="14">
        <f>data!AG74</f>
        <v>54481231.600000009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7991943.7999999998</v>
      </c>
      <c r="D154" s="14">
        <f>data!AF75</f>
        <v>0</v>
      </c>
      <c r="E154" s="14">
        <f>data!AG75</f>
        <v>57293832.840000011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3881.51</v>
      </c>
      <c r="D156" s="14">
        <f>data!AF76</f>
        <v>0</v>
      </c>
      <c r="E156" s="14">
        <f>data!AG76</f>
        <v>9530.74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989.69074242760985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3881.51</v>
      </c>
      <c r="D158" s="14">
        <f>data!AF78</f>
        <v>0</v>
      </c>
      <c r="E158" s="14">
        <f>data!AG78</f>
        <v>9530.74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9661</v>
      </c>
      <c r="D159" s="14">
        <f>data!AF79</f>
        <v>0</v>
      </c>
      <c r="E159" s="14">
        <f>data!AG79</f>
        <v>72843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32.527299519230773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Public Hospital District No 1 of Mason County, WA, DBA Mason General Hospital and Family of Clinics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86676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148.58125336538461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14906519.67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3840980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1772394.35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917295.04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68310.06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278156.51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1601341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73285.56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413166.62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-33033.07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23838415.740000002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5779780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30139355.539999999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30139355.539999999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44145.299999999996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44145.299999999996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Public Hospital District No 1 of Mason County, WA, DBA Mason General Hospital and Family of Clinics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27338.623616236167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3.0870192307692306</v>
      </c>
      <c r="G202" s="26">
        <f>data!AW60</f>
        <v>0</v>
      </c>
      <c r="H202" s="26">
        <f>data!AX60</f>
        <v>0</v>
      </c>
      <c r="I202" s="26">
        <f>data!AY60</f>
        <v>16.937600961538461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262040.78000000003</v>
      </c>
      <c r="G203" s="14">
        <f>data!AW61</f>
        <v>0</v>
      </c>
      <c r="H203" s="14">
        <f>data!AX61</f>
        <v>0</v>
      </c>
      <c r="I203" s="14">
        <f>data!AY61</f>
        <v>742253.25999999978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84412</v>
      </c>
      <c r="G204" s="14">
        <f>data!AW62</f>
        <v>0</v>
      </c>
      <c r="H204" s="14">
        <f>data!AX62</f>
        <v>0</v>
      </c>
      <c r="I204" s="14">
        <f>data!AY62</f>
        <v>321873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5654.8600000000006</v>
      </c>
      <c r="G206" s="14">
        <f>data!AW64</f>
        <v>0</v>
      </c>
      <c r="H206" s="14">
        <f>data!AX64</f>
        <v>0</v>
      </c>
      <c r="I206" s="14">
        <f>data!AY64</f>
        <v>813046.41999999993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2769</v>
      </c>
      <c r="G208" s="14">
        <f>data!AW66</f>
        <v>0</v>
      </c>
      <c r="H208" s="14">
        <f>data!AX66</f>
        <v>0</v>
      </c>
      <c r="I208" s="14">
        <f>data!AY66</f>
        <v>28792.74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6390</v>
      </c>
      <c r="G209" s="14">
        <f>data!AW67</f>
        <v>0</v>
      </c>
      <c r="H209" s="14">
        <f>data!AX67</f>
        <v>0</v>
      </c>
      <c r="I209" s="14">
        <f>data!AY67</f>
        <v>120186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360</v>
      </c>
      <c r="G210" s="14">
        <f>data!AW68</f>
        <v>0</v>
      </c>
      <c r="H210" s="14">
        <f>data!AX68</f>
        <v>0</v>
      </c>
      <c r="I210" s="14">
        <f>data!AY68</f>
        <v>4509.24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4784.1099999999997</v>
      </c>
      <c r="G211" s="14">
        <f>data!AW69</f>
        <v>0</v>
      </c>
      <c r="H211" s="14">
        <f>data!AX69</f>
        <v>0</v>
      </c>
      <c r="I211" s="14">
        <f>data!AY69</f>
        <v>393.63000000000045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-1005</v>
      </c>
      <c r="G212" s="14">
        <f>-data!AW70</f>
        <v>0</v>
      </c>
      <c r="H212" s="14">
        <f>-data!AX70</f>
        <v>0</v>
      </c>
      <c r="I212" s="14">
        <f>-data!AY70</f>
        <v>-533507.71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365405.75</v>
      </c>
      <c r="G213" s="14">
        <f>data!AW71</f>
        <v>0</v>
      </c>
      <c r="H213" s="14">
        <f>data!AX71</f>
        <v>0</v>
      </c>
      <c r="I213" s="14">
        <f>data!AY71</f>
        <v>1497546.5799999996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64387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263457.43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263457.43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267.60000000000002</v>
      </c>
      <c r="G220" s="14">
        <f>data!AW76</f>
        <v>0</v>
      </c>
      <c r="H220" s="14">
        <f>data!AX76</f>
        <v>0</v>
      </c>
      <c r="I220" s="85">
        <f>data!AY76</f>
        <v>5033.42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267.60000000000002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Public Hospital District No 1 of Mason County, WA, DBA Mason General Hospital and Family of Clinics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185453.38000000003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1.5497596153846154</v>
      </c>
      <c r="E234" s="26">
        <f>data!BB60</f>
        <v>0</v>
      </c>
      <c r="F234" s="26">
        <f>data!BC60</f>
        <v>0</v>
      </c>
      <c r="G234" s="26">
        <f>data!BD60</f>
        <v>6.029908653846153</v>
      </c>
      <c r="H234" s="26">
        <f>data!BE60</f>
        <v>12.115567307692308</v>
      </c>
      <c r="I234" s="26">
        <f>data!BF60</f>
        <v>27.580778846153844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60116.79</v>
      </c>
      <c r="E235" s="14">
        <f>data!BB61</f>
        <v>0</v>
      </c>
      <c r="F235" s="14">
        <f>data!BC61</f>
        <v>0</v>
      </c>
      <c r="G235" s="14">
        <f>data!BD61</f>
        <v>324553.23</v>
      </c>
      <c r="H235" s="14">
        <f>data!BE61</f>
        <v>870221.74</v>
      </c>
      <c r="I235" s="14">
        <f>data!BF61</f>
        <v>1119571.6700000002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39016</v>
      </c>
      <c r="E236" s="14">
        <f>data!BB62</f>
        <v>0</v>
      </c>
      <c r="F236" s="14">
        <f>data!BC62</f>
        <v>0</v>
      </c>
      <c r="G236" s="14">
        <f>data!BD62</f>
        <v>109085</v>
      </c>
      <c r="H236" s="14">
        <f>data!BE62</f>
        <v>294822</v>
      </c>
      <c r="I236" s="14">
        <f>data!BF62</f>
        <v>457979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62811.78</v>
      </c>
      <c r="E238" s="14">
        <f>data!BB64</f>
        <v>0</v>
      </c>
      <c r="F238" s="14">
        <f>data!BC64</f>
        <v>0</v>
      </c>
      <c r="G238" s="14">
        <f>data!BD64</f>
        <v>4000.9800000000005</v>
      </c>
      <c r="H238" s="14">
        <f>data!BE64</f>
        <v>80910.960000000006</v>
      </c>
      <c r="I238" s="14">
        <f>data!BF64</f>
        <v>173249.49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2226.88</v>
      </c>
      <c r="H239" s="14">
        <f>data!BE65</f>
        <v>653808.82000000007</v>
      </c>
      <c r="I239" s="14">
        <f>data!BF65</f>
        <v>137894.75999999998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161125.53999999998</v>
      </c>
      <c r="E240" s="14">
        <f>data!BB66</f>
        <v>0</v>
      </c>
      <c r="F240" s="14">
        <f>data!BC66</f>
        <v>0</v>
      </c>
      <c r="G240" s="14">
        <f>data!BD66</f>
        <v>7805.7</v>
      </c>
      <c r="H240" s="14">
        <f>data!BE66</f>
        <v>444008.69000000006</v>
      </c>
      <c r="I240" s="14">
        <f>data!BF66</f>
        <v>68368.860000000015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34836</v>
      </c>
      <c r="E241" s="14">
        <f>data!BB67</f>
        <v>0</v>
      </c>
      <c r="F241" s="14">
        <f>data!BC67</f>
        <v>0</v>
      </c>
      <c r="G241" s="14">
        <f>data!BD67</f>
        <v>81134</v>
      </c>
      <c r="H241" s="14">
        <f>data!BE67</f>
        <v>593052</v>
      </c>
      <c r="I241" s="14">
        <f>data!BF67</f>
        <v>50779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13365.28</v>
      </c>
      <c r="H242" s="14">
        <f>data!BE68</f>
        <v>35089.129999999997</v>
      </c>
      <c r="I242" s="14">
        <f>data!BF68</f>
        <v>3780.01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34891.1</v>
      </c>
      <c r="H243" s="14">
        <f>data!BE69</f>
        <v>18183.82</v>
      </c>
      <c r="I243" s="14">
        <f>data!BF69</f>
        <v>8845.1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-291.52</v>
      </c>
      <c r="H244" s="14">
        <f>-data!BE70</f>
        <v>-3710.79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357906.11</v>
      </c>
      <c r="E245" s="14">
        <f>data!BB71</f>
        <v>0</v>
      </c>
      <c r="F245" s="14">
        <f>data!BC71</f>
        <v>0</v>
      </c>
      <c r="G245" s="14">
        <f>data!BD71</f>
        <v>576770.65</v>
      </c>
      <c r="H245" s="14">
        <f>data!BE71</f>
        <v>2986386.3699999996</v>
      </c>
      <c r="I245" s="14">
        <f>data!BF71</f>
        <v>2020467.8900000004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1458.93</v>
      </c>
      <c r="E252" s="85">
        <f>data!BB76</f>
        <v>0</v>
      </c>
      <c r="F252" s="85">
        <f>data!BC76</f>
        <v>0</v>
      </c>
      <c r="G252" s="85">
        <f>data!BD76</f>
        <v>3397.94</v>
      </c>
      <c r="H252" s="85">
        <f>data!BE76</f>
        <v>24837.25</v>
      </c>
      <c r="I252" s="85">
        <f>data!BF76</f>
        <v>2126.66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1458.93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Public Hospital District No 1 of Mason County, WA, DBA Mason General Hospital and Family of Clinics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5.7786778846153846</v>
      </c>
      <c r="E266" s="26">
        <f>data!BI60</f>
        <v>0</v>
      </c>
      <c r="F266" s="26">
        <f>data!BJ60</f>
        <v>7.0172499999999998</v>
      </c>
      <c r="G266" s="26">
        <f>data!BK60</f>
        <v>21.329288461538461</v>
      </c>
      <c r="H266" s="26">
        <f>data!BL60</f>
        <v>24.482288461538463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458634.8</v>
      </c>
      <c r="E267" s="14">
        <f>data!BI61</f>
        <v>0</v>
      </c>
      <c r="F267" s="14">
        <f>data!BJ61</f>
        <v>508931.9</v>
      </c>
      <c r="G267" s="14">
        <f>data!BK61</f>
        <v>1173770.4999999998</v>
      </c>
      <c r="H267" s="14">
        <f>data!BL61</f>
        <v>1118235.2600000002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153114</v>
      </c>
      <c r="E268" s="14">
        <f>data!BI62</f>
        <v>0</v>
      </c>
      <c r="F268" s="14">
        <f>data!BJ62</f>
        <v>180275</v>
      </c>
      <c r="G268" s="14">
        <f>data!BK62</f>
        <v>457508</v>
      </c>
      <c r="H268" s="14">
        <f>data!BL62</f>
        <v>455776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571930.61999999988</v>
      </c>
      <c r="E270" s="14">
        <f>data!BI64</f>
        <v>0</v>
      </c>
      <c r="F270" s="14">
        <f>data!BJ64</f>
        <v>3951.0400000000004</v>
      </c>
      <c r="G270" s="14">
        <f>data!BK64</f>
        <v>14872.7</v>
      </c>
      <c r="H270" s="14">
        <f>data!BL64</f>
        <v>17139.749999999996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189349.63999999996</v>
      </c>
      <c r="E271" s="14">
        <f>data!BI65</f>
        <v>0</v>
      </c>
      <c r="F271" s="14">
        <f>data!BJ65</f>
        <v>445.1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4153575.3999999994</v>
      </c>
      <c r="E272" s="14">
        <f>data!BI66</f>
        <v>0</v>
      </c>
      <c r="F272" s="14">
        <f>data!BJ66</f>
        <v>7613.39</v>
      </c>
      <c r="G272" s="14">
        <f>data!BK66</f>
        <v>317329.08</v>
      </c>
      <c r="H272" s="14">
        <f>data!BL66</f>
        <v>23249.999999999996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77624</v>
      </c>
      <c r="E273" s="14">
        <f>data!BI67</f>
        <v>0</v>
      </c>
      <c r="F273" s="14">
        <f>data!BJ67</f>
        <v>73292</v>
      </c>
      <c r="G273" s="14">
        <f>data!BK67</f>
        <v>65293</v>
      </c>
      <c r="H273" s="14">
        <f>data!BL67</f>
        <v>51520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5146.0499999999993</v>
      </c>
      <c r="E274" s="14">
        <f>data!BI68</f>
        <v>0</v>
      </c>
      <c r="F274" s="14">
        <f>data!BJ68</f>
        <v>29589.29</v>
      </c>
      <c r="G274" s="14">
        <f>data!BK68</f>
        <v>49725.73000000001</v>
      </c>
      <c r="H274" s="14">
        <f>data!BL68</f>
        <v>7360.4000000000015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55348.7</v>
      </c>
      <c r="E275" s="14">
        <f>data!BI69</f>
        <v>0</v>
      </c>
      <c r="F275" s="14">
        <f>data!BJ69</f>
        <v>144950.81</v>
      </c>
      <c r="G275" s="14">
        <f>data!BK69</f>
        <v>8177.55</v>
      </c>
      <c r="H275" s="14">
        <f>data!BL69</f>
        <v>2928.3199999999997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5664723.209999999</v>
      </c>
      <c r="E277" s="14">
        <f>data!BI71</f>
        <v>0</v>
      </c>
      <c r="F277" s="14">
        <f>data!BJ71</f>
        <v>949048.53</v>
      </c>
      <c r="G277" s="14">
        <f>data!BK71</f>
        <v>2086676.5599999998</v>
      </c>
      <c r="H277" s="14">
        <f>data!BL71</f>
        <v>1676209.7300000002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3250.91</v>
      </c>
      <c r="E284" s="85">
        <f>data!BI76</f>
        <v>0</v>
      </c>
      <c r="F284" s="85">
        <f>data!BJ76</f>
        <v>3069.5</v>
      </c>
      <c r="G284" s="85">
        <f>data!BK76</f>
        <v>2734.5</v>
      </c>
      <c r="H284" s="85">
        <f>data!BL76</f>
        <v>2157.69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3250.91</v>
      </c>
      <c r="E286" s="85">
        <f>data!BI78</f>
        <v>0</v>
      </c>
      <c r="F286" s="213" t="str">
        <f>IF(data!BJ78&gt;0,data!BJ78,"")</f>
        <v>x</v>
      </c>
      <c r="G286" s="85">
        <f>data!BK78</f>
        <v>2734.5</v>
      </c>
      <c r="H286" s="85">
        <f>data!BL78</f>
        <v>2157.69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Public Hospital District No 1 of Mason County, WA, DBA Mason General Hospital and Family of Clinics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12.231028846153846</v>
      </c>
      <c r="D298" s="26">
        <f>data!BO60</f>
        <v>1.672123076923077</v>
      </c>
      <c r="E298" s="26">
        <f>data!BP60</f>
        <v>0</v>
      </c>
      <c r="F298" s="26">
        <f>data!BQ60</f>
        <v>0</v>
      </c>
      <c r="G298" s="26">
        <f>data!BR60</f>
        <v>5.6193317307692308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2185350.9699999997</v>
      </c>
      <c r="D299" s="14">
        <f>data!BO61</f>
        <v>115274.15</v>
      </c>
      <c r="E299" s="14">
        <f>data!BP61</f>
        <v>0</v>
      </c>
      <c r="F299" s="14">
        <f>data!BQ61</f>
        <v>0</v>
      </c>
      <c r="G299" s="14">
        <f>data!BR61</f>
        <v>473704.88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481114</v>
      </c>
      <c r="D300" s="14">
        <f>data!BO62</f>
        <v>48254</v>
      </c>
      <c r="E300" s="14">
        <f>data!BP62</f>
        <v>0</v>
      </c>
      <c r="F300" s="14">
        <f>data!BQ62</f>
        <v>0</v>
      </c>
      <c r="G300" s="14">
        <f>data!BR62</f>
        <v>120357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211537.34000000003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101525.38</v>
      </c>
      <c r="D302" s="14">
        <f>data!BO64</f>
        <v>4905.91</v>
      </c>
      <c r="E302" s="14">
        <f>data!BP64</f>
        <v>3743.09</v>
      </c>
      <c r="F302" s="14">
        <f>data!BQ64</f>
        <v>0</v>
      </c>
      <c r="G302" s="14">
        <f>data!BR64</f>
        <v>38222.18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1824.61</v>
      </c>
      <c r="D303" s="14">
        <f>data!BO65</f>
        <v>1365.69</v>
      </c>
      <c r="E303" s="14">
        <f>data!BP65</f>
        <v>0</v>
      </c>
      <c r="F303" s="14">
        <f>data!BQ65</f>
        <v>0</v>
      </c>
      <c r="G303" s="14">
        <f>data!BR65</f>
        <v>709.57999999999993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981969.25999999978</v>
      </c>
      <c r="D304" s="14">
        <f>data!BO66</f>
        <v>65364.28</v>
      </c>
      <c r="E304" s="14">
        <f>data!BP66</f>
        <v>169974.20999999996</v>
      </c>
      <c r="F304" s="14">
        <f>data!BQ66</f>
        <v>0</v>
      </c>
      <c r="G304" s="14">
        <f>data!BR66</f>
        <v>66154.509999999995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112678</v>
      </c>
      <c r="D305" s="14">
        <f>data!BO67</f>
        <v>6660</v>
      </c>
      <c r="E305" s="14">
        <f>data!BP67</f>
        <v>0</v>
      </c>
      <c r="F305" s="14">
        <f>data!BQ67</f>
        <v>0</v>
      </c>
      <c r="G305" s="14">
        <f>data!BR67</f>
        <v>50772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35144.28</v>
      </c>
      <c r="D306" s="14">
        <f>data!BO68</f>
        <v>4437.42</v>
      </c>
      <c r="E306" s="14">
        <f>data!BP68</f>
        <v>242.82</v>
      </c>
      <c r="F306" s="14">
        <f>data!BQ68</f>
        <v>0</v>
      </c>
      <c r="G306" s="14">
        <f>data!BR68</f>
        <v>26074.46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357326.66000000003</v>
      </c>
      <c r="D307" s="14">
        <f>data!BO69</f>
        <v>2855</v>
      </c>
      <c r="E307" s="14">
        <f>data!BP69</f>
        <v>62431.61</v>
      </c>
      <c r="F307" s="14">
        <f>data!BQ69</f>
        <v>0</v>
      </c>
      <c r="G307" s="14">
        <f>data!BR69</f>
        <v>475392.02000000008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-0.66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4468470.4999999991</v>
      </c>
      <c r="D309" s="14">
        <f>data!BO71</f>
        <v>249116.45</v>
      </c>
      <c r="E309" s="14">
        <f>data!BP71</f>
        <v>236391.72999999998</v>
      </c>
      <c r="F309" s="14">
        <f>data!BQ71</f>
        <v>0</v>
      </c>
      <c r="G309" s="14">
        <f>data!BR71</f>
        <v>1251385.9700000002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4719.0099999999993</v>
      </c>
      <c r="D316" s="85">
        <f>data!BO76</f>
        <v>278.91000000000003</v>
      </c>
      <c r="E316" s="85">
        <f>data!BP76</f>
        <v>0</v>
      </c>
      <c r="F316" s="85">
        <f>data!BQ76</f>
        <v>0</v>
      </c>
      <c r="G316" s="85">
        <f>data!BR76</f>
        <v>2126.35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Public Hospital District No 1 of Mason County, WA, DBA Mason General Hospital and Family of Clinics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20.330269230769229</v>
      </c>
      <c r="E330" s="26">
        <f>data!BW60</f>
        <v>1.9985384615384616</v>
      </c>
      <c r="F330" s="26">
        <f>data!BX60</f>
        <v>0</v>
      </c>
      <c r="G330" s="26">
        <f>data!BY60</f>
        <v>28.788384615384615</v>
      </c>
      <c r="H330" s="26">
        <f>data!BZ60</f>
        <v>0</v>
      </c>
      <c r="I330" s="26">
        <f>data!CA60</f>
        <v>2.1376009615384617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1139337.3900000001</v>
      </c>
      <c r="E331" s="86">
        <f>data!BW61</f>
        <v>159295.58000000002</v>
      </c>
      <c r="F331" s="86">
        <f>data!BX61</f>
        <v>0</v>
      </c>
      <c r="G331" s="86">
        <f>data!BY61</f>
        <v>2921489.4699999997</v>
      </c>
      <c r="H331" s="86">
        <f>data!BZ61</f>
        <v>0</v>
      </c>
      <c r="I331" s="86">
        <f>data!CA61</f>
        <v>202889.47000000003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473070</v>
      </c>
      <c r="E332" s="86">
        <f>data!BW62</f>
        <v>50522</v>
      </c>
      <c r="F332" s="86">
        <f>data!BX62</f>
        <v>0</v>
      </c>
      <c r="G332" s="86">
        <f>data!BY62</f>
        <v>789751</v>
      </c>
      <c r="H332" s="86">
        <f>data!BZ62</f>
        <v>0</v>
      </c>
      <c r="I332" s="86">
        <f>data!CA62</f>
        <v>60179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62762</v>
      </c>
      <c r="E333" s="86">
        <f>data!BW63</f>
        <v>22500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11004.66</v>
      </c>
      <c r="E334" s="86">
        <f>data!BW64</f>
        <v>4966.58</v>
      </c>
      <c r="F334" s="86">
        <f>data!BX64</f>
        <v>0</v>
      </c>
      <c r="G334" s="86">
        <f>data!BY64</f>
        <v>11094.73</v>
      </c>
      <c r="H334" s="86">
        <f>data!BZ64</f>
        <v>0</v>
      </c>
      <c r="I334" s="86">
        <f>data!CA64</f>
        <v>6356.22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4350</v>
      </c>
      <c r="E335" s="86">
        <f>data!BW65</f>
        <v>0</v>
      </c>
      <c r="F335" s="86">
        <f>data!BX65</f>
        <v>0</v>
      </c>
      <c r="G335" s="86">
        <f>data!BY65</f>
        <v>9639.94</v>
      </c>
      <c r="H335" s="86">
        <f>data!BZ65</f>
        <v>0</v>
      </c>
      <c r="I335" s="86">
        <f>data!CA65</f>
        <v>699.64999999999986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288666.76</v>
      </c>
      <c r="E336" s="86">
        <f>data!BW66</f>
        <v>21419.88</v>
      </c>
      <c r="F336" s="86">
        <f>data!BX66</f>
        <v>0</v>
      </c>
      <c r="G336" s="86">
        <f>data!BY66</f>
        <v>70101.14</v>
      </c>
      <c r="H336" s="86">
        <f>data!BZ66</f>
        <v>0</v>
      </c>
      <c r="I336" s="86">
        <f>data!CA66</f>
        <v>20515.93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108521</v>
      </c>
      <c r="E337" s="86">
        <f>data!BW67</f>
        <v>24367</v>
      </c>
      <c r="F337" s="86">
        <f>data!BX67</f>
        <v>0</v>
      </c>
      <c r="G337" s="86">
        <f>data!BY67</f>
        <v>44643</v>
      </c>
      <c r="H337" s="86">
        <f>data!BZ67</f>
        <v>0</v>
      </c>
      <c r="I337" s="86">
        <f>data!CA67</f>
        <v>24976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49085.24</v>
      </c>
      <c r="E338" s="86">
        <f>data!BW68</f>
        <v>182.45</v>
      </c>
      <c r="F338" s="86">
        <f>data!BX68</f>
        <v>0</v>
      </c>
      <c r="G338" s="86">
        <f>data!BY68</f>
        <v>6810.85</v>
      </c>
      <c r="H338" s="86">
        <f>data!BZ68</f>
        <v>0</v>
      </c>
      <c r="I338" s="86">
        <f>data!CA68</f>
        <v>17596.22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13310.13</v>
      </c>
      <c r="E339" s="86">
        <f>data!BW69</f>
        <v>35706.99</v>
      </c>
      <c r="F339" s="86">
        <f>data!BX69</f>
        <v>0</v>
      </c>
      <c r="G339" s="86">
        <f>data!BY69</f>
        <v>14683.4</v>
      </c>
      <c r="H339" s="86">
        <f>data!BZ69</f>
        <v>0</v>
      </c>
      <c r="I339" s="86">
        <f>data!CA69</f>
        <v>12242.67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-34207.83</v>
      </c>
      <c r="E340" s="14">
        <f>-data!BW70</f>
        <v>-2950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2115899.35</v>
      </c>
      <c r="E341" s="14">
        <f>data!BW71</f>
        <v>316010.48000000004</v>
      </c>
      <c r="F341" s="14">
        <f>data!BX71</f>
        <v>0</v>
      </c>
      <c r="G341" s="14">
        <f>data!BY71</f>
        <v>3868213.53</v>
      </c>
      <c r="H341" s="14">
        <f>data!BZ71</f>
        <v>0</v>
      </c>
      <c r="I341" s="14">
        <f>data!CA71</f>
        <v>345455.16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4544.8999999999996</v>
      </c>
      <c r="E348" s="85">
        <f>data!BW76</f>
        <v>1020.52</v>
      </c>
      <c r="F348" s="85">
        <f>data!BX76</f>
        <v>0</v>
      </c>
      <c r="G348" s="85">
        <f>data!BY76</f>
        <v>1869.67</v>
      </c>
      <c r="H348" s="85">
        <f>data!BZ76</f>
        <v>0</v>
      </c>
      <c r="I348" s="85">
        <f>data!CA76</f>
        <v>1046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4544.8999999999996</v>
      </c>
      <c r="E350" s="85">
        <f>data!BW78</f>
        <v>1020.52</v>
      </c>
      <c r="F350" s="85">
        <f>data!BX78</f>
        <v>0</v>
      </c>
      <c r="G350" s="85">
        <f>data!BY78</f>
        <v>1869.67</v>
      </c>
      <c r="H350" s="85">
        <f>data!BZ78</f>
        <v>0</v>
      </c>
      <c r="I350" s="85">
        <f>data!CA78</f>
        <v>1046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Public Hospital District No 1 of Mason County, WA, DBA Mason General Hospital and Family of Clinics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8.2372932692307685</v>
      </c>
      <c r="E362" s="217"/>
      <c r="F362" s="211"/>
      <c r="G362" s="211"/>
      <c r="H362" s="211"/>
      <c r="I362" s="87">
        <f>data!CE60</f>
        <v>586.03615000000013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674981.14</v>
      </c>
      <c r="E363" s="218"/>
      <c r="F363" s="219"/>
      <c r="G363" s="219"/>
      <c r="H363" s="219"/>
      <c r="I363" s="86">
        <f>data!CE61</f>
        <v>50758870.729999989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217182</v>
      </c>
      <c r="E364" s="218"/>
      <c r="F364" s="219"/>
      <c r="G364" s="219"/>
      <c r="H364" s="219"/>
      <c r="I364" s="86">
        <f>data!CE62</f>
        <v>14630646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5938956.7300000004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34758.789999999994</v>
      </c>
      <c r="E366" s="218"/>
      <c r="F366" s="219"/>
      <c r="G366" s="219"/>
      <c r="H366" s="219"/>
      <c r="I366" s="86">
        <f>data!CE64</f>
        <v>13254622.659999998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4631.25</v>
      </c>
      <c r="E367" s="218"/>
      <c r="F367" s="219"/>
      <c r="G367" s="219"/>
      <c r="H367" s="219"/>
      <c r="I367" s="86">
        <f>data!CE65</f>
        <v>1078923.8800000001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384860.95000000007</v>
      </c>
      <c r="E368" s="218"/>
      <c r="F368" s="219"/>
      <c r="G368" s="219"/>
      <c r="H368" s="219"/>
      <c r="I368" s="86">
        <f>data!CE66</f>
        <v>10369997.379999997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95149</v>
      </c>
      <c r="E369" s="218"/>
      <c r="F369" s="219"/>
      <c r="G369" s="219"/>
      <c r="H369" s="219"/>
      <c r="I369" s="86">
        <f>data!CE67</f>
        <v>4975429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38823.35</v>
      </c>
      <c r="E370" s="218"/>
      <c r="F370" s="219"/>
      <c r="G370" s="219"/>
      <c r="H370" s="219"/>
      <c r="I370" s="86">
        <f>data!CE68</f>
        <v>665895.19999999984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46552.44</v>
      </c>
      <c r="E371" s="86">
        <f>data!CD69</f>
        <v>2114349.3199999998</v>
      </c>
      <c r="F371" s="219"/>
      <c r="G371" s="219"/>
      <c r="H371" s="219"/>
      <c r="I371" s="86">
        <f>data!CE69</f>
        <v>3969739.76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1800769.42</v>
      </c>
      <c r="F372" s="220"/>
      <c r="G372" s="220"/>
      <c r="H372" s="220"/>
      <c r="I372" s="14">
        <f>-data!CE70</f>
        <v>-7795300.6799999988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1496938.9200000002</v>
      </c>
      <c r="E373" s="86">
        <f>data!CD71</f>
        <v>313579.89999999991</v>
      </c>
      <c r="F373" s="219"/>
      <c r="G373" s="219"/>
      <c r="H373" s="219"/>
      <c r="I373" s="14">
        <f>data!CE71</f>
        <v>97847780.659999996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-2266077.42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56132907.239999995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207395664.95000002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263528572.19000003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3984.87</v>
      </c>
      <c r="E380" s="214"/>
      <c r="F380" s="211"/>
      <c r="G380" s="211"/>
      <c r="H380" s="211"/>
      <c r="I380" s="14">
        <f>data!CE76</f>
        <v>185453.38000000003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27338.623616236171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135879.47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308263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133.56771105769232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Transmittal!Print_Area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2020-06-29T22:31:27Z</cp:lastPrinted>
  <dcterms:created xsi:type="dcterms:W3CDTF">1999-06-02T22:01:56Z</dcterms:created>
  <dcterms:modified xsi:type="dcterms:W3CDTF">2020-09-11T23:47:33Z</dcterms:modified>
</cp:coreProperties>
</file>