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data!$DR$784:$DR$829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X69" i="1" l="1"/>
  <c r="BV69" i="1"/>
  <c r="AK69" i="1"/>
  <c r="U69" i="1"/>
  <c r="AP69" i="1"/>
  <c r="BW69" i="1"/>
  <c r="BN69" i="1"/>
  <c r="BE69" i="1"/>
  <c r="BC69" i="1"/>
  <c r="AJ69" i="1"/>
  <c r="AB69" i="1"/>
  <c r="S69" i="1"/>
  <c r="G69" i="1"/>
  <c r="BE66" i="1"/>
  <c r="BX66" i="1"/>
  <c r="BX65" i="1"/>
  <c r="BX64" i="1"/>
  <c r="BX61" i="1"/>
  <c r="BN61" i="1"/>
  <c r="BN70" i="1"/>
  <c r="BN68" i="1"/>
  <c r="BN66" i="1"/>
  <c r="BN65" i="1"/>
  <c r="BN64" i="1"/>
  <c r="BN63" i="1"/>
  <c r="BE70" i="1"/>
  <c r="BE65" i="1"/>
  <c r="BE64" i="1"/>
  <c r="BE61" i="1"/>
  <c r="BE68" i="1"/>
  <c r="BW66" i="1"/>
  <c r="BW65" i="1"/>
  <c r="BW64" i="1"/>
  <c r="BW61" i="1"/>
  <c r="BW68" i="1"/>
  <c r="BW63" i="1"/>
  <c r="AP74" i="1"/>
  <c r="AP68" i="1"/>
  <c r="AP66" i="1"/>
  <c r="AP65" i="1"/>
  <c r="AP64" i="1"/>
  <c r="AP61" i="1"/>
  <c r="AP70" i="1"/>
  <c r="AJ70" i="1"/>
  <c r="AJ64" i="1"/>
  <c r="AJ61" i="1"/>
  <c r="AJ68" i="1"/>
  <c r="AJ66" i="1"/>
  <c r="AJ65" i="1"/>
  <c r="AJ63" i="1"/>
  <c r="AJ74" i="1"/>
  <c r="AE70" i="1"/>
  <c r="AE69" i="1"/>
  <c r="AE68" i="1"/>
  <c r="AE66" i="1"/>
  <c r="AE64" i="1"/>
  <c r="AE61" i="1"/>
  <c r="BS66" i="1" l="1"/>
  <c r="BP70" i="1"/>
  <c r="BP66" i="1"/>
  <c r="BP64" i="1"/>
  <c r="BL66" i="1"/>
  <c r="BK66" i="1"/>
  <c r="BG66" i="1"/>
  <c r="BF66" i="1"/>
  <c r="BC66" i="1"/>
  <c r="BA66" i="1"/>
  <c r="AY66" i="1"/>
  <c r="AM66" i="1"/>
  <c r="AK66" i="1"/>
  <c r="AB66" i="1"/>
  <c r="Y73" i="1"/>
  <c r="G66" i="1"/>
  <c r="AJ59" i="1"/>
  <c r="D213" i="1" l="1"/>
  <c r="C213" i="1"/>
  <c r="C203" i="1"/>
  <c r="C200" i="1"/>
  <c r="C171" i="1"/>
  <c r="C170" i="1"/>
  <c r="C276" i="1"/>
  <c r="C274" i="1"/>
  <c r="C272" i="1"/>
  <c r="C389" i="1"/>
  <c r="C387" i="1"/>
  <c r="C383" i="1"/>
  <c r="C228" i="1" l="1"/>
  <c r="C224" i="1"/>
  <c r="C223" i="1"/>
  <c r="C332" i="1"/>
  <c r="C312" i="1"/>
  <c r="C253" i="1"/>
  <c r="D142" i="1" l="1"/>
  <c r="D141" i="1"/>
  <c r="C615" i="10" l="1"/>
  <c r="E550" i="10"/>
  <c r="E546" i="10"/>
  <c r="F546" i="10"/>
  <c r="F545" i="10"/>
  <c r="E545" i="10"/>
  <c r="E544" i="10"/>
  <c r="F544" i="10"/>
  <c r="E540" i="10"/>
  <c r="E539" i="10"/>
  <c r="H539" i="10"/>
  <c r="H538" i="10"/>
  <c r="F538" i="10"/>
  <c r="E538" i="10"/>
  <c r="E537" i="10"/>
  <c r="F537" i="10"/>
  <c r="H536" i="10"/>
  <c r="F536" i="10"/>
  <c r="E536" i="10"/>
  <c r="E535" i="10"/>
  <c r="F535" i="10"/>
  <c r="E534" i="10"/>
  <c r="H534" i="10"/>
  <c r="H533" i="10"/>
  <c r="F533" i="10"/>
  <c r="E533" i="10"/>
  <c r="E532" i="10"/>
  <c r="E531" i="10"/>
  <c r="F531" i="10"/>
  <c r="F530" i="10"/>
  <c r="E530" i="10"/>
  <c r="E529" i="10"/>
  <c r="F529" i="10"/>
  <c r="H528" i="10"/>
  <c r="F528" i="10"/>
  <c r="E528" i="10"/>
  <c r="H527" i="10"/>
  <c r="E527" i="10"/>
  <c r="F527" i="10"/>
  <c r="E526" i="10"/>
  <c r="H526" i="10"/>
  <c r="F525" i="10"/>
  <c r="E525" i="10"/>
  <c r="E524" i="10"/>
  <c r="F523" i="10"/>
  <c r="E523" i="10"/>
  <c r="H523" i="10"/>
  <c r="F522" i="10"/>
  <c r="E522" i="10"/>
  <c r="F521" i="10"/>
  <c r="E520" i="10"/>
  <c r="H520" i="10"/>
  <c r="H519" i="10"/>
  <c r="F519" i="10"/>
  <c r="E519" i="10"/>
  <c r="E518" i="10"/>
  <c r="F517" i="10"/>
  <c r="E517" i="10"/>
  <c r="H517" i="10"/>
  <c r="H516" i="10"/>
  <c r="F516" i="10"/>
  <c r="E516" i="10"/>
  <c r="E515" i="10"/>
  <c r="F515" i="10"/>
  <c r="F514" i="10"/>
  <c r="E514" i="10"/>
  <c r="H513" i="10"/>
  <c r="F513" i="10"/>
  <c r="F512" i="10"/>
  <c r="E511" i="10"/>
  <c r="F511" i="10"/>
  <c r="H510" i="10"/>
  <c r="F510" i="10"/>
  <c r="E510" i="10"/>
  <c r="H509" i="10"/>
  <c r="E509" i="10"/>
  <c r="F509" i="10"/>
  <c r="E508" i="10"/>
  <c r="H508" i="10"/>
  <c r="H507" i="10"/>
  <c r="F507" i="10"/>
  <c r="E507" i="10"/>
  <c r="E506" i="10"/>
  <c r="F505" i="10"/>
  <c r="E505" i="10"/>
  <c r="H505" i="10"/>
  <c r="H504" i="10"/>
  <c r="F504" i="10"/>
  <c r="E504" i="10"/>
  <c r="E503" i="10"/>
  <c r="F503" i="10"/>
  <c r="H502" i="10"/>
  <c r="F502" i="10"/>
  <c r="E502" i="10"/>
  <c r="H501" i="10"/>
  <c r="E501" i="10"/>
  <c r="F501" i="10"/>
  <c r="E500" i="10"/>
  <c r="H499" i="10"/>
  <c r="F499" i="10"/>
  <c r="E499" i="10"/>
  <c r="E498" i="10"/>
  <c r="F497" i="10"/>
  <c r="E497" i="10"/>
  <c r="H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B465" i="10" s="1"/>
  <c r="C332" i="10"/>
  <c r="D329" i="10"/>
  <c r="D328" i="10"/>
  <c r="D319" i="10"/>
  <c r="C312" i="10"/>
  <c r="D314" i="10" s="1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D217" i="10"/>
  <c r="C217" i="10"/>
  <c r="D433" i="10" s="1"/>
  <c r="B217" i="10"/>
  <c r="E216" i="10"/>
  <c r="E215" i="10"/>
  <c r="E214" i="10"/>
  <c r="C213" i="10"/>
  <c r="E213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D463" i="10" s="1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E61" i="10"/>
  <c r="C427" i="10" s="1"/>
  <c r="CE60" i="10"/>
  <c r="H612" i="10" s="1"/>
  <c r="B53" i="10"/>
  <c r="CE51" i="10"/>
  <c r="B49" i="10"/>
  <c r="CB48" i="10"/>
  <c r="CB62" i="10" s="1"/>
  <c r="CA48" i="10"/>
  <c r="CA62" i="10" s="1"/>
  <c r="BX48" i="10"/>
  <c r="BX62" i="10" s="1"/>
  <c r="BV48" i="10"/>
  <c r="BV62" i="10" s="1"/>
  <c r="BT48" i="10"/>
  <c r="BT62" i="10" s="1"/>
  <c r="BS48" i="10"/>
  <c r="BS62" i="10" s="1"/>
  <c r="BP48" i="10"/>
  <c r="BP62" i="10" s="1"/>
  <c r="BN48" i="10"/>
  <c r="BN62" i="10" s="1"/>
  <c r="BL48" i="10"/>
  <c r="BL62" i="10" s="1"/>
  <c r="BK48" i="10"/>
  <c r="BK62" i="10" s="1"/>
  <c r="BH48" i="10"/>
  <c r="BH62" i="10" s="1"/>
  <c r="BF48" i="10"/>
  <c r="BF62" i="10" s="1"/>
  <c r="BD48" i="10"/>
  <c r="BD62" i="10" s="1"/>
  <c r="BC48" i="10"/>
  <c r="BC62" i="10" s="1"/>
  <c r="AZ48" i="10"/>
  <c r="AZ62" i="10" s="1"/>
  <c r="AX48" i="10"/>
  <c r="AX62" i="10" s="1"/>
  <c r="AV48" i="10"/>
  <c r="AV62" i="10" s="1"/>
  <c r="AU48" i="10"/>
  <c r="AU62" i="10" s="1"/>
  <c r="AR48" i="10"/>
  <c r="AR62" i="10" s="1"/>
  <c r="AP48" i="10"/>
  <c r="AP62" i="10" s="1"/>
  <c r="AN48" i="10"/>
  <c r="AN62" i="10" s="1"/>
  <c r="AM48" i="10"/>
  <c r="AM62" i="10" s="1"/>
  <c r="AJ48" i="10"/>
  <c r="AJ62" i="10" s="1"/>
  <c r="AH48" i="10"/>
  <c r="AH62" i="10" s="1"/>
  <c r="AF48" i="10"/>
  <c r="AF62" i="10" s="1"/>
  <c r="AE48" i="10"/>
  <c r="AE62" i="10" s="1"/>
  <c r="AB48" i="10"/>
  <c r="AB62" i="10" s="1"/>
  <c r="Z48" i="10"/>
  <c r="Z62" i="10" s="1"/>
  <c r="X48" i="10"/>
  <c r="X62" i="10" s="1"/>
  <c r="W48" i="10"/>
  <c r="W62" i="10" s="1"/>
  <c r="T48" i="10"/>
  <c r="T62" i="10" s="1"/>
  <c r="R48" i="10"/>
  <c r="R62" i="10" s="1"/>
  <c r="P48" i="10"/>
  <c r="P62" i="10" s="1"/>
  <c r="O48" i="10"/>
  <c r="O62" i="10" s="1"/>
  <c r="L48" i="10"/>
  <c r="L62" i="10" s="1"/>
  <c r="J48" i="10"/>
  <c r="J62" i="10" s="1"/>
  <c r="H48" i="10"/>
  <c r="H62" i="10" s="1"/>
  <c r="G48" i="10"/>
  <c r="G62" i="10" s="1"/>
  <c r="D48" i="10"/>
  <c r="D62" i="10" s="1"/>
  <c r="CE47" i="10"/>
  <c r="CE75" i="10" l="1"/>
  <c r="E217" i="10"/>
  <c r="C478" i="10" s="1"/>
  <c r="CF76" i="10"/>
  <c r="AD52" i="10" s="1"/>
  <c r="AD67" i="10" s="1"/>
  <c r="D277" i="10"/>
  <c r="C465" i="10"/>
  <c r="K612" i="10"/>
  <c r="H498" i="10"/>
  <c r="F498" i="10"/>
  <c r="M48" i="10"/>
  <c r="M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K52" i="10"/>
  <c r="K67" i="10" s="1"/>
  <c r="BW52" i="10"/>
  <c r="BW67" i="10" s="1"/>
  <c r="D464" i="10"/>
  <c r="F518" i="10"/>
  <c r="E48" i="10"/>
  <c r="E62" i="10" s="1"/>
  <c r="U48" i="10"/>
  <c r="U62" i="10" s="1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L52" i="10"/>
  <c r="L67" i="10" s="1"/>
  <c r="L71" i="10" s="1"/>
  <c r="BX52" i="10"/>
  <c r="BX67" i="10" s="1"/>
  <c r="BX71" i="10" s="1"/>
  <c r="C458" i="10"/>
  <c r="D242" i="10"/>
  <c r="B448" i="10" s="1"/>
  <c r="B444" i="10"/>
  <c r="D368" i="10"/>
  <c r="D373" i="10" s="1"/>
  <c r="D391" i="10" s="1"/>
  <c r="D393" i="10" s="1"/>
  <c r="D396" i="10" s="1"/>
  <c r="H506" i="10"/>
  <c r="F506" i="10"/>
  <c r="F550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BC52" i="10"/>
  <c r="BC67" i="10" s="1"/>
  <c r="BC71" i="10" s="1"/>
  <c r="F612" i="10"/>
  <c r="C430" i="10"/>
  <c r="D465" i="10"/>
  <c r="E204" i="10"/>
  <c r="C476" i="10" s="1"/>
  <c r="D339" i="10"/>
  <c r="C482" i="10" s="1"/>
  <c r="C48" i="10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AW52" i="10"/>
  <c r="AW67" i="10" s="1"/>
  <c r="D292" i="10"/>
  <c r="D341" i="10" s="1"/>
  <c r="C481" i="10" s="1"/>
  <c r="D330" i="10"/>
  <c r="F524" i="10"/>
  <c r="F532" i="10"/>
  <c r="H540" i="10"/>
  <c r="F540" i="10"/>
  <c r="H503" i="10"/>
  <c r="H511" i="10"/>
  <c r="H515" i="10"/>
  <c r="H537" i="10"/>
  <c r="F500" i="10"/>
  <c r="F508" i="10"/>
  <c r="F520" i="10"/>
  <c r="F526" i="10"/>
  <c r="F534" i="10"/>
  <c r="CF77" i="10"/>
  <c r="D438" i="10"/>
  <c r="F539" i="10"/>
  <c r="F493" i="1"/>
  <c r="D493" i="1"/>
  <c r="B493" i="1"/>
  <c r="B575" i="1"/>
  <c r="AO52" i="10" l="1"/>
  <c r="AO67" i="10" s="1"/>
  <c r="AO71" i="10" s="1"/>
  <c r="AU52" i="10"/>
  <c r="AU67" i="10" s="1"/>
  <c r="AU71" i="10" s="1"/>
  <c r="C712" i="10" s="1"/>
  <c r="BP52" i="10"/>
  <c r="BP67" i="10" s="1"/>
  <c r="BP71" i="10" s="1"/>
  <c r="D52" i="10"/>
  <c r="D67" i="10" s="1"/>
  <c r="D71" i="10" s="1"/>
  <c r="V71" i="10"/>
  <c r="C687" i="10" s="1"/>
  <c r="BO52" i="10"/>
  <c r="BO67" i="10" s="1"/>
  <c r="C52" i="10"/>
  <c r="E52" i="10"/>
  <c r="E67" i="10" s="1"/>
  <c r="BJ52" i="10"/>
  <c r="BJ67" i="10" s="1"/>
  <c r="BJ71" i="10" s="1"/>
  <c r="AG52" i="10"/>
  <c r="AG67" i="10" s="1"/>
  <c r="AM52" i="10"/>
  <c r="AM67" i="10" s="1"/>
  <c r="AM71" i="10" s="1"/>
  <c r="BH52" i="10"/>
  <c r="BH67" i="10" s="1"/>
  <c r="BH71" i="10" s="1"/>
  <c r="N71" i="10"/>
  <c r="C679" i="10" s="1"/>
  <c r="BG52" i="10"/>
  <c r="BG67" i="10" s="1"/>
  <c r="BG71" i="10" s="1"/>
  <c r="BY71" i="10"/>
  <c r="C645" i="10" s="1"/>
  <c r="BR52" i="10"/>
  <c r="BR67" i="10" s="1"/>
  <c r="BN52" i="10"/>
  <c r="BN67" i="10" s="1"/>
  <c r="BN71" i="10" s="1"/>
  <c r="AT52" i="10"/>
  <c r="AT67" i="10" s="1"/>
  <c r="AT71" i="10" s="1"/>
  <c r="C711" i="10" s="1"/>
  <c r="Y52" i="10"/>
  <c r="Y67" i="10" s="1"/>
  <c r="Y71" i="10" s="1"/>
  <c r="C518" i="10" s="1"/>
  <c r="AE52" i="10"/>
  <c r="AE67" i="10" s="1"/>
  <c r="AE71" i="10" s="1"/>
  <c r="C524" i="10" s="1"/>
  <c r="AZ52" i="10"/>
  <c r="AZ67" i="10" s="1"/>
  <c r="AZ71" i="10" s="1"/>
  <c r="BR71" i="10"/>
  <c r="AY52" i="10"/>
  <c r="AY67" i="10" s="1"/>
  <c r="AY71" i="10" s="1"/>
  <c r="BB52" i="10"/>
  <c r="BB67" i="10" s="1"/>
  <c r="AX52" i="10"/>
  <c r="AX67" i="10" s="1"/>
  <c r="AX71" i="10" s="1"/>
  <c r="I71" i="10"/>
  <c r="C674" i="10" s="1"/>
  <c r="AD71" i="10"/>
  <c r="C695" i="10" s="1"/>
  <c r="CC52" i="10"/>
  <c r="CC67" i="10" s="1"/>
  <c r="BI52" i="10"/>
  <c r="BI67" i="10" s="1"/>
  <c r="BI71" i="10" s="1"/>
  <c r="M52" i="10"/>
  <c r="M67" i="10" s="1"/>
  <c r="M71" i="10" s="1"/>
  <c r="AV52" i="10"/>
  <c r="AV67" i="10" s="1"/>
  <c r="AV71" i="10" s="1"/>
  <c r="P52" i="10"/>
  <c r="P67" i="10" s="1"/>
  <c r="P71" i="10" s="1"/>
  <c r="CB52" i="10"/>
  <c r="CB67" i="10" s="1"/>
  <c r="CB71" i="10" s="1"/>
  <c r="B573" i="1" s="1"/>
  <c r="BL52" i="10"/>
  <c r="BL67" i="10" s="1"/>
  <c r="BL71" i="10" s="1"/>
  <c r="AF52" i="10"/>
  <c r="AF67" i="10" s="1"/>
  <c r="AF71" i="10" s="1"/>
  <c r="BY52" i="10"/>
  <c r="BY67" i="10" s="1"/>
  <c r="AS52" i="10"/>
  <c r="AS67" i="10" s="1"/>
  <c r="BV52" i="10"/>
  <c r="BV67" i="10" s="1"/>
  <c r="BV71" i="10" s="1"/>
  <c r="BF52" i="10"/>
  <c r="BF67" i="10" s="1"/>
  <c r="BF71" i="10" s="1"/>
  <c r="AP52" i="10"/>
  <c r="AP67" i="10" s="1"/>
  <c r="AP71" i="10" s="1"/>
  <c r="Z52" i="10"/>
  <c r="Z67" i="10" s="1"/>
  <c r="Z71" i="10" s="1"/>
  <c r="J52" i="10"/>
  <c r="J67" i="10" s="1"/>
  <c r="J71" i="10" s="1"/>
  <c r="BT52" i="10"/>
  <c r="BT67" i="10" s="1"/>
  <c r="BT71" i="10" s="1"/>
  <c r="BD52" i="10"/>
  <c r="BD67" i="10" s="1"/>
  <c r="BD71" i="10" s="1"/>
  <c r="AN52" i="10"/>
  <c r="AN67" i="10" s="1"/>
  <c r="AN71" i="10" s="1"/>
  <c r="X52" i="10"/>
  <c r="X67" i="10" s="1"/>
  <c r="X71" i="10" s="1"/>
  <c r="H52" i="10"/>
  <c r="H67" i="10" s="1"/>
  <c r="H71" i="10" s="1"/>
  <c r="AC52" i="10"/>
  <c r="AC67" i="10" s="1"/>
  <c r="Q52" i="10"/>
  <c r="Q67" i="10" s="1"/>
  <c r="Q71" i="10" s="1"/>
  <c r="AA71" i="10"/>
  <c r="C520" i="10" s="1"/>
  <c r="G520" i="10" s="1"/>
  <c r="W52" i="10"/>
  <c r="W67" i="10" s="1"/>
  <c r="W71" i="10" s="1"/>
  <c r="C688" i="10" s="1"/>
  <c r="AR52" i="10"/>
  <c r="AR67" i="10" s="1"/>
  <c r="AR71" i="10" s="1"/>
  <c r="U71" i="10"/>
  <c r="AQ52" i="10"/>
  <c r="AQ67" i="10" s="1"/>
  <c r="AQ71" i="10" s="1"/>
  <c r="C536" i="10" s="1"/>
  <c r="G536" i="10" s="1"/>
  <c r="AL52" i="10"/>
  <c r="AL67" i="10" s="1"/>
  <c r="AL71" i="10" s="1"/>
  <c r="AH52" i="10"/>
  <c r="AH67" i="10" s="1"/>
  <c r="AH71" i="10" s="1"/>
  <c r="N52" i="10"/>
  <c r="N67" i="10" s="1"/>
  <c r="AC71" i="10"/>
  <c r="BZ52" i="10"/>
  <c r="BZ67" i="10" s="1"/>
  <c r="BZ71" i="10" s="1"/>
  <c r="BU52" i="10"/>
  <c r="BU67" i="10" s="1"/>
  <c r="BU71" i="10" s="1"/>
  <c r="C641" i="10" s="1"/>
  <c r="I52" i="10"/>
  <c r="I67" i="10" s="1"/>
  <c r="S71" i="10"/>
  <c r="C684" i="10" s="1"/>
  <c r="CA52" i="10"/>
  <c r="CA67" i="10" s="1"/>
  <c r="CA71" i="10" s="1"/>
  <c r="C572" i="10" s="1"/>
  <c r="O52" i="10"/>
  <c r="O67" i="10" s="1"/>
  <c r="O71" i="10" s="1"/>
  <c r="AJ52" i="10"/>
  <c r="AJ67" i="10" s="1"/>
  <c r="AJ71" i="10" s="1"/>
  <c r="BB71" i="10"/>
  <c r="E71" i="10"/>
  <c r="AI52" i="10"/>
  <c r="AI67" i="10" s="1"/>
  <c r="V52" i="10"/>
  <c r="V67" i="10" s="1"/>
  <c r="BQ52" i="10"/>
  <c r="BQ67" i="10" s="1"/>
  <c r="BQ71" i="10" s="1"/>
  <c r="R52" i="10"/>
  <c r="R67" i="10" s="1"/>
  <c r="R71" i="10" s="1"/>
  <c r="C683" i="10" s="1"/>
  <c r="U52" i="10"/>
  <c r="U67" i="10" s="1"/>
  <c r="BM52" i="10"/>
  <c r="BM67" i="10" s="1"/>
  <c r="BW71" i="10"/>
  <c r="K71" i="10"/>
  <c r="BS52" i="10"/>
  <c r="BS67" i="10" s="1"/>
  <c r="BS71" i="10" s="1"/>
  <c r="G52" i="10"/>
  <c r="AB52" i="10"/>
  <c r="AB67" i="10" s="1"/>
  <c r="AB71" i="10" s="1"/>
  <c r="C693" i="10" s="1"/>
  <c r="AA52" i="10"/>
  <c r="AA67" i="10" s="1"/>
  <c r="AS71" i="10"/>
  <c r="C538" i="10" s="1"/>
  <c r="G538" i="10" s="1"/>
  <c r="F52" i="10"/>
  <c r="F67" i="10" s="1"/>
  <c r="F71" i="10" s="1"/>
  <c r="C671" i="10" s="1"/>
  <c r="BA52" i="10"/>
  <c r="BA67" i="10" s="1"/>
  <c r="BA71" i="10" s="1"/>
  <c r="BE52" i="10"/>
  <c r="BE67" i="10" s="1"/>
  <c r="BE71" i="10" s="1"/>
  <c r="BK52" i="10"/>
  <c r="BK67" i="10" s="1"/>
  <c r="BK71" i="10" s="1"/>
  <c r="CC71" i="10"/>
  <c r="C574" i="10" s="1"/>
  <c r="T52" i="10"/>
  <c r="T67" i="10" s="1"/>
  <c r="T71" i="10" s="1"/>
  <c r="S52" i="10"/>
  <c r="S67" i="10" s="1"/>
  <c r="AK52" i="10"/>
  <c r="AK67" i="10" s="1"/>
  <c r="AK71" i="10" s="1"/>
  <c r="C545" i="10"/>
  <c r="C628" i="10"/>
  <c r="C696" i="10"/>
  <c r="C516" i="10"/>
  <c r="G516" i="10" s="1"/>
  <c r="C709" i="10"/>
  <c r="C537" i="10"/>
  <c r="G537" i="10" s="1"/>
  <c r="C680" i="10"/>
  <c r="C508" i="10"/>
  <c r="G508" i="10" s="1"/>
  <c r="C639" i="10"/>
  <c r="C564" i="10"/>
  <c r="C521" i="10"/>
  <c r="C704" i="10"/>
  <c r="C532" i="10"/>
  <c r="C701" i="10"/>
  <c r="C529" i="10"/>
  <c r="C685" i="10"/>
  <c r="C513" i="10"/>
  <c r="G513" i="10" s="1"/>
  <c r="C548" i="10"/>
  <c r="C633" i="10"/>
  <c r="C644" i="10"/>
  <c r="C569" i="10"/>
  <c r="C677" i="10"/>
  <c r="C505" i="10"/>
  <c r="G505" i="10" s="1"/>
  <c r="C621" i="10"/>
  <c r="C561" i="10"/>
  <c r="C669" i="10"/>
  <c r="C497" i="10"/>
  <c r="G497" i="10" s="1"/>
  <c r="C699" i="10"/>
  <c r="C527" i="10"/>
  <c r="G527" i="10" s="1"/>
  <c r="C553" i="10"/>
  <c r="C636" i="10"/>
  <c r="AI71" i="10"/>
  <c r="AW71" i="10"/>
  <c r="C710" i="10"/>
  <c r="C692" i="10"/>
  <c r="AG71" i="10"/>
  <c r="C507" i="10"/>
  <c r="G507" i="10" s="1"/>
  <c r="C694" i="10"/>
  <c r="C522" i="10"/>
  <c r="C626" i="10"/>
  <c r="C563" i="10"/>
  <c r="C635" i="10"/>
  <c r="C556" i="10"/>
  <c r="C504" i="10"/>
  <c r="G504" i="10" s="1"/>
  <c r="C676" i="10"/>
  <c r="C67" i="10"/>
  <c r="BO71" i="10"/>
  <c r="C62" i="10"/>
  <c r="CE48" i="10"/>
  <c r="C570" i="10"/>
  <c r="C566" i="10"/>
  <c r="C619" i="10"/>
  <c r="C559" i="10"/>
  <c r="C502" i="10"/>
  <c r="G502" i="10" s="1"/>
  <c r="C632" i="10"/>
  <c r="C547" i="10"/>
  <c r="BM71" i="10"/>
  <c r="C539" i="10"/>
  <c r="G539" i="10" s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P48" i="1" s="1"/>
  <c r="BP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AU75" i="1"/>
  <c r="E218" i="9" s="1"/>
  <c r="AQ75" i="1"/>
  <c r="H186" i="9" s="1"/>
  <c r="AO75" i="1"/>
  <c r="AN75" i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AJ75" i="1"/>
  <c r="AL75" i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29" i="1"/>
  <c r="C432" i="1"/>
  <c r="C434" i="1"/>
  <c r="B438" i="1"/>
  <c r="B440" i="1" s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473" i="1"/>
  <c r="F12" i="6"/>
  <c r="I26" i="9"/>
  <c r="F90" i="9"/>
  <c r="C218" i="9"/>
  <c r="D366" i="9"/>
  <c r="CE64" i="1"/>
  <c r="F612" i="1" s="1"/>
  <c r="D368" i="9"/>
  <c r="C276" i="9"/>
  <c r="CE70" i="1"/>
  <c r="C458" i="1" s="1"/>
  <c r="CE76" i="1"/>
  <c r="D612" i="1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CD71" i="1"/>
  <c r="E373" i="9" s="1"/>
  <c r="C615" i="1"/>
  <c r="E372" i="9"/>
  <c r="C421" i="1" l="1"/>
  <c r="C470" i="1"/>
  <c r="C575" i="1"/>
  <c r="C464" i="1"/>
  <c r="C440" i="1"/>
  <c r="N48" i="1"/>
  <c r="N62" i="1" s="1"/>
  <c r="G44" i="9" s="1"/>
  <c r="L48" i="1"/>
  <c r="L62" i="1" s="1"/>
  <c r="BM48" i="1"/>
  <c r="BM62" i="1" s="1"/>
  <c r="I372" i="9"/>
  <c r="C430" i="1"/>
  <c r="I366" i="9"/>
  <c r="Y48" i="1"/>
  <c r="Y62" i="1" s="1"/>
  <c r="AJ48" i="1"/>
  <c r="AJ62" i="1" s="1"/>
  <c r="BF48" i="1"/>
  <c r="BF62" i="1" s="1"/>
  <c r="BL48" i="1"/>
  <c r="BL62" i="1" s="1"/>
  <c r="AM48" i="1"/>
  <c r="AM62" i="1" s="1"/>
  <c r="D172" i="9" s="1"/>
  <c r="AF48" i="1"/>
  <c r="AF62" i="1" s="1"/>
  <c r="D140" i="9" s="1"/>
  <c r="M48" i="1"/>
  <c r="M62" i="1" s="1"/>
  <c r="F44" i="9" s="1"/>
  <c r="AQ48" i="1"/>
  <c r="AQ62" i="1" s="1"/>
  <c r="AU48" i="1"/>
  <c r="AU62" i="1" s="1"/>
  <c r="D428" i="1"/>
  <c r="C34" i="5"/>
  <c r="B441" i="1"/>
  <c r="D13" i="7"/>
  <c r="D5" i="7"/>
  <c r="C84" i="8"/>
  <c r="CF76" i="1"/>
  <c r="AB52" i="1" s="1"/>
  <c r="AB67" i="1" s="1"/>
  <c r="I380" i="9"/>
  <c r="D463" i="1"/>
  <c r="G10" i="4"/>
  <c r="B10" i="4"/>
  <c r="F8" i="6"/>
  <c r="G612" i="1"/>
  <c r="CF77" i="1"/>
  <c r="E300" i="9"/>
  <c r="C678" i="10"/>
  <c r="C506" i="10"/>
  <c r="G506" i="10" s="1"/>
  <c r="C614" i="10"/>
  <c r="C550" i="10"/>
  <c r="C186" i="9"/>
  <c r="C708" i="10"/>
  <c r="C562" i="10"/>
  <c r="C623" i="10"/>
  <c r="C689" i="10"/>
  <c r="C517" i="10"/>
  <c r="G517" i="10" s="1"/>
  <c r="C567" i="10"/>
  <c r="C642" i="10"/>
  <c r="C552" i="10"/>
  <c r="C618" i="10"/>
  <c r="V48" i="1"/>
  <c r="V62" i="1" s="1"/>
  <c r="G122" i="9"/>
  <c r="G19" i="4"/>
  <c r="F19" i="4"/>
  <c r="C499" i="10"/>
  <c r="G499" i="10" s="1"/>
  <c r="C515" i="10"/>
  <c r="G515" i="10" s="1"/>
  <c r="G67" i="10"/>
  <c r="G71" i="10" s="1"/>
  <c r="CE52" i="10"/>
  <c r="C514" i="10"/>
  <c r="H514" i="10" s="1"/>
  <c r="C686" i="10"/>
  <c r="C554" i="10"/>
  <c r="C634" i="10"/>
  <c r="C415" i="1"/>
  <c r="C10" i="4"/>
  <c r="G186" i="9"/>
  <c r="D218" i="9"/>
  <c r="C690" i="10"/>
  <c r="BK48" i="1"/>
  <c r="BK62" i="1" s="1"/>
  <c r="X48" i="1"/>
  <c r="X62" i="1" s="1"/>
  <c r="AE48" i="1"/>
  <c r="AE62" i="1" s="1"/>
  <c r="E48" i="1"/>
  <c r="E62" i="1" s="1"/>
  <c r="BW48" i="1"/>
  <c r="BW62" i="1" s="1"/>
  <c r="AI48" i="1"/>
  <c r="AI62" i="1" s="1"/>
  <c r="BV48" i="1"/>
  <c r="BV62" i="1" s="1"/>
  <c r="AZ48" i="1"/>
  <c r="AZ62" i="1" s="1"/>
  <c r="AP48" i="1"/>
  <c r="AP62" i="1" s="1"/>
  <c r="G172" i="9" s="1"/>
  <c r="J48" i="1"/>
  <c r="J62" i="1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G204" i="9" s="1"/>
  <c r="Q48" i="1"/>
  <c r="Q62" i="1" s="1"/>
  <c r="BT48" i="1"/>
  <c r="BT62" i="1" s="1"/>
  <c r="BJ48" i="1"/>
  <c r="BJ62" i="1" s="1"/>
  <c r="AN48" i="1"/>
  <c r="AN62" i="1" s="1"/>
  <c r="AD48" i="1"/>
  <c r="AD62" i="1" s="1"/>
  <c r="W48" i="1"/>
  <c r="W62" i="1" s="1"/>
  <c r="I76" i="9" s="1"/>
  <c r="BA48" i="1"/>
  <c r="BA62" i="1" s="1"/>
  <c r="BU48" i="1"/>
  <c r="BU62" i="1" s="1"/>
  <c r="AO48" i="1"/>
  <c r="AO62" i="1" s="1"/>
  <c r="BO48" i="1"/>
  <c r="BO62" i="1" s="1"/>
  <c r="AA48" i="1"/>
  <c r="AA62" i="1" s="1"/>
  <c r="F108" i="9" s="1"/>
  <c r="BH48" i="1"/>
  <c r="BH62" i="1" s="1"/>
  <c r="AX48" i="1"/>
  <c r="AX62" i="1" s="1"/>
  <c r="Z48" i="1"/>
  <c r="Z62" i="1" s="1"/>
  <c r="F48" i="1"/>
  <c r="F62" i="1" s="1"/>
  <c r="F12" i="9" s="1"/>
  <c r="P48" i="1"/>
  <c r="P62" i="1" s="1"/>
  <c r="AC48" i="1"/>
  <c r="AC62" i="1" s="1"/>
  <c r="H108" i="9" s="1"/>
  <c r="BC48" i="1"/>
  <c r="BC62" i="1" s="1"/>
  <c r="C427" i="1"/>
  <c r="S48" i="1"/>
  <c r="S62" i="1" s="1"/>
  <c r="CA48" i="1"/>
  <c r="CA62" i="1" s="1"/>
  <c r="BR48" i="1"/>
  <c r="BR62" i="1" s="1"/>
  <c r="AV48" i="1"/>
  <c r="AV62" i="1" s="1"/>
  <c r="AL48" i="1"/>
  <c r="AL62" i="1" s="1"/>
  <c r="I363" i="9"/>
  <c r="H48" i="1"/>
  <c r="H62" i="1" s="1"/>
  <c r="O48" i="1"/>
  <c r="O62" i="1" s="1"/>
  <c r="AG48" i="1"/>
  <c r="AG62" i="1" s="1"/>
  <c r="AY48" i="1"/>
  <c r="AY62" i="1" s="1"/>
  <c r="K48" i="1"/>
  <c r="K62" i="1" s="1"/>
  <c r="BY48" i="1"/>
  <c r="BY62" i="1" s="1"/>
  <c r="G332" i="9" s="1"/>
  <c r="BD48" i="1"/>
  <c r="BD62" i="1" s="1"/>
  <c r="AT48" i="1"/>
  <c r="AT62" i="1" s="1"/>
  <c r="R48" i="1"/>
  <c r="R62" i="1" s="1"/>
  <c r="AB48" i="1"/>
  <c r="AB62" i="1" s="1"/>
  <c r="D48" i="1"/>
  <c r="D62" i="1" s="1"/>
  <c r="BS48" i="1"/>
  <c r="BS62" i="1" s="1"/>
  <c r="U48" i="1"/>
  <c r="U62" i="1" s="1"/>
  <c r="BE48" i="1"/>
  <c r="BE62" i="1" s="1"/>
  <c r="CC48" i="1"/>
  <c r="CC62" i="1" s="1"/>
  <c r="C48" i="1"/>
  <c r="BX48" i="1"/>
  <c r="BX62" i="1" s="1"/>
  <c r="BN48" i="1"/>
  <c r="BN62" i="1" s="1"/>
  <c r="AR48" i="1"/>
  <c r="AR62" i="1" s="1"/>
  <c r="AH48" i="1"/>
  <c r="AH62" i="1" s="1"/>
  <c r="C498" i="10"/>
  <c r="G498" i="10" s="1"/>
  <c r="C670" i="10"/>
  <c r="C646" i="10"/>
  <c r="C571" i="10"/>
  <c r="CB48" i="1"/>
  <c r="CB62" i="1" s="1"/>
  <c r="C364" i="9" s="1"/>
  <c r="BG48" i="1"/>
  <c r="BG62" i="1" s="1"/>
  <c r="AK48" i="1"/>
  <c r="AK62" i="1" s="1"/>
  <c r="BZ48" i="1"/>
  <c r="BZ62" i="1" s="1"/>
  <c r="AS48" i="1"/>
  <c r="AS62" i="1" s="1"/>
  <c r="C630" i="10"/>
  <c r="C546" i="10"/>
  <c r="C643" i="10"/>
  <c r="C568" i="10"/>
  <c r="B465" i="1"/>
  <c r="C154" i="9"/>
  <c r="C691" i="10"/>
  <c r="C519" i="10"/>
  <c r="G519" i="10" s="1"/>
  <c r="C573" i="10"/>
  <c r="C622" i="10"/>
  <c r="C616" i="10"/>
  <c r="C543" i="10"/>
  <c r="BB48" i="1"/>
  <c r="BB62" i="1" s="1"/>
  <c r="E236" i="9" s="1"/>
  <c r="I48" i="1"/>
  <c r="I62" i="1" s="1"/>
  <c r="D368" i="1"/>
  <c r="C120" i="8" s="1"/>
  <c r="G28" i="4"/>
  <c r="F28" i="4"/>
  <c r="E186" i="9"/>
  <c r="C702" i="10"/>
  <c r="C530" i="10"/>
  <c r="G530" i="10" s="1"/>
  <c r="H530" i="10" s="1"/>
  <c r="C617" i="10"/>
  <c r="C555" i="10"/>
  <c r="I612" i="1"/>
  <c r="I382" i="9"/>
  <c r="C512" i="10"/>
  <c r="H512" i="10" s="1"/>
  <c r="C703" i="10"/>
  <c r="C531" i="10"/>
  <c r="C620" i="10"/>
  <c r="C523" i="10"/>
  <c r="G523" i="10" s="1"/>
  <c r="C540" i="10"/>
  <c r="G540" i="10" s="1"/>
  <c r="C647" i="10"/>
  <c r="C535" i="10"/>
  <c r="G535" i="10" s="1"/>
  <c r="H535" i="10" s="1"/>
  <c r="C707" i="10"/>
  <c r="C509" i="10"/>
  <c r="G509" i="10" s="1"/>
  <c r="C681" i="10"/>
  <c r="B511" i="1"/>
  <c r="C673" i="10"/>
  <c r="C501" i="10"/>
  <c r="G501" i="10" s="1"/>
  <c r="C629" i="10"/>
  <c r="C551" i="10"/>
  <c r="C541" i="10"/>
  <c r="C713" i="10"/>
  <c r="I362" i="9"/>
  <c r="C511" i="10"/>
  <c r="G511" i="10" s="1"/>
  <c r="C705" i="10"/>
  <c r="C533" i="10"/>
  <c r="G533" i="10" s="1"/>
  <c r="C624" i="10"/>
  <c r="C549" i="10"/>
  <c r="I90" i="9"/>
  <c r="C640" i="10"/>
  <c r="C565" i="10"/>
  <c r="C697" i="10"/>
  <c r="C525" i="10"/>
  <c r="CE67" i="10"/>
  <c r="C433" i="10" s="1"/>
  <c r="C675" i="10"/>
  <c r="C503" i="10"/>
  <c r="G503" i="10" s="1"/>
  <c r="C637" i="10"/>
  <c r="C557" i="10"/>
  <c r="C534" i="10"/>
  <c r="G534" i="10" s="1"/>
  <c r="C706" i="10"/>
  <c r="C627" i="10"/>
  <c r="C560" i="10"/>
  <c r="G532" i="10"/>
  <c r="H532" i="10" s="1"/>
  <c r="C631" i="10"/>
  <c r="C542" i="10"/>
  <c r="G550" i="10"/>
  <c r="H550" i="10" s="1"/>
  <c r="G521" i="10"/>
  <c r="H521" i="10"/>
  <c r="G514" i="10"/>
  <c r="G522" i="10"/>
  <c r="H522" i="10" s="1"/>
  <c r="C510" i="10"/>
  <c r="G510" i="10" s="1"/>
  <c r="C682" i="10"/>
  <c r="C700" i="10"/>
  <c r="C528" i="10"/>
  <c r="G528" i="10" s="1"/>
  <c r="D615" i="10"/>
  <c r="G546" i="10"/>
  <c r="H546" i="10"/>
  <c r="G531" i="10"/>
  <c r="H531" i="10" s="1"/>
  <c r="G524" i="10"/>
  <c r="H524" i="10"/>
  <c r="C638" i="10"/>
  <c r="C558" i="10"/>
  <c r="G518" i="10"/>
  <c r="H518" i="10"/>
  <c r="C544" i="10"/>
  <c r="C625" i="10"/>
  <c r="C526" i="10"/>
  <c r="G526" i="10" s="1"/>
  <c r="C698" i="10"/>
  <c r="G529" i="10"/>
  <c r="H529" i="10" s="1"/>
  <c r="C71" i="10"/>
  <c r="CE62" i="10"/>
  <c r="H545" i="10"/>
  <c r="G545" i="10"/>
  <c r="B525" i="1"/>
  <c r="B551" i="1"/>
  <c r="B543" i="1"/>
  <c r="B549" i="1"/>
  <c r="B557" i="1"/>
  <c r="B501" i="1"/>
  <c r="B517" i="1"/>
  <c r="B509" i="1"/>
  <c r="B513" i="1"/>
  <c r="B537" i="1"/>
  <c r="B547" i="1"/>
  <c r="B534" i="1"/>
  <c r="B538" i="1"/>
  <c r="B566" i="1"/>
  <c r="B524" i="1"/>
  <c r="B558" i="1"/>
  <c r="B542" i="1"/>
  <c r="B506" i="1"/>
  <c r="B531" i="1"/>
  <c r="B570" i="1"/>
  <c r="B535" i="1"/>
  <c r="B514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AK52" i="1"/>
  <c r="AK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D292" i="1"/>
  <c r="C58" i="9"/>
  <c r="AU71" i="1" l="1"/>
  <c r="C712" i="1" s="1"/>
  <c r="I268" i="9"/>
  <c r="I236" i="9"/>
  <c r="BF71" i="1"/>
  <c r="I245" i="9" s="1"/>
  <c r="E44" i="9"/>
  <c r="C300" i="9"/>
  <c r="C108" i="9"/>
  <c r="F268" i="9"/>
  <c r="H44" i="9"/>
  <c r="I108" i="9"/>
  <c r="E12" i="9"/>
  <c r="E204" i="9"/>
  <c r="H140" i="9"/>
  <c r="F140" i="9"/>
  <c r="AJ71" i="1"/>
  <c r="H149" i="9" s="1"/>
  <c r="G71" i="1"/>
  <c r="C672" i="1" s="1"/>
  <c r="D204" i="9"/>
  <c r="D108" i="9"/>
  <c r="D12" i="9"/>
  <c r="H76" i="9"/>
  <c r="BR71" i="1"/>
  <c r="C563" i="1" s="1"/>
  <c r="H172" i="9"/>
  <c r="G300" i="9"/>
  <c r="H268" i="9"/>
  <c r="D332" i="9"/>
  <c r="AP71" i="1"/>
  <c r="C707" i="1" s="1"/>
  <c r="M52" i="1"/>
  <c r="M67" i="1" s="1"/>
  <c r="M71" i="1" s="1"/>
  <c r="C506" i="1" s="1"/>
  <c r="G506" i="1" s="1"/>
  <c r="BY52" i="1"/>
  <c r="BY67" i="1" s="1"/>
  <c r="F52" i="1"/>
  <c r="F67" i="1" s="1"/>
  <c r="BR52" i="1"/>
  <c r="BR67" i="1" s="1"/>
  <c r="G305" i="9" s="1"/>
  <c r="G52" i="1"/>
  <c r="G67" i="1" s="1"/>
  <c r="BN52" i="1"/>
  <c r="BN67" i="1" s="1"/>
  <c r="BN71" i="1" s="1"/>
  <c r="BQ52" i="1"/>
  <c r="BQ67" i="1" s="1"/>
  <c r="AX52" i="1"/>
  <c r="AX67" i="1" s="1"/>
  <c r="AX71" i="1" s="1"/>
  <c r="H213" i="9" s="1"/>
  <c r="T52" i="1"/>
  <c r="T67" i="1" s="1"/>
  <c r="F81" i="9" s="1"/>
  <c r="BF52" i="1"/>
  <c r="BF67" i="1" s="1"/>
  <c r="I241" i="9" s="1"/>
  <c r="BE52" i="1"/>
  <c r="BE67" i="1" s="1"/>
  <c r="AM52" i="1"/>
  <c r="AM67" i="1" s="1"/>
  <c r="AM71" i="1" s="1"/>
  <c r="D181" i="9" s="1"/>
  <c r="AA52" i="1"/>
  <c r="AA67" i="1" s="1"/>
  <c r="AA71" i="1" s="1"/>
  <c r="C520" i="1" s="1"/>
  <c r="G520" i="1" s="1"/>
  <c r="CB52" i="1"/>
  <c r="CB67" i="1" s="1"/>
  <c r="BD52" i="1"/>
  <c r="BD67" i="1" s="1"/>
  <c r="D52" i="1"/>
  <c r="D67" i="1" s="1"/>
  <c r="D71" i="1" s="1"/>
  <c r="BM52" i="1"/>
  <c r="BM67" i="1" s="1"/>
  <c r="I273" i="9" s="1"/>
  <c r="AW52" i="1"/>
  <c r="AW67" i="1" s="1"/>
  <c r="G209" i="9" s="1"/>
  <c r="BV52" i="1"/>
  <c r="BV67" i="1" s="1"/>
  <c r="D337" i="9" s="1"/>
  <c r="AY52" i="1"/>
  <c r="AY67" i="1" s="1"/>
  <c r="AP52" i="1"/>
  <c r="AP67" i="1" s="1"/>
  <c r="G113" i="9"/>
  <c r="AL52" i="1"/>
  <c r="AL67" i="1" s="1"/>
  <c r="BJ52" i="1"/>
  <c r="BJ67" i="1" s="1"/>
  <c r="BJ71" i="1" s="1"/>
  <c r="W52" i="1"/>
  <c r="W67" i="1" s="1"/>
  <c r="W71" i="1" s="1"/>
  <c r="C516" i="1" s="1"/>
  <c r="G516" i="1" s="1"/>
  <c r="BB52" i="1"/>
  <c r="BB67" i="1" s="1"/>
  <c r="BB71" i="1" s="1"/>
  <c r="E245" i="9" s="1"/>
  <c r="AR52" i="1"/>
  <c r="AR67" i="1" s="1"/>
  <c r="AF52" i="1"/>
  <c r="AF67" i="1" s="1"/>
  <c r="AF71" i="1" s="1"/>
  <c r="C697" i="1" s="1"/>
  <c r="AO52" i="1"/>
  <c r="AO67" i="1" s="1"/>
  <c r="BK52" i="1"/>
  <c r="BK67" i="1" s="1"/>
  <c r="AG52" i="1"/>
  <c r="AG67" i="1" s="1"/>
  <c r="BH52" i="1"/>
  <c r="BH67" i="1" s="1"/>
  <c r="R52" i="1"/>
  <c r="R67" i="1" s="1"/>
  <c r="R71" i="1" s="1"/>
  <c r="AC52" i="1"/>
  <c r="AC67" i="1" s="1"/>
  <c r="AC71" i="1" s="1"/>
  <c r="C522" i="1" s="1"/>
  <c r="G522" i="1" s="1"/>
  <c r="AJ52" i="1"/>
  <c r="AJ67" i="1" s="1"/>
  <c r="K52" i="1"/>
  <c r="K67" i="1" s="1"/>
  <c r="BP52" i="1"/>
  <c r="BP67" i="1" s="1"/>
  <c r="BP71" i="1" s="1"/>
  <c r="C561" i="1" s="1"/>
  <c r="H52" i="1"/>
  <c r="H67" i="1" s="1"/>
  <c r="H71" i="1" s="1"/>
  <c r="AT52" i="1"/>
  <c r="AT67" i="1" s="1"/>
  <c r="AT71" i="1" s="1"/>
  <c r="Z52" i="1"/>
  <c r="Z67" i="1" s="1"/>
  <c r="Z71" i="1" s="1"/>
  <c r="P52" i="1"/>
  <c r="P67" i="1" s="1"/>
  <c r="P71" i="1" s="1"/>
  <c r="Q52" i="1"/>
  <c r="Q67" i="1" s="1"/>
  <c r="Y52" i="1"/>
  <c r="Y67" i="1" s="1"/>
  <c r="Y71" i="1" s="1"/>
  <c r="J52" i="1"/>
  <c r="J67" i="1" s="1"/>
  <c r="CA52" i="1"/>
  <c r="CA67" i="1" s="1"/>
  <c r="AD52" i="1"/>
  <c r="AD67" i="1" s="1"/>
  <c r="AD71" i="1" s="1"/>
  <c r="BW52" i="1"/>
  <c r="BW67" i="1" s="1"/>
  <c r="N52" i="1"/>
  <c r="N67" i="1" s="1"/>
  <c r="N71" i="1" s="1"/>
  <c r="G53" i="9" s="1"/>
  <c r="BS52" i="1"/>
  <c r="BS67" i="1" s="1"/>
  <c r="BS71" i="1" s="1"/>
  <c r="S52" i="1"/>
  <c r="S67" i="1" s="1"/>
  <c r="AI52" i="1"/>
  <c r="AI67" i="1" s="1"/>
  <c r="CC52" i="1"/>
  <c r="CC67" i="1" s="1"/>
  <c r="CC71" i="1" s="1"/>
  <c r="C574" i="1" s="1"/>
  <c r="AE52" i="1"/>
  <c r="AE67" i="1" s="1"/>
  <c r="L52" i="1"/>
  <c r="L67" i="1" s="1"/>
  <c r="L71" i="1" s="1"/>
  <c r="C505" i="1" s="1"/>
  <c r="G505" i="1" s="1"/>
  <c r="BA52" i="1"/>
  <c r="BA67" i="1" s="1"/>
  <c r="BU52" i="1"/>
  <c r="BU67" i="1" s="1"/>
  <c r="BU71" i="1" s="1"/>
  <c r="X52" i="1"/>
  <c r="X67" i="1" s="1"/>
  <c r="X71" i="1" s="1"/>
  <c r="AH52" i="1"/>
  <c r="AH67" i="1" s="1"/>
  <c r="BC52" i="1"/>
  <c r="BC67" i="1" s="1"/>
  <c r="AV52" i="1"/>
  <c r="AV67" i="1" s="1"/>
  <c r="V52" i="1"/>
  <c r="V67" i="1" s="1"/>
  <c r="V71" i="1" s="1"/>
  <c r="C687" i="1" s="1"/>
  <c r="U52" i="1"/>
  <c r="U67" i="1" s="1"/>
  <c r="I52" i="1"/>
  <c r="I67" i="1" s="1"/>
  <c r="BO52" i="1"/>
  <c r="BO67" i="1" s="1"/>
  <c r="BO71" i="1" s="1"/>
  <c r="AS52" i="1"/>
  <c r="AS67" i="1" s="1"/>
  <c r="AS71" i="1" s="1"/>
  <c r="AN52" i="1"/>
  <c r="AN67" i="1" s="1"/>
  <c r="AN71" i="1" s="1"/>
  <c r="BZ52" i="1"/>
  <c r="BZ67" i="1" s="1"/>
  <c r="C52" i="1"/>
  <c r="O52" i="1"/>
  <c r="O67" i="1" s="1"/>
  <c r="O71" i="1" s="1"/>
  <c r="H53" i="9" s="1"/>
  <c r="AU52" i="1"/>
  <c r="AU67" i="1" s="1"/>
  <c r="BX52" i="1"/>
  <c r="BX67" i="1" s="1"/>
  <c r="BI52" i="1"/>
  <c r="BI67" i="1" s="1"/>
  <c r="E52" i="1"/>
  <c r="E67" i="1" s="1"/>
  <c r="E71" i="1" s="1"/>
  <c r="BG52" i="1"/>
  <c r="BG67" i="1" s="1"/>
  <c r="BG71" i="1" s="1"/>
  <c r="BL52" i="1"/>
  <c r="BL67" i="1" s="1"/>
  <c r="BL71" i="1" s="1"/>
  <c r="BT52" i="1"/>
  <c r="BT67" i="1" s="1"/>
  <c r="AZ52" i="1"/>
  <c r="AZ67" i="1" s="1"/>
  <c r="AQ52" i="1"/>
  <c r="AQ67" i="1" s="1"/>
  <c r="AQ71" i="1" s="1"/>
  <c r="C536" i="1" s="1"/>
  <c r="G536" i="1" s="1"/>
  <c r="E309" i="9"/>
  <c r="C621" i="1"/>
  <c r="BY71" i="1"/>
  <c r="C645" i="1" s="1"/>
  <c r="AI71" i="1"/>
  <c r="G149" i="9" s="1"/>
  <c r="G140" i="9"/>
  <c r="C172" i="9"/>
  <c r="H511" i="1"/>
  <c r="F511" i="1"/>
  <c r="H332" i="9"/>
  <c r="BZ71" i="1"/>
  <c r="G236" i="9"/>
  <c r="BD71" i="1"/>
  <c r="C332" i="9"/>
  <c r="D364" i="9"/>
  <c r="BW71" i="1"/>
  <c r="C643" i="1" s="1"/>
  <c r="AL71" i="1"/>
  <c r="C703" i="1" s="1"/>
  <c r="I71" i="1"/>
  <c r="I12" i="9"/>
  <c r="AK71" i="1"/>
  <c r="I140" i="9"/>
  <c r="H236" i="9"/>
  <c r="BE71" i="1"/>
  <c r="AV71" i="1"/>
  <c r="F204" i="9"/>
  <c r="F71" i="1"/>
  <c r="D236" i="9"/>
  <c r="BA71" i="1"/>
  <c r="AW71" i="1"/>
  <c r="I44" i="9"/>
  <c r="C76" i="9"/>
  <c r="Q71" i="1"/>
  <c r="C236" i="9"/>
  <c r="AZ71" i="1"/>
  <c r="E332" i="9"/>
  <c r="G525" i="10"/>
  <c r="H525" i="10" s="1"/>
  <c r="C268" i="9"/>
  <c r="G76" i="9"/>
  <c r="U71" i="1"/>
  <c r="D44" i="9"/>
  <c r="K71" i="1"/>
  <c r="E108" i="9"/>
  <c r="F300" i="9"/>
  <c r="BQ71" i="1"/>
  <c r="C672" i="10"/>
  <c r="C500" i="10"/>
  <c r="G500" i="10" s="1"/>
  <c r="H500" i="10" s="1"/>
  <c r="AH71" i="1"/>
  <c r="C699" i="1" s="1"/>
  <c r="I172" i="9"/>
  <c r="AR71" i="1"/>
  <c r="E140" i="9"/>
  <c r="AG71" i="1"/>
  <c r="S71" i="1"/>
  <c r="E76" i="9"/>
  <c r="BH71" i="1"/>
  <c r="D268" i="9"/>
  <c r="AY71" i="1"/>
  <c r="I213" i="9" s="1"/>
  <c r="H204" i="9"/>
  <c r="AB71" i="1"/>
  <c r="G108" i="9"/>
  <c r="E172" i="9"/>
  <c r="F76" i="9"/>
  <c r="T71" i="1"/>
  <c r="AE71" i="1"/>
  <c r="C140" i="9"/>
  <c r="H300" i="9"/>
  <c r="E268" i="9"/>
  <c r="BI71" i="1"/>
  <c r="CB71" i="1"/>
  <c r="C373" i="9" s="1"/>
  <c r="G512" i="10"/>
  <c r="BX71" i="1"/>
  <c r="F332" i="9"/>
  <c r="D76" i="9"/>
  <c r="H12" i="9"/>
  <c r="F236" i="9"/>
  <c r="BC71" i="1"/>
  <c r="D300" i="9"/>
  <c r="J71" i="1"/>
  <c r="C44" i="9"/>
  <c r="I332" i="9"/>
  <c r="CA71" i="1"/>
  <c r="D373" i="1"/>
  <c r="C126" i="8" s="1"/>
  <c r="I204" i="9"/>
  <c r="C204" i="9"/>
  <c r="C62" i="1"/>
  <c r="CE48" i="1"/>
  <c r="AO71" i="1"/>
  <c r="F172" i="9"/>
  <c r="BT71" i="1"/>
  <c r="I300" i="9"/>
  <c r="G268" i="9"/>
  <c r="BK71" i="1"/>
  <c r="C428" i="10"/>
  <c r="C441" i="10" s="1"/>
  <c r="CE71" i="10"/>
  <c r="C716" i="10" s="1"/>
  <c r="D710" i="10"/>
  <c r="D702" i="10"/>
  <c r="D694" i="10"/>
  <c r="D686" i="10"/>
  <c r="D678" i="10"/>
  <c r="D670" i="10"/>
  <c r="D647" i="10"/>
  <c r="D646" i="10"/>
  <c r="D645" i="10"/>
  <c r="D716" i="10"/>
  <c r="D712" i="10"/>
  <c r="D704" i="10"/>
  <c r="D696" i="10"/>
  <c r="D688" i="10"/>
  <c r="D680" i="10"/>
  <c r="D672" i="10"/>
  <c r="D709" i="10"/>
  <c r="D701" i="10"/>
  <c r="D693" i="10"/>
  <c r="D685" i="10"/>
  <c r="D677" i="10"/>
  <c r="D706" i="10"/>
  <c r="D698" i="10"/>
  <c r="D690" i="10"/>
  <c r="D682" i="10"/>
  <c r="D674" i="10"/>
  <c r="D711" i="10"/>
  <c r="D708" i="10"/>
  <c r="D700" i="10"/>
  <c r="D692" i="10"/>
  <c r="D684" i="10"/>
  <c r="D676" i="10"/>
  <c r="D668" i="10"/>
  <c r="D683" i="10"/>
  <c r="D681" i="10"/>
  <c r="D679" i="10"/>
  <c r="D635" i="10"/>
  <c r="D624" i="10"/>
  <c r="D675" i="10"/>
  <c r="D673" i="10"/>
  <c r="D671" i="10"/>
  <c r="D620" i="10"/>
  <c r="D616" i="10"/>
  <c r="D633" i="10"/>
  <c r="D630" i="10"/>
  <c r="D627" i="10"/>
  <c r="D713" i="10"/>
  <c r="D644" i="10"/>
  <c r="D642" i="10"/>
  <c r="D640" i="10"/>
  <c r="D638" i="10"/>
  <c r="D636" i="10"/>
  <c r="D623" i="10"/>
  <c r="D619" i="10"/>
  <c r="D669" i="10"/>
  <c r="D631" i="10"/>
  <c r="D625" i="10"/>
  <c r="D707" i="10"/>
  <c r="D705" i="10"/>
  <c r="D703" i="10"/>
  <c r="D634" i="10"/>
  <c r="D628" i="10"/>
  <c r="D622" i="10"/>
  <c r="D618" i="10"/>
  <c r="D699" i="10"/>
  <c r="D697" i="10"/>
  <c r="D695" i="10"/>
  <c r="D643" i="10"/>
  <c r="D629" i="10"/>
  <c r="D691" i="10"/>
  <c r="D641" i="10"/>
  <c r="D689" i="10"/>
  <c r="D639" i="10"/>
  <c r="D626" i="10"/>
  <c r="D687" i="10"/>
  <c r="D637" i="10"/>
  <c r="D621" i="10"/>
  <c r="D632" i="10"/>
  <c r="D617" i="10"/>
  <c r="C668" i="10"/>
  <c r="C496" i="10"/>
  <c r="G496" i="10" s="1"/>
  <c r="C715" i="10"/>
  <c r="C648" i="10"/>
  <c r="M716" i="10" s="1"/>
  <c r="G544" i="10"/>
  <c r="H544" i="10" s="1"/>
  <c r="H501" i="1"/>
  <c r="F501" i="1"/>
  <c r="F517" i="1"/>
  <c r="H517" i="1"/>
  <c r="F499" i="1"/>
  <c r="H499" i="1"/>
  <c r="H505" i="1"/>
  <c r="F505" i="1"/>
  <c r="H497" i="1"/>
  <c r="F497" i="1"/>
  <c r="F515" i="1"/>
  <c r="H515" i="1"/>
  <c r="G17" i="9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209" i="9"/>
  <c r="I378" i="9"/>
  <c r="K612" i="1"/>
  <c r="C465" i="1"/>
  <c r="F32" i="6"/>
  <c r="C478" i="1"/>
  <c r="C305" i="9"/>
  <c r="C102" i="8"/>
  <c r="C482" i="1"/>
  <c r="H498" i="1"/>
  <c r="F498" i="1"/>
  <c r="I145" i="9"/>
  <c r="D177" i="9"/>
  <c r="C476" i="1"/>
  <c r="F16" i="6"/>
  <c r="G21" i="9"/>
  <c r="F516" i="1"/>
  <c r="H516" i="1"/>
  <c r="F305" i="9"/>
  <c r="F540" i="1"/>
  <c r="H540" i="1"/>
  <c r="F532" i="1"/>
  <c r="F524" i="1"/>
  <c r="F550" i="1"/>
  <c r="F113" i="9"/>
  <c r="F49" i="9"/>
  <c r="C369" i="9"/>
  <c r="F17" i="9"/>
  <c r="C670" i="1" l="1"/>
  <c r="C498" i="1"/>
  <c r="G498" i="1" s="1"/>
  <c r="E21" i="9"/>
  <c r="I117" i="9"/>
  <c r="C523" i="1"/>
  <c r="G523" i="1" s="1"/>
  <c r="C695" i="1"/>
  <c r="C501" i="1"/>
  <c r="G501" i="1" s="1"/>
  <c r="H21" i="9"/>
  <c r="C673" i="1"/>
  <c r="C559" i="1"/>
  <c r="C619" i="1"/>
  <c r="C557" i="1"/>
  <c r="C637" i="1"/>
  <c r="H277" i="9"/>
  <c r="C518" i="1"/>
  <c r="G518" i="1" s="1"/>
  <c r="D117" i="9"/>
  <c r="C690" i="1"/>
  <c r="C689" i="1"/>
  <c r="C117" i="9"/>
  <c r="C517" i="1"/>
  <c r="G517" i="1" s="1"/>
  <c r="C560" i="1"/>
  <c r="D309" i="9"/>
  <c r="C627" i="1"/>
  <c r="C555" i="1"/>
  <c r="C617" i="1"/>
  <c r="F277" i="9"/>
  <c r="C497" i="1"/>
  <c r="G497" i="1" s="1"/>
  <c r="C669" i="1"/>
  <c r="D21" i="9"/>
  <c r="C711" i="1"/>
  <c r="C539" i="1"/>
  <c r="G539" i="1" s="1"/>
  <c r="D213" i="9"/>
  <c r="BM71" i="1"/>
  <c r="C638" i="1" s="1"/>
  <c r="BV71" i="1"/>
  <c r="E213" i="9"/>
  <c r="C540" i="1"/>
  <c r="G540" i="1" s="1"/>
  <c r="C558" i="1"/>
  <c r="I277" i="9"/>
  <c r="C692" i="1"/>
  <c r="F117" i="9"/>
  <c r="C551" i="1"/>
  <c r="C629" i="1"/>
  <c r="C500" i="1"/>
  <c r="G500" i="1" s="1"/>
  <c r="H500" i="1" s="1"/>
  <c r="C309" i="9"/>
  <c r="C626" i="1"/>
  <c r="I85" i="9"/>
  <c r="C529" i="1"/>
  <c r="G529" i="1" s="1"/>
  <c r="C701" i="1"/>
  <c r="C547" i="1"/>
  <c r="C525" i="1"/>
  <c r="G525" i="1" s="1"/>
  <c r="C680" i="1"/>
  <c r="C508" i="1"/>
  <c r="G508" i="1" s="1"/>
  <c r="C632" i="1"/>
  <c r="H117" i="9"/>
  <c r="C694" i="1"/>
  <c r="E53" i="9"/>
  <c r="C677" i="1"/>
  <c r="C535" i="1"/>
  <c r="G535" i="1" s="1"/>
  <c r="C678" i="1"/>
  <c r="H85" i="9"/>
  <c r="C515" i="1"/>
  <c r="G515" i="1" s="1"/>
  <c r="C688" i="1"/>
  <c r="D149" i="9"/>
  <c r="C708" i="1"/>
  <c r="G309" i="9"/>
  <c r="F53" i="9"/>
  <c r="C679" i="1"/>
  <c r="C507" i="1"/>
  <c r="G507" i="1" s="1"/>
  <c r="C532" i="1"/>
  <c r="G532" i="1" s="1"/>
  <c r="H181" i="9"/>
  <c r="G181" i="9"/>
  <c r="C704" i="1"/>
  <c r="G241" i="9"/>
  <c r="G337" i="9"/>
  <c r="D17" i="9"/>
  <c r="H209" i="9"/>
  <c r="C181" i="9"/>
  <c r="H241" i="9"/>
  <c r="C544" i="1"/>
  <c r="G177" i="9"/>
  <c r="H81" i="9"/>
  <c r="I17" i="9"/>
  <c r="H177" i="9"/>
  <c r="E209" i="9"/>
  <c r="G81" i="9"/>
  <c r="E49" i="9"/>
  <c r="I113" i="9"/>
  <c r="H17" i="9"/>
  <c r="G273" i="9"/>
  <c r="C145" i="9"/>
  <c r="I305" i="9"/>
  <c r="C67" i="1"/>
  <c r="CE52" i="1"/>
  <c r="F209" i="9"/>
  <c r="D369" i="9"/>
  <c r="C49" i="9"/>
  <c r="D49" i="9"/>
  <c r="D145" i="9"/>
  <c r="E305" i="9"/>
  <c r="H273" i="9"/>
  <c r="F241" i="9"/>
  <c r="G145" i="9"/>
  <c r="D113" i="9"/>
  <c r="H145" i="9"/>
  <c r="I177" i="9"/>
  <c r="F177" i="9"/>
  <c r="H337" i="9"/>
  <c r="C273" i="9"/>
  <c r="E177" i="9"/>
  <c r="F145" i="9"/>
  <c r="E81" i="9"/>
  <c r="C81" i="9"/>
  <c r="H113" i="9"/>
  <c r="E241" i="9"/>
  <c r="I337" i="9"/>
  <c r="E17" i="9"/>
  <c r="C209" i="9"/>
  <c r="C113" i="9"/>
  <c r="H305" i="9"/>
  <c r="I49" i="9"/>
  <c r="D81" i="9"/>
  <c r="I81" i="9"/>
  <c r="C241" i="9"/>
  <c r="E273" i="9"/>
  <c r="D305" i="9"/>
  <c r="C337" i="9"/>
  <c r="G49" i="9"/>
  <c r="E113" i="9"/>
  <c r="D273" i="9"/>
  <c r="F273" i="9"/>
  <c r="H49" i="9"/>
  <c r="F337" i="9"/>
  <c r="D241" i="9"/>
  <c r="E337" i="9"/>
  <c r="D209" i="9"/>
  <c r="E145" i="9"/>
  <c r="C177" i="9"/>
  <c r="C570" i="1"/>
  <c r="G341" i="9"/>
  <c r="C625" i="1"/>
  <c r="C620" i="1"/>
  <c r="C700" i="1"/>
  <c r="C528" i="1"/>
  <c r="G528" i="1" s="1"/>
  <c r="C622" i="1"/>
  <c r="C543" i="1"/>
  <c r="C616" i="1"/>
  <c r="D373" i="9"/>
  <c r="C531" i="1"/>
  <c r="G531" i="1" s="1"/>
  <c r="C568" i="1"/>
  <c r="F149" i="9"/>
  <c r="D391" i="1"/>
  <c r="C142" i="8" s="1"/>
  <c r="F181" i="9"/>
  <c r="C534" i="1"/>
  <c r="G534" i="1" s="1"/>
  <c r="C706" i="1"/>
  <c r="C709" i="1"/>
  <c r="C537" i="1"/>
  <c r="G537" i="1" s="1"/>
  <c r="I181" i="9"/>
  <c r="C527" i="1"/>
  <c r="G527" i="1" s="1"/>
  <c r="C573" i="1"/>
  <c r="C635" i="1"/>
  <c r="C556" i="1"/>
  <c r="G277" i="9"/>
  <c r="C682" i="1"/>
  <c r="C85" i="9"/>
  <c r="C510" i="1"/>
  <c r="G510" i="1" s="1"/>
  <c r="C502" i="1"/>
  <c r="G502" i="1" s="1"/>
  <c r="I21" i="9"/>
  <c r="C674" i="1"/>
  <c r="C549" i="1"/>
  <c r="G245" i="9"/>
  <c r="C624" i="1"/>
  <c r="C618" i="1"/>
  <c r="C277" i="9"/>
  <c r="C552" i="1"/>
  <c r="C553" i="1"/>
  <c r="C636" i="1"/>
  <c r="D277" i="9"/>
  <c r="G85" i="9"/>
  <c r="C514" i="1"/>
  <c r="G514" i="1" s="1"/>
  <c r="C686" i="1"/>
  <c r="C524" i="1"/>
  <c r="C696" i="1"/>
  <c r="C149" i="9"/>
  <c r="E117" i="9"/>
  <c r="C691" i="1"/>
  <c r="C519" i="1"/>
  <c r="G519" i="1" s="1"/>
  <c r="C546" i="1"/>
  <c r="G546" i="1" s="1"/>
  <c r="D245" i="9"/>
  <c r="C630" i="1"/>
  <c r="H245" i="9"/>
  <c r="C550" i="1"/>
  <c r="C614" i="1"/>
  <c r="C675" i="1"/>
  <c r="C503" i="1"/>
  <c r="G503" i="1" s="1"/>
  <c r="C53" i="9"/>
  <c r="C521" i="1"/>
  <c r="G521" i="1" s="1"/>
  <c r="G117" i="9"/>
  <c r="C693" i="1"/>
  <c r="C634" i="1"/>
  <c r="C554" i="1"/>
  <c r="E277" i="9"/>
  <c r="C513" i="1"/>
  <c r="G513" i="1" s="1"/>
  <c r="F85" i="9"/>
  <c r="C685" i="1"/>
  <c r="D53" i="9"/>
  <c r="C504" i="1"/>
  <c r="G504" i="1" s="1"/>
  <c r="C676" i="1"/>
  <c r="C640" i="1"/>
  <c r="C565" i="1"/>
  <c r="I309" i="9"/>
  <c r="C710" i="1"/>
  <c r="C213" i="9"/>
  <c r="C538" i="1"/>
  <c r="G538" i="1" s="1"/>
  <c r="C511" i="1"/>
  <c r="G511" i="1" s="1"/>
  <c r="C683" i="1"/>
  <c r="D85" i="9"/>
  <c r="C698" i="1"/>
  <c r="C526" i="1"/>
  <c r="G526" i="1" s="1"/>
  <c r="E149" i="9"/>
  <c r="I53" i="9"/>
  <c r="C681" i="1"/>
  <c r="C509" i="1"/>
  <c r="G509" i="1" s="1"/>
  <c r="F21" i="9"/>
  <c r="C499" i="1"/>
  <c r="G499" i="1" s="1"/>
  <c r="C671" i="1"/>
  <c r="C530" i="1"/>
  <c r="G530" i="1" s="1"/>
  <c r="C702" i="1"/>
  <c r="I149" i="9"/>
  <c r="C641" i="1"/>
  <c r="C341" i="9"/>
  <c r="C566" i="1"/>
  <c r="C571" i="1"/>
  <c r="C646" i="1"/>
  <c r="H341" i="9"/>
  <c r="E341" i="9"/>
  <c r="C628" i="1"/>
  <c r="C545" i="1"/>
  <c r="G545" i="1" s="1"/>
  <c r="C245" i="9"/>
  <c r="C12" i="9"/>
  <c r="CE62" i="1"/>
  <c r="C71" i="1"/>
  <c r="E85" i="9"/>
  <c r="C684" i="1"/>
  <c r="C512" i="1"/>
  <c r="G512" i="1" s="1"/>
  <c r="I341" i="9"/>
  <c r="C647" i="1"/>
  <c r="C572" i="1"/>
  <c r="C633" i="1"/>
  <c r="F245" i="9"/>
  <c r="C548" i="1"/>
  <c r="C569" i="1"/>
  <c r="C644" i="1"/>
  <c r="F341" i="9"/>
  <c r="C639" i="1"/>
  <c r="H309" i="9"/>
  <c r="C564" i="1"/>
  <c r="C705" i="1"/>
  <c r="E181" i="9"/>
  <c r="C533" i="1"/>
  <c r="G533" i="1" s="1"/>
  <c r="F309" i="9"/>
  <c r="C623" i="1"/>
  <c r="C562" i="1"/>
  <c r="G213" i="9"/>
  <c r="C631" i="1"/>
  <c r="C542" i="1"/>
  <c r="C541" i="1"/>
  <c r="C713" i="1"/>
  <c r="F213" i="9"/>
  <c r="E612" i="10"/>
  <c r="D715" i="10"/>
  <c r="E623" i="10"/>
  <c r="B496" i="1"/>
  <c r="H496" i="1" s="1"/>
  <c r="F522" i="1"/>
  <c r="H522" i="1"/>
  <c r="F510" i="1"/>
  <c r="H510" i="1"/>
  <c r="F513" i="1"/>
  <c r="H513" i="1"/>
  <c r="F538" i="1"/>
  <c r="H538" i="1"/>
  <c r="F534" i="1"/>
  <c r="H534" i="1"/>
  <c r="H502" i="1"/>
  <c r="F502" i="1"/>
  <c r="H504" i="1"/>
  <c r="F504" i="1"/>
  <c r="F530" i="1"/>
  <c r="F512" i="1"/>
  <c r="F526" i="1"/>
  <c r="H526" i="1"/>
  <c r="F503" i="1"/>
  <c r="H503" i="1"/>
  <c r="H508" i="1"/>
  <c r="F508" i="1"/>
  <c r="F514" i="1"/>
  <c r="H507" i="1"/>
  <c r="F507" i="1"/>
  <c r="F518" i="1"/>
  <c r="H518" i="1" s="1"/>
  <c r="F546" i="1"/>
  <c r="F506" i="1"/>
  <c r="H506" i="1"/>
  <c r="F500" i="1"/>
  <c r="F509" i="1"/>
  <c r="H509" i="1"/>
  <c r="C642" i="1" l="1"/>
  <c r="D341" i="9"/>
  <c r="C567" i="1"/>
  <c r="G544" i="1"/>
  <c r="H544" i="1" s="1"/>
  <c r="H532" i="1"/>
  <c r="D393" i="1"/>
  <c r="D396" i="1" s="1"/>
  <c r="C151" i="8" s="1"/>
  <c r="H512" i="1"/>
  <c r="CE67" i="1"/>
  <c r="C17" i="9"/>
  <c r="H514" i="1"/>
  <c r="H546" i="1"/>
  <c r="H530" i="1"/>
  <c r="C496" i="1"/>
  <c r="G496" i="1" s="1"/>
  <c r="C668" i="1"/>
  <c r="C21" i="9"/>
  <c r="I364" i="9"/>
  <c r="C428" i="1"/>
  <c r="CE71" i="1"/>
  <c r="G550" i="1"/>
  <c r="H550" i="1" s="1"/>
  <c r="C648" i="1"/>
  <c r="M716" i="1" s="1"/>
  <c r="D615" i="1"/>
  <c r="G524" i="1"/>
  <c r="H524" i="1" s="1"/>
  <c r="F496" i="1"/>
  <c r="E716" i="10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687" i="10"/>
  <c r="E679" i="10"/>
  <c r="E671" i="10"/>
  <c r="E713" i="10"/>
  <c r="E705" i="10"/>
  <c r="E697" i="10"/>
  <c r="E689" i="10"/>
  <c r="E681" i="10"/>
  <c r="E673" i="10"/>
  <c r="E708" i="10"/>
  <c r="E704" i="10"/>
  <c r="E702" i="10"/>
  <c r="E700" i="10"/>
  <c r="E668" i="10"/>
  <c r="E630" i="10"/>
  <c r="E627" i="10"/>
  <c r="E710" i="10"/>
  <c r="E696" i="10"/>
  <c r="E694" i="10"/>
  <c r="E692" i="10"/>
  <c r="E646" i="10"/>
  <c r="E688" i="10"/>
  <c r="E686" i="10"/>
  <c r="E684" i="10"/>
  <c r="E625" i="10"/>
  <c r="E680" i="10"/>
  <c r="E678" i="10"/>
  <c r="E676" i="10"/>
  <c r="E628" i="10"/>
  <c r="E712" i="10"/>
  <c r="E672" i="10"/>
  <c r="E670" i="10"/>
  <c r="E647" i="10"/>
  <c r="E645" i="10"/>
  <c r="E629" i="10"/>
  <c r="E626" i="10"/>
  <c r="E624" i="10"/>
  <c r="H545" i="1"/>
  <c r="F545" i="1"/>
  <c r="F525" i="1"/>
  <c r="H525" i="1" s="1"/>
  <c r="H529" i="1"/>
  <c r="F529" i="1"/>
  <c r="C146" i="8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369" i="9" l="1"/>
  <c r="C433" i="1"/>
  <c r="C441" i="1" s="1"/>
  <c r="C715" i="1"/>
  <c r="D629" i="1"/>
  <c r="D620" i="1"/>
  <c r="D669" i="1"/>
  <c r="D691" i="1"/>
  <c r="D673" i="1"/>
  <c r="D677" i="1"/>
  <c r="D640" i="1"/>
  <c r="D689" i="1"/>
  <c r="D701" i="1"/>
  <c r="D696" i="1"/>
  <c r="D707" i="1"/>
  <c r="D671" i="1"/>
  <c r="D627" i="1"/>
  <c r="D710" i="1"/>
  <c r="D668" i="1"/>
  <c r="D680" i="1"/>
  <c r="D643" i="1"/>
  <c r="D619" i="1"/>
  <c r="D695" i="1"/>
  <c r="D683" i="1"/>
  <c r="D624" i="1"/>
  <c r="D625" i="1"/>
  <c r="D681" i="1"/>
  <c r="D632" i="1"/>
  <c r="D697" i="1"/>
  <c r="D685" i="1"/>
  <c r="D637" i="1"/>
  <c r="D694" i="1"/>
  <c r="D635" i="1"/>
  <c r="D638" i="1"/>
  <c r="D670" i="1"/>
  <c r="D678" i="1"/>
  <c r="D644" i="1"/>
  <c r="D645" i="1"/>
  <c r="D704" i="1"/>
  <c r="D639" i="1"/>
  <c r="D628" i="1"/>
  <c r="D705" i="1"/>
  <c r="D711" i="1"/>
  <c r="D631" i="1"/>
  <c r="D706" i="1"/>
  <c r="D676" i="1"/>
  <c r="D617" i="1"/>
  <c r="D690" i="1"/>
  <c r="D647" i="1"/>
  <c r="D634" i="1"/>
  <c r="D703" i="1"/>
  <c r="D712" i="1"/>
  <c r="D672" i="1"/>
  <c r="D626" i="1"/>
  <c r="D641" i="1"/>
  <c r="D633" i="1"/>
  <c r="D646" i="1"/>
  <c r="D708" i="1"/>
  <c r="D688" i="1"/>
  <c r="D679" i="1"/>
  <c r="D693" i="1"/>
  <c r="D618" i="1"/>
  <c r="D674" i="1"/>
  <c r="D702" i="1"/>
  <c r="D616" i="1"/>
  <c r="D621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716" i="1"/>
  <c r="D709" i="1"/>
  <c r="D636" i="1"/>
  <c r="D713" i="1"/>
  <c r="D698" i="1"/>
  <c r="C716" i="1"/>
  <c r="I373" i="9"/>
  <c r="E715" i="10"/>
  <c r="F624" i="10"/>
  <c r="E623" i="1" l="1"/>
  <c r="E612" i="1"/>
  <c r="D715" i="1"/>
  <c r="F712" i="10"/>
  <c r="F704" i="10"/>
  <c r="F696" i="10"/>
  <c r="F688" i="10"/>
  <c r="F680" i="10"/>
  <c r="F672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3" i="10"/>
  <c r="F710" i="10"/>
  <c r="F702" i="10"/>
  <c r="F694" i="10"/>
  <c r="F686" i="10"/>
  <c r="F678" i="10"/>
  <c r="F670" i="10"/>
  <c r="F647" i="10"/>
  <c r="F646" i="10"/>
  <c r="F645" i="10"/>
  <c r="F629" i="10"/>
  <c r="F716" i="10"/>
  <c r="F677" i="10"/>
  <c r="F675" i="10"/>
  <c r="F673" i="10"/>
  <c r="F630" i="10"/>
  <c r="F627" i="10"/>
  <c r="F633" i="10"/>
  <c r="F644" i="10"/>
  <c r="F642" i="10"/>
  <c r="F640" i="10"/>
  <c r="F638" i="10"/>
  <c r="F636" i="10"/>
  <c r="F625" i="10"/>
  <c r="F669" i="10"/>
  <c r="F631" i="10"/>
  <c r="F628" i="10"/>
  <c r="F707" i="10"/>
  <c r="F705" i="10"/>
  <c r="F634" i="10"/>
  <c r="F709" i="10"/>
  <c r="F701" i="10"/>
  <c r="F699" i="10"/>
  <c r="F697" i="10"/>
  <c r="F626" i="10"/>
  <c r="F693" i="10"/>
  <c r="F691" i="10"/>
  <c r="F689" i="10"/>
  <c r="F643" i="10"/>
  <c r="F641" i="10"/>
  <c r="F639" i="10"/>
  <c r="F637" i="10"/>
  <c r="F632" i="10"/>
  <c r="F685" i="10"/>
  <c r="F635" i="10"/>
  <c r="F681" i="10"/>
  <c r="F683" i="10"/>
  <c r="E716" i="1" l="1"/>
  <c r="E672" i="1"/>
  <c r="E633" i="1"/>
  <c r="E630" i="1"/>
  <c r="E670" i="1"/>
  <c r="E669" i="1"/>
  <c r="E624" i="1"/>
  <c r="E695" i="1"/>
  <c r="E713" i="1"/>
  <c r="E694" i="1"/>
  <c r="E625" i="1"/>
  <c r="E628" i="1"/>
  <c r="E689" i="1"/>
  <c r="E709" i="1"/>
  <c r="E711" i="1"/>
  <c r="E706" i="1"/>
  <c r="E691" i="1"/>
  <c r="E712" i="1"/>
  <c r="E703" i="1"/>
  <c r="E705" i="1"/>
  <c r="E692" i="1"/>
  <c r="E686" i="1"/>
  <c r="E699" i="1"/>
  <c r="E636" i="1"/>
  <c r="E643" i="1"/>
  <c r="E641" i="1"/>
  <c r="E702" i="1"/>
  <c r="E707" i="1"/>
  <c r="E708" i="1"/>
  <c r="E671" i="1"/>
  <c r="E674" i="1"/>
  <c r="E677" i="1"/>
  <c r="E676" i="1"/>
  <c r="E668" i="1"/>
  <c r="E627" i="1"/>
  <c r="E696" i="1"/>
  <c r="E685" i="1"/>
  <c r="E646" i="1"/>
  <c r="E690" i="1"/>
  <c r="E688" i="1"/>
  <c r="E629" i="1"/>
  <c r="E637" i="1"/>
  <c r="E682" i="1"/>
  <c r="E640" i="1"/>
  <c r="E647" i="1"/>
  <c r="E631" i="1"/>
  <c r="E693" i="1"/>
  <c r="E634" i="1"/>
  <c r="E675" i="1"/>
  <c r="E632" i="1"/>
  <c r="E626" i="1"/>
  <c r="E639" i="1"/>
  <c r="E700" i="1"/>
  <c r="E704" i="1"/>
  <c r="E635" i="1"/>
  <c r="E681" i="1"/>
  <c r="E678" i="1"/>
  <c r="E673" i="1"/>
  <c r="E638" i="1"/>
  <c r="E698" i="1"/>
  <c r="E642" i="1"/>
  <c r="E644" i="1"/>
  <c r="E680" i="1"/>
  <c r="E697" i="1"/>
  <c r="E684" i="1"/>
  <c r="E683" i="1"/>
  <c r="E701" i="1"/>
  <c r="E679" i="1"/>
  <c r="E710" i="1"/>
  <c r="E687" i="1"/>
  <c r="E645" i="1"/>
  <c r="F715" i="10"/>
  <c r="G625" i="10"/>
  <c r="E715" i="1" l="1"/>
  <c r="F624" i="1"/>
  <c r="G709" i="10"/>
  <c r="G701" i="10"/>
  <c r="G693" i="10"/>
  <c r="G685" i="10"/>
  <c r="G677" i="10"/>
  <c r="G669" i="10"/>
  <c r="G711" i="10"/>
  <c r="G703" i="10"/>
  <c r="G695" i="10"/>
  <c r="G687" i="10"/>
  <c r="G679" i="10"/>
  <c r="G671" i="10"/>
  <c r="G708" i="10"/>
  <c r="G700" i="10"/>
  <c r="G692" i="10"/>
  <c r="G684" i="10"/>
  <c r="G676" i="10"/>
  <c r="G713" i="10"/>
  <c r="G705" i="10"/>
  <c r="G697" i="10"/>
  <c r="G689" i="10"/>
  <c r="G681" i="10"/>
  <c r="G673" i="10"/>
  <c r="G710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6" i="10"/>
  <c r="G704" i="10"/>
  <c r="G702" i="10"/>
  <c r="G668" i="10"/>
  <c r="G698" i="10"/>
  <c r="G696" i="10"/>
  <c r="G694" i="10"/>
  <c r="G646" i="10"/>
  <c r="G690" i="10"/>
  <c r="G688" i="10"/>
  <c r="G686" i="10"/>
  <c r="G628" i="10"/>
  <c r="G682" i="10"/>
  <c r="G680" i="10"/>
  <c r="G678" i="10"/>
  <c r="G712" i="10"/>
  <c r="G674" i="10"/>
  <c r="G672" i="10"/>
  <c r="G626" i="10"/>
  <c r="G670" i="10"/>
  <c r="G647" i="10"/>
  <c r="G645" i="10"/>
  <c r="G629" i="10"/>
  <c r="G627" i="10"/>
  <c r="F701" i="1" l="1"/>
  <c r="F708" i="1"/>
  <c r="F712" i="1"/>
  <c r="F675" i="1"/>
  <c r="F646" i="1"/>
  <c r="F677" i="1"/>
  <c r="F703" i="1"/>
  <c r="F647" i="1"/>
  <c r="F684" i="1"/>
  <c r="F710" i="1"/>
  <c r="F705" i="1"/>
  <c r="F707" i="1"/>
  <c r="F683" i="1"/>
  <c r="F642" i="1"/>
  <c r="F632" i="1"/>
  <c r="F634" i="1"/>
  <c r="F644" i="1"/>
  <c r="F688" i="1"/>
  <c r="F626" i="1"/>
  <c r="F639" i="1"/>
  <c r="F685" i="1"/>
  <c r="F668" i="1"/>
  <c r="F713" i="1"/>
  <c r="F699" i="1"/>
  <c r="F693" i="1"/>
  <c r="F706" i="1"/>
  <c r="F631" i="1"/>
  <c r="F679" i="1"/>
  <c r="F674" i="1"/>
  <c r="F694" i="1"/>
  <c r="F638" i="1"/>
  <c r="F633" i="1"/>
  <c r="F628" i="1"/>
  <c r="F702" i="1"/>
  <c r="F678" i="1"/>
  <c r="F704" i="1"/>
  <c r="F711" i="1"/>
  <c r="F643" i="1"/>
  <c r="F645" i="1"/>
  <c r="F641" i="1"/>
  <c r="F676" i="1"/>
  <c r="F691" i="1"/>
  <c r="F697" i="1"/>
  <c r="F673" i="1"/>
  <c r="F635" i="1"/>
  <c r="F630" i="1"/>
  <c r="F687" i="1"/>
  <c r="F682" i="1"/>
  <c r="F670" i="1"/>
  <c r="F696" i="1"/>
  <c r="F636" i="1"/>
  <c r="F709" i="1"/>
  <c r="F716" i="1"/>
  <c r="F629" i="1"/>
  <c r="F680" i="1"/>
  <c r="F637" i="1"/>
  <c r="F672" i="1"/>
  <c r="F692" i="1"/>
  <c r="F671" i="1"/>
  <c r="F627" i="1"/>
  <c r="F690" i="1"/>
  <c r="F700" i="1"/>
  <c r="F689" i="1"/>
  <c r="F640" i="1"/>
  <c r="F686" i="1"/>
  <c r="F625" i="1"/>
  <c r="F698" i="1"/>
  <c r="F681" i="1"/>
  <c r="F695" i="1"/>
  <c r="F669" i="1"/>
  <c r="G715" i="10"/>
  <c r="H628" i="10"/>
  <c r="F715" i="1" l="1"/>
  <c r="G625" i="1"/>
  <c r="H706" i="10"/>
  <c r="H698" i="10"/>
  <c r="H690" i="10"/>
  <c r="H682" i="10"/>
  <c r="H674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647" i="10"/>
  <c r="H646" i="10"/>
  <c r="H645" i="10"/>
  <c r="H629" i="10"/>
  <c r="H716" i="10"/>
  <c r="H712" i="10"/>
  <c r="H704" i="10"/>
  <c r="H696" i="10"/>
  <c r="H688" i="10"/>
  <c r="H680" i="10"/>
  <c r="H672" i="10"/>
  <c r="H671" i="10"/>
  <c r="H633" i="10"/>
  <c r="H644" i="10"/>
  <c r="H642" i="10"/>
  <c r="H640" i="10"/>
  <c r="H638" i="10"/>
  <c r="H636" i="10"/>
  <c r="H669" i="10"/>
  <c r="H631" i="10"/>
  <c r="H707" i="10"/>
  <c r="H634" i="10"/>
  <c r="H709" i="10"/>
  <c r="H703" i="10"/>
  <c r="H701" i="10"/>
  <c r="H699" i="10"/>
  <c r="H695" i="10"/>
  <c r="H693" i="10"/>
  <c r="H691" i="10"/>
  <c r="H643" i="10"/>
  <c r="H641" i="10"/>
  <c r="H639" i="10"/>
  <c r="H637" i="10"/>
  <c r="H632" i="10"/>
  <c r="H687" i="10"/>
  <c r="H685" i="10"/>
  <c r="H683" i="10"/>
  <c r="H635" i="10"/>
  <c r="H711" i="10"/>
  <c r="H679" i="10"/>
  <c r="H630" i="10"/>
  <c r="H677" i="10"/>
  <c r="H675" i="10"/>
  <c r="G644" i="1" l="1"/>
  <c r="G704" i="1"/>
  <c r="G641" i="1"/>
  <c r="G701" i="1"/>
  <c r="G694" i="1"/>
  <c r="G706" i="1"/>
  <c r="G688" i="1"/>
  <c r="G684" i="1"/>
  <c r="G693" i="1"/>
  <c r="G632" i="1"/>
  <c r="G669" i="1"/>
  <c r="G672" i="1"/>
  <c r="G643" i="1"/>
  <c r="G703" i="1"/>
  <c r="G682" i="1"/>
  <c r="G634" i="1"/>
  <c r="G699" i="1"/>
  <c r="G647" i="1"/>
  <c r="G642" i="1"/>
  <c r="G696" i="1"/>
  <c r="G702" i="1"/>
  <c r="G707" i="1"/>
  <c r="G705" i="1"/>
  <c r="G713" i="1"/>
  <c r="G631" i="1"/>
  <c r="G700" i="1"/>
  <c r="G636" i="1"/>
  <c r="G697" i="1"/>
  <c r="G683" i="1"/>
  <c r="G712" i="1"/>
  <c r="G674" i="1"/>
  <c r="G638" i="1"/>
  <c r="G711" i="1"/>
  <c r="G635" i="1"/>
  <c r="G698" i="1"/>
  <c r="G687" i="1"/>
  <c r="G646" i="1"/>
  <c r="G633" i="1"/>
  <c r="G677" i="1"/>
  <c r="G681" i="1"/>
  <c r="G628" i="1"/>
  <c r="G630" i="1"/>
  <c r="G670" i="1"/>
  <c r="G639" i="1"/>
  <c r="G710" i="1"/>
  <c r="G716" i="1"/>
  <c r="G692" i="1"/>
  <c r="G629" i="1"/>
  <c r="G689" i="1"/>
  <c r="G637" i="1"/>
  <c r="G645" i="1"/>
  <c r="G675" i="1"/>
  <c r="G680" i="1"/>
  <c r="G709" i="1"/>
  <c r="G695" i="1"/>
  <c r="G685" i="1"/>
  <c r="G673" i="1"/>
  <c r="G671" i="1"/>
  <c r="G626" i="1"/>
  <c r="G708" i="1"/>
  <c r="G668" i="1"/>
  <c r="G679" i="1"/>
  <c r="G676" i="1"/>
  <c r="G690" i="1"/>
  <c r="G678" i="1"/>
  <c r="G691" i="1"/>
  <c r="G686" i="1"/>
  <c r="G640" i="1"/>
  <c r="G627" i="1"/>
  <c r="H715" i="10"/>
  <c r="I629" i="10"/>
  <c r="H628" i="1" l="1"/>
  <c r="H701" i="1" s="1"/>
  <c r="G715" i="1"/>
  <c r="I711" i="10"/>
  <c r="I703" i="10"/>
  <c r="I695" i="10"/>
  <c r="I687" i="10"/>
  <c r="I679" i="10"/>
  <c r="I671" i="10"/>
  <c r="I713" i="10"/>
  <c r="I705" i="10"/>
  <c r="I697" i="10"/>
  <c r="I689" i="10"/>
  <c r="I681" i="10"/>
  <c r="I673" i="10"/>
  <c r="I710" i="10"/>
  <c r="I702" i="10"/>
  <c r="I694" i="10"/>
  <c r="I686" i="10"/>
  <c r="I678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9" i="10"/>
  <c r="I701" i="10"/>
  <c r="I693" i="10"/>
  <c r="I685" i="10"/>
  <c r="I677" i="10"/>
  <c r="I669" i="10"/>
  <c r="I700" i="10"/>
  <c r="I698" i="10"/>
  <c r="I696" i="10"/>
  <c r="I646" i="10"/>
  <c r="I692" i="10"/>
  <c r="I690" i="10"/>
  <c r="I688" i="10"/>
  <c r="I684" i="10"/>
  <c r="I682" i="10"/>
  <c r="I680" i="10"/>
  <c r="I676" i="10"/>
  <c r="I674" i="10"/>
  <c r="I672" i="10"/>
  <c r="I670" i="10"/>
  <c r="I647" i="10"/>
  <c r="I645" i="10"/>
  <c r="I708" i="10"/>
  <c r="I706" i="10"/>
  <c r="I704" i="10"/>
  <c r="I668" i="10"/>
  <c r="H711" i="1" l="1"/>
  <c r="H638" i="1"/>
  <c r="H633" i="1"/>
  <c r="H702" i="1"/>
  <c r="H647" i="1"/>
  <c r="H700" i="1"/>
  <c r="H692" i="1"/>
  <c r="H681" i="1"/>
  <c r="H678" i="1"/>
  <c r="H644" i="1"/>
  <c r="H690" i="1"/>
  <c r="H684" i="1"/>
  <c r="H687" i="1"/>
  <c r="H706" i="1"/>
  <c r="H634" i="1"/>
  <c r="H688" i="1"/>
  <c r="H669" i="1"/>
  <c r="H682" i="1"/>
  <c r="H677" i="1"/>
  <c r="H631" i="1"/>
  <c r="H705" i="1"/>
  <c r="H689" i="1"/>
  <c r="H642" i="1"/>
  <c r="H675" i="1"/>
  <c r="H640" i="1"/>
  <c r="H645" i="1"/>
  <c r="H696" i="1"/>
  <c r="H685" i="1"/>
  <c r="H668" i="1"/>
  <c r="H680" i="1"/>
  <c r="H716" i="1"/>
  <c r="H709" i="1"/>
  <c r="H710" i="1"/>
  <c r="H698" i="1"/>
  <c r="H676" i="1"/>
  <c r="H636" i="1"/>
  <c r="H632" i="1"/>
  <c r="H693" i="1"/>
  <c r="H695" i="1"/>
  <c r="H697" i="1"/>
  <c r="H712" i="1"/>
  <c r="H686" i="1"/>
  <c r="H683" i="1"/>
  <c r="H703" i="1"/>
  <c r="H671" i="1"/>
  <c r="H708" i="1"/>
  <c r="H637" i="1"/>
  <c r="H672" i="1"/>
  <c r="H641" i="1"/>
  <c r="H691" i="1"/>
  <c r="H643" i="1"/>
  <c r="H673" i="1"/>
  <c r="H635" i="1"/>
  <c r="H704" i="1"/>
  <c r="H699" i="1"/>
  <c r="H674" i="1"/>
  <c r="H679" i="1"/>
  <c r="H629" i="1"/>
  <c r="I629" i="1" s="1"/>
  <c r="H630" i="1"/>
  <c r="H713" i="1"/>
  <c r="H670" i="1"/>
  <c r="H694" i="1"/>
  <c r="H707" i="1"/>
  <c r="H646" i="1"/>
  <c r="H639" i="1"/>
  <c r="I715" i="10"/>
  <c r="J630" i="10"/>
  <c r="H715" i="1" l="1"/>
  <c r="I669" i="1"/>
  <c r="I705" i="1"/>
  <c r="I674" i="1"/>
  <c r="I689" i="1"/>
  <c r="I641" i="1"/>
  <c r="I694" i="1"/>
  <c r="I702" i="1"/>
  <c r="I673" i="1"/>
  <c r="I676" i="1"/>
  <c r="I700" i="1"/>
  <c r="I699" i="1"/>
  <c r="I691" i="1"/>
  <c r="I688" i="1"/>
  <c r="I698" i="1"/>
  <c r="I701" i="1"/>
  <c r="I679" i="1"/>
  <c r="I632" i="1"/>
  <c r="I640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647" i="1"/>
  <c r="I636" i="1"/>
  <c r="I716" i="1"/>
  <c r="I677" i="1"/>
  <c r="I683" i="1"/>
  <c r="I697" i="1"/>
  <c r="I704" i="1"/>
  <c r="I712" i="1"/>
  <c r="I708" i="1"/>
  <c r="I692" i="1"/>
  <c r="I630" i="1"/>
  <c r="I646" i="1"/>
  <c r="I685" i="1"/>
  <c r="I675" i="1"/>
  <c r="I690" i="1"/>
  <c r="I686" i="1"/>
  <c r="I639" i="1"/>
  <c r="I631" i="1"/>
  <c r="I638" i="1"/>
  <c r="I637" i="1"/>
  <c r="I709" i="1"/>
  <c r="I668" i="1"/>
  <c r="I703" i="1"/>
  <c r="I682" i="1"/>
  <c r="I687" i="1"/>
  <c r="I710" i="1"/>
  <c r="I671" i="1"/>
  <c r="I706" i="1"/>
  <c r="I707" i="1"/>
  <c r="I672" i="1"/>
  <c r="J708" i="10"/>
  <c r="J700" i="10"/>
  <c r="J692" i="10"/>
  <c r="J684" i="10"/>
  <c r="J676" i="10"/>
  <c r="J668" i="10"/>
  <c r="J71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712" i="10"/>
  <c r="J704" i="10"/>
  <c r="J696" i="10"/>
  <c r="J688" i="10"/>
  <c r="J680" i="10"/>
  <c r="J672" i="10"/>
  <c r="J709" i="10"/>
  <c r="J706" i="10"/>
  <c r="J698" i="10"/>
  <c r="J690" i="10"/>
  <c r="J682" i="10"/>
  <c r="J674" i="10"/>
  <c r="J644" i="10"/>
  <c r="J642" i="10"/>
  <c r="J640" i="10"/>
  <c r="J638" i="10"/>
  <c r="J636" i="10"/>
  <c r="J669" i="10"/>
  <c r="J631" i="10"/>
  <c r="J634" i="10"/>
  <c r="J705" i="10"/>
  <c r="J703" i="10"/>
  <c r="J701" i="10"/>
  <c r="J697" i="10"/>
  <c r="J695" i="10"/>
  <c r="J693" i="10"/>
  <c r="J643" i="10"/>
  <c r="J641" i="10"/>
  <c r="J639" i="10"/>
  <c r="J637" i="10"/>
  <c r="J632" i="10"/>
  <c r="J689" i="10"/>
  <c r="J687" i="10"/>
  <c r="J685" i="10"/>
  <c r="J635" i="10"/>
  <c r="J711" i="10"/>
  <c r="J681" i="10"/>
  <c r="J679" i="10"/>
  <c r="J677" i="10"/>
  <c r="J673" i="10"/>
  <c r="J671" i="10"/>
  <c r="J633" i="10"/>
  <c r="I715" i="1" l="1"/>
  <c r="J630" i="1"/>
  <c r="L647" i="10"/>
  <c r="K644" i="10"/>
  <c r="J715" i="10"/>
  <c r="J707" i="1" l="1"/>
  <c r="J708" i="1"/>
  <c r="J678" i="1"/>
  <c r="J668" i="1"/>
  <c r="J684" i="1"/>
  <c r="J673" i="1"/>
  <c r="J647" i="1"/>
  <c r="J641" i="1"/>
  <c r="J686" i="1"/>
  <c r="J695" i="1"/>
  <c r="J685" i="1"/>
  <c r="J716" i="1"/>
  <c r="J691" i="1"/>
  <c r="J705" i="1"/>
  <c r="J710" i="1"/>
  <c r="J672" i="1"/>
  <c r="J680" i="1"/>
  <c r="J711" i="1"/>
  <c r="J687" i="1"/>
  <c r="J638" i="1"/>
  <c r="J676" i="1"/>
  <c r="J674" i="1"/>
  <c r="J637" i="1"/>
  <c r="J642" i="1"/>
  <c r="J702" i="1"/>
  <c r="J713" i="1"/>
  <c r="J639" i="1"/>
  <c r="J679" i="1"/>
  <c r="J693" i="1"/>
  <c r="J643" i="1"/>
  <c r="J669" i="1"/>
  <c r="J698" i="1"/>
  <c r="J709" i="1"/>
  <c r="J640" i="1"/>
  <c r="J635" i="1"/>
  <c r="J703" i="1"/>
  <c r="J696" i="1"/>
  <c r="J634" i="1"/>
  <c r="J699" i="1"/>
  <c r="J706" i="1"/>
  <c r="J645" i="1"/>
  <c r="J677" i="1"/>
  <c r="J712" i="1"/>
  <c r="J631" i="1"/>
  <c r="J636" i="1"/>
  <c r="J682" i="1"/>
  <c r="J700" i="1"/>
  <c r="J670" i="1"/>
  <c r="J632" i="1"/>
  <c r="J689" i="1"/>
  <c r="J671" i="1"/>
  <c r="J692" i="1"/>
  <c r="J633" i="1"/>
  <c r="J701" i="1"/>
  <c r="J694" i="1"/>
  <c r="J704" i="1"/>
  <c r="J646" i="1"/>
  <c r="J675" i="1"/>
  <c r="J688" i="1"/>
  <c r="J683" i="1"/>
  <c r="J690" i="1"/>
  <c r="J697" i="1"/>
  <c r="J644" i="1"/>
  <c r="J681" i="1"/>
  <c r="K713" i="10"/>
  <c r="K705" i="10"/>
  <c r="K697" i="10"/>
  <c r="K689" i="10"/>
  <c r="K681" i="10"/>
  <c r="K673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669" i="10"/>
  <c r="K711" i="10"/>
  <c r="K703" i="10"/>
  <c r="K695" i="10"/>
  <c r="K687" i="10"/>
  <c r="K679" i="10"/>
  <c r="K671" i="10"/>
  <c r="K694" i="10"/>
  <c r="K692" i="10"/>
  <c r="K690" i="10"/>
  <c r="K710" i="10"/>
  <c r="K686" i="10"/>
  <c r="K684" i="10"/>
  <c r="K682" i="10"/>
  <c r="K678" i="10"/>
  <c r="K676" i="10"/>
  <c r="K674" i="10"/>
  <c r="K670" i="10"/>
  <c r="K708" i="10"/>
  <c r="K706" i="10"/>
  <c r="K668" i="10"/>
  <c r="K702" i="10"/>
  <c r="K700" i="10"/>
  <c r="K698" i="10"/>
  <c r="L710" i="10"/>
  <c r="M710" i="10" s="1"/>
  <c r="L702" i="10"/>
  <c r="L694" i="10"/>
  <c r="L686" i="10"/>
  <c r="M686" i="10" s="1"/>
  <c r="L678" i="10"/>
  <c r="L670" i="10"/>
  <c r="M670" i="10" s="1"/>
  <c r="L716" i="10"/>
  <c r="L712" i="10"/>
  <c r="M712" i="10" s="1"/>
  <c r="L704" i="10"/>
  <c r="L696" i="10"/>
  <c r="L688" i="10"/>
  <c r="L680" i="10"/>
  <c r="M680" i="10" s="1"/>
  <c r="L672" i="10"/>
  <c r="M672" i="10" s="1"/>
  <c r="L709" i="10"/>
  <c r="M709" i="10" s="1"/>
  <c r="L701" i="10"/>
  <c r="M701" i="10" s="1"/>
  <c r="L693" i="10"/>
  <c r="M693" i="10" s="1"/>
  <c r="L685" i="10"/>
  <c r="L677" i="10"/>
  <c r="L706" i="10"/>
  <c r="M706" i="10" s="1"/>
  <c r="L698" i="10"/>
  <c r="L690" i="10"/>
  <c r="M690" i="10" s="1"/>
  <c r="L682" i="10"/>
  <c r="M682" i="10" s="1"/>
  <c r="L674" i="10"/>
  <c r="L711" i="10"/>
  <c r="M711" i="10" s="1"/>
  <c r="L708" i="10"/>
  <c r="M708" i="10" s="1"/>
  <c r="L700" i="10"/>
  <c r="L692" i="10"/>
  <c r="L684" i="10"/>
  <c r="M684" i="10" s="1"/>
  <c r="L676" i="10"/>
  <c r="L668" i="10"/>
  <c r="L669" i="10"/>
  <c r="L713" i="10"/>
  <c r="M713" i="10" s="1"/>
  <c r="L707" i="10"/>
  <c r="M707" i="10" s="1"/>
  <c r="L705" i="10"/>
  <c r="M705" i="10" s="1"/>
  <c r="L703" i="10"/>
  <c r="M703" i="10" s="1"/>
  <c r="L699" i="10"/>
  <c r="M699" i="10" s="1"/>
  <c r="L697" i="10"/>
  <c r="M697" i="10" s="1"/>
  <c r="L695" i="10"/>
  <c r="M695" i="10" s="1"/>
  <c r="L691" i="10"/>
  <c r="M691" i="10" s="1"/>
  <c r="L689" i="10"/>
  <c r="M689" i="10" s="1"/>
  <c r="L687" i="10"/>
  <c r="M687" i="10" s="1"/>
  <c r="L683" i="10"/>
  <c r="M683" i="10" s="1"/>
  <c r="L681" i="10"/>
  <c r="L679" i="10"/>
  <c r="L675" i="10"/>
  <c r="M675" i="10" s="1"/>
  <c r="L673" i="10"/>
  <c r="L671" i="10"/>
  <c r="M671" i="10" s="1"/>
  <c r="K644" i="1" l="1"/>
  <c r="K693" i="1" s="1"/>
  <c r="L647" i="1"/>
  <c r="L676" i="1" s="1"/>
  <c r="J715" i="1"/>
  <c r="M669" i="10"/>
  <c r="M674" i="10"/>
  <c r="M679" i="10"/>
  <c r="M681" i="10"/>
  <c r="M692" i="10"/>
  <c r="M688" i="10"/>
  <c r="M685" i="10"/>
  <c r="M704" i="10"/>
  <c r="M673" i="10"/>
  <c r="L715" i="10"/>
  <c r="M668" i="10"/>
  <c r="M678" i="10"/>
  <c r="K715" i="10"/>
  <c r="M698" i="10"/>
  <c r="M694" i="10"/>
  <c r="M676" i="10"/>
  <c r="M700" i="10"/>
  <c r="M677" i="10"/>
  <c r="M696" i="10"/>
  <c r="M702" i="10"/>
  <c r="L680" i="1" l="1"/>
  <c r="K707" i="1"/>
  <c r="K686" i="1"/>
  <c r="K708" i="1"/>
  <c r="K674" i="1"/>
  <c r="K684" i="1"/>
  <c r="K711" i="1"/>
  <c r="K687" i="1"/>
  <c r="L685" i="1"/>
  <c r="L700" i="1"/>
  <c r="L674" i="1"/>
  <c r="L672" i="1"/>
  <c r="L686" i="1"/>
  <c r="L695" i="1"/>
  <c r="L691" i="1"/>
  <c r="L670" i="1"/>
  <c r="L678" i="1"/>
  <c r="L694" i="1"/>
  <c r="L693" i="1"/>
  <c r="L704" i="1"/>
  <c r="L709" i="1"/>
  <c r="L699" i="1"/>
  <c r="L668" i="1"/>
  <c r="L675" i="1"/>
  <c r="L677" i="1"/>
  <c r="L716" i="1"/>
  <c r="L698" i="1"/>
  <c r="L688" i="1"/>
  <c r="L679" i="1"/>
  <c r="L697" i="1"/>
  <c r="L705" i="1"/>
  <c r="L712" i="1"/>
  <c r="L707" i="1"/>
  <c r="L706" i="1"/>
  <c r="L683" i="1"/>
  <c r="L671" i="1"/>
  <c r="L713" i="1"/>
  <c r="L684" i="1"/>
  <c r="L689" i="1"/>
  <c r="L710" i="1"/>
  <c r="L673" i="1"/>
  <c r="L708" i="1"/>
  <c r="L682" i="1"/>
  <c r="L681" i="1"/>
  <c r="L669" i="1"/>
  <c r="L690" i="1"/>
  <c r="L696" i="1"/>
  <c r="L701" i="1"/>
  <c r="L711" i="1"/>
  <c r="L703" i="1"/>
  <c r="L687" i="1"/>
  <c r="L702" i="1"/>
  <c r="L692" i="1"/>
  <c r="K679" i="1"/>
  <c r="K706" i="1"/>
  <c r="K670" i="1"/>
  <c r="K689" i="1"/>
  <c r="K680" i="1"/>
  <c r="K676" i="1"/>
  <c r="M676" i="1" s="1"/>
  <c r="K673" i="1"/>
  <c r="K716" i="1"/>
  <c r="K671" i="1"/>
  <c r="K712" i="1"/>
  <c r="K685" i="1"/>
  <c r="K700" i="1"/>
  <c r="K672" i="1"/>
  <c r="K682" i="1"/>
  <c r="M682" i="1" s="1"/>
  <c r="K668" i="1"/>
  <c r="K690" i="1"/>
  <c r="K704" i="1"/>
  <c r="K683" i="1"/>
  <c r="M683" i="1" s="1"/>
  <c r="K669" i="1"/>
  <c r="K681" i="1"/>
  <c r="K677" i="1"/>
  <c r="K698" i="1"/>
  <c r="M698" i="1" s="1"/>
  <c r="E151" i="9" s="1"/>
  <c r="K697" i="1"/>
  <c r="K694" i="1"/>
  <c r="K713" i="1"/>
  <c r="K705" i="1"/>
  <c r="K710" i="1"/>
  <c r="K699" i="1"/>
  <c r="K702" i="1"/>
  <c r="K703" i="1"/>
  <c r="K688" i="1"/>
  <c r="M688" i="1" s="1"/>
  <c r="K691" i="1"/>
  <c r="K701" i="1"/>
  <c r="K709" i="1"/>
  <c r="K695" i="1"/>
  <c r="K675" i="1"/>
  <c r="K696" i="1"/>
  <c r="K692" i="1"/>
  <c r="K678" i="1"/>
  <c r="M693" i="1"/>
  <c r="M715" i="10"/>
  <c r="M694" i="1" l="1"/>
  <c r="H119" i="9" s="1"/>
  <c r="M703" i="1"/>
  <c r="M674" i="1"/>
  <c r="M700" i="1"/>
  <c r="G151" i="9" s="1"/>
  <c r="M689" i="1"/>
  <c r="C119" i="9" s="1"/>
  <c r="M709" i="1"/>
  <c r="I183" i="9" s="1"/>
  <c r="M672" i="1"/>
  <c r="G23" i="9" s="1"/>
  <c r="M702" i="1"/>
  <c r="I151" i="9" s="1"/>
  <c r="M687" i="1"/>
  <c r="H87" i="9" s="1"/>
  <c r="M713" i="1"/>
  <c r="M679" i="1"/>
  <c r="G55" i="9" s="1"/>
  <c r="M692" i="1"/>
  <c r="M680" i="1"/>
  <c r="H55" i="9" s="1"/>
  <c r="M686" i="1"/>
  <c r="G87" i="9" s="1"/>
  <c r="M681" i="1"/>
  <c r="M669" i="1"/>
  <c r="D23" i="9" s="1"/>
  <c r="M684" i="1"/>
  <c r="E87" i="9" s="1"/>
  <c r="M711" i="1"/>
  <c r="D215" i="9" s="1"/>
  <c r="M707" i="1"/>
  <c r="M678" i="1"/>
  <c r="F55" i="9" s="1"/>
  <c r="M673" i="1"/>
  <c r="H23" i="9" s="1"/>
  <c r="M685" i="1"/>
  <c r="F87" i="9" s="1"/>
  <c r="M708" i="1"/>
  <c r="M697" i="1"/>
  <c r="D151" i="9" s="1"/>
  <c r="M699" i="1"/>
  <c r="M695" i="1"/>
  <c r="M704" i="1"/>
  <c r="D183" i="9" s="1"/>
  <c r="M671" i="1"/>
  <c r="F23" i="9" s="1"/>
  <c r="M706" i="1"/>
  <c r="M705" i="1"/>
  <c r="M691" i="1"/>
  <c r="E119" i="9" s="1"/>
  <c r="M670" i="1"/>
  <c r="M710" i="1"/>
  <c r="C215" i="9" s="1"/>
  <c r="M696" i="1"/>
  <c r="C151" i="9" s="1"/>
  <c r="M675" i="1"/>
  <c r="C55" i="9" s="1"/>
  <c r="M677" i="1"/>
  <c r="L715" i="1"/>
  <c r="M712" i="1"/>
  <c r="E215" i="9" s="1"/>
  <c r="M690" i="1"/>
  <c r="D119" i="9" s="1"/>
  <c r="M701" i="1"/>
  <c r="D55" i="9"/>
  <c r="K715" i="1"/>
  <c r="I87" i="9"/>
  <c r="D87" i="9"/>
  <c r="M668" i="1"/>
  <c r="G119" i="9"/>
  <c r="C87" i="9"/>
  <c r="C183" i="9" l="1"/>
  <c r="I23" i="9"/>
  <c r="G183" i="9"/>
  <c r="F215" i="9"/>
  <c r="F119" i="9"/>
  <c r="F151" i="9"/>
  <c r="I55" i="9"/>
  <c r="E55" i="9"/>
  <c r="E183" i="9"/>
  <c r="H183" i="9"/>
  <c r="E23" i="9"/>
  <c r="I119" i="9"/>
  <c r="F183" i="9"/>
  <c r="H151" i="9"/>
  <c r="M715" i="1"/>
  <c r="C23" i="9"/>
</calcChain>
</file>

<file path=xl/sharedStrings.xml><?xml version="1.0" encoding="utf-8"?>
<sst xmlns="http://schemas.openxmlformats.org/spreadsheetml/2006/main" count="4407" uniqueCount="1020">
  <si>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</si>
  <si>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</si>
  <si>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</si>
  <si>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</si>
  <si>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</si>
  <si>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</si>
  <si>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</si>
  <si>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</si>
  <si>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</si>
  <si>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</si>
  <si>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</si>
  <si>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</si>
  <si>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</si>
  <si>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</si>
  <si>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</si>
  <si>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</si>
  <si>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</si>
  <si>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</si>
  <si>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</si>
  <si>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</si>
  <si>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</si>
  <si>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</si>
  <si>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</si>
  <si>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</si>
  <si>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</si>
  <si>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</si>
  <si>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</si>
  <si>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</si>
  <si>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</si>
  <si>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</si>
  <si>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</si>
  <si>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</si>
  <si>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</si>
  <si>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</si>
  <si>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</si>
  <si>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</si>
  <si>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</si>
  <si>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</si>
  <si>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</si>
  <si>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</si>
  <si>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</si>
  <si>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</si>
  <si>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</si>
  <si>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</si>
  <si>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</si>
  <si>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</si>
  <si>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</si>
  <si>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</si>
  <si>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</si>
  <si>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</si>
  <si>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</si>
  <si>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</si>
  <si>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</si>
  <si>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</si>
  <si>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</si>
  <si>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</si>
  <si>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</si>
  <si>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</si>
  <si>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</si>
  <si>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</si>
  <si>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</si>
  <si>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</si>
  <si>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</si>
  <si>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</si>
  <si>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</si>
  <si>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</si>
  <si>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</si>
  <si>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</si>
  <si>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</si>
  <si>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</si>
  <si>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</si>
  <si>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</si>
  <si>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</si>
  <si>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</si>
  <si>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</si>
  <si>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</si>
  <si>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</si>
  <si>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</si>
  <si>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</si>
  <si>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</si>
  <si>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</si>
  <si>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</si>
  <si>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</si>
  <si>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</si>
  <si>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</si>
  <si>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</si>
  <si>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</si>
  <si>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</si>
  <si>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</si>
  <si>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</si>
  <si>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</si>
  <si>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</si>
  <si>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</si>
  <si>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</si>
  <si>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</si>
  <si>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</si>
  <si>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</si>
  <si>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</si>
  <si>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</si>
  <si>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</si>
  <si>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</si>
  <si>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</si>
  <si>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</si>
  <si>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</si>
  <si>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</si>
  <si>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</si>
  <si>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</si>
  <si>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</si>
  <si>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</si>
  <si>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</si>
  <si>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</si>
  <si>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</si>
  <si>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</si>
  <si>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</si>
  <si>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</si>
  <si>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</si>
  <si>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</si>
  <si>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</si>
  <si>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</si>
  <si>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</si>
  <si>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</si>
  <si>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</si>
  <si>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</si>
  <si>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</si>
  <si>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</si>
  <si>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</si>
  <si>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</si>
  <si>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</si>
  <si>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</si>
  <si>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</si>
  <si>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</si>
  <si>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</si>
  <si>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</si>
  <si>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</si>
  <si>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</si>
  <si>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</si>
  <si>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</si>
  <si>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</si>
  <si>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</si>
  <si>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</si>
  <si>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</si>
  <si>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</si>
  <si>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</si>
  <si>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</si>
  <si>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</si>
  <si>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</si>
  <si>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</si>
  <si>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</si>
  <si>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</si>
  <si>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</si>
  <si>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</si>
  <si>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</si>
  <si>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</si>
  <si>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</si>
  <si>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</si>
  <si>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</si>
  <si>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</si>
  <si>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</si>
  <si>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</si>
  <si>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</si>
  <si>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</si>
  <si>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</si>
  <si>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</si>
  <si>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</si>
  <si>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</si>
  <si>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</si>
  <si>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</si>
  <si>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</si>
  <si>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</si>
  <si>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</si>
  <si>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</si>
  <si>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</si>
  <si>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</si>
  <si>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</si>
  <si>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</si>
  <si>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</si>
  <si>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</si>
  <si>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</si>
  <si>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</si>
  <si>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</si>
  <si>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</si>
  <si>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</si>
  <si>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</si>
  <si>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</si>
  <si>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</si>
  <si>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</si>
  <si>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</si>
  <si>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</si>
  <si>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</si>
  <si>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</si>
  <si>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</si>
  <si>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</si>
  <si>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</si>
  <si>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</si>
  <si>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</si>
  <si>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</si>
  <si>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</si>
  <si>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</si>
  <si>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</si>
  <si>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</si>
  <si>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</si>
  <si>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</si>
  <si>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</si>
  <si>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</si>
  <si>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</si>
  <si>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</si>
  <si>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</si>
  <si>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</si>
  <si>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</si>
  <si>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</si>
  <si>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</si>
  <si>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</si>
  <si>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</si>
  <si>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</si>
  <si>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</si>
  <si>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</si>
  <si>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</si>
  <si>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</si>
  <si>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</si>
  <si>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</si>
  <si>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</si>
  <si>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</si>
  <si>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</si>
  <si>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</si>
  <si>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</si>
  <si>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</si>
  <si>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</si>
  <si>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</si>
  <si>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</si>
  <si>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</si>
  <si>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</si>
  <si>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</si>
  <si>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</si>
  <si>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</si>
  <si>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</si>
  <si>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</si>
  <si>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</si>
  <si>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</si>
  <si>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</si>
  <si>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</si>
  <si>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</si>
  <si>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</si>
  <si>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</si>
  <si>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</si>
  <si>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</si>
  <si>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</si>
  <si>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</si>
  <si>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</si>
  <si>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</si>
  <si>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</si>
  <si>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</si>
  <si>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</si>
  <si>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</si>
  <si>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</si>
  <si>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</si>
  <si>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</si>
  <si>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</si>
  <si>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</si>
  <si>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</si>
  <si>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</si>
  <si>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</si>
  <si>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</si>
  <si>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</si>
  <si>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</si>
  <si>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</si>
  <si>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</si>
  <si>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</si>
  <si>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</si>
  <si>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</si>
  <si>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</si>
  <si>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</si>
  <si>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</si>
  <si>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</si>
  <si>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</si>
  <si>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</si>
  <si>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</si>
  <si>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</si>
  <si>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</si>
  <si>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</si>
  <si>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</si>
  <si>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</si>
  <si>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</si>
  <si>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</si>
  <si>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</si>
  <si>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</si>
  <si>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</si>
  <si>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</si>
  <si>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</si>
  <si>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</si>
  <si>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</si>
  <si>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</si>
  <si>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</si>
  <si>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</si>
  <si>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</si>
  <si>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</si>
  <si>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</si>
  <si>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</si>
  <si>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</si>
  <si>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</si>
  <si>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</si>
  <si>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</si>
  <si>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</si>
  <si>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</si>
  <si>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</si>
  <si>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</si>
  <si>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</si>
  <si>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</si>
  <si>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</si>
  <si>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</si>
  <si>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</si>
  <si>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</si>
  <si>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</si>
  <si>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</si>
  <si>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</si>
  <si>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</si>
  <si>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</si>
  <si>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</si>
  <si>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</si>
  <si>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</si>
  <si>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</si>
  <si>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</si>
  <si>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</si>
  <si>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</si>
  <si>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</si>
  <si>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</si>
  <si>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</si>
  <si>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</si>
  <si>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</si>
  <si>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</si>
  <si>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</si>
  <si>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</si>
  <si>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</si>
  <si>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</si>
  <si>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</si>
  <si>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</si>
  <si>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</si>
  <si>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</si>
  <si>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</si>
  <si>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</si>
  <si>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</si>
  <si>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</si>
  <si>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</si>
  <si>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</si>
  <si>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</si>
  <si>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</si>
  <si>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</si>
  <si>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</si>
  <si>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</si>
  <si>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</si>
  <si>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</si>
  <si>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</si>
  <si>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</si>
  <si>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</si>
  <si>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</si>
  <si>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</si>
  <si>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</si>
  <si>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</si>
  <si>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</si>
  <si>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</si>
  <si>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</si>
  <si>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</si>
  <si>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</si>
  <si>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</si>
  <si>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</si>
  <si>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</si>
  <si>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</si>
  <si>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</si>
  <si>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</si>
  <si>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</si>
  <si>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</si>
  <si>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</si>
  <si>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</si>
  <si>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</si>
  <si>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</si>
  <si>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</si>
  <si>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</si>
  <si>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</si>
  <si>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</si>
  <si>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</si>
  <si>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</si>
  <si>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</si>
  <si>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</si>
  <si>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</si>
  <si>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</si>
  <si>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</si>
  <si>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</si>
  <si>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</si>
  <si>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</si>
  <si>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</si>
  <si>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</si>
  <si>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</si>
  <si>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</si>
  <si>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</si>
  <si>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</si>
  <si>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</si>
  <si>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</si>
  <si>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</si>
  <si>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</si>
  <si>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</si>
  <si>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</si>
  <si>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</si>
  <si>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</si>
  <si>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</si>
  <si>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</si>
  <si>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</si>
  <si>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</si>
  <si>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</si>
  <si>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</si>
  <si>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</si>
  <si>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</si>
  <si>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</si>
  <si>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</si>
  <si>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</si>
  <si>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</si>
  <si>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</si>
  <si>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</si>
  <si>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</si>
  <si>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</si>
  <si>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</si>
  <si>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</si>
  <si>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</si>
  <si>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</si>
  <si>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</si>
  <si>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</si>
  <si>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</si>
  <si>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</si>
  <si>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</si>
  <si>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</si>
  <si>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</si>
  <si>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</si>
  <si>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</si>
  <si>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</si>
  <si>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</si>
  <si>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</si>
  <si>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</si>
  <si>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</si>
  <si>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</si>
  <si>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</si>
  <si>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</si>
  <si>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</si>
  <si>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</si>
  <si>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</si>
  <si>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</si>
  <si>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</si>
  <si>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</si>
  <si>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</si>
  <si>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</si>
  <si>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</si>
  <si>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</si>
  <si>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</si>
  <si>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</si>
  <si>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</si>
  <si>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</si>
  <si>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</si>
  <si>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</si>
  <si>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</si>
  <si>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</si>
  <si>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</si>
  <si>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</si>
  <si>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</si>
  <si>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</si>
  <si>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</si>
  <si>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</si>
  <si>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</si>
  <si>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</si>
  <si>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</si>
  <si>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</si>
  <si>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</si>
  <si>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</si>
  <si>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</si>
  <si>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</si>
  <si>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</si>
  <si>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</si>
  <si>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</si>
  <si>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</si>
  <si>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</si>
  <si>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</si>
  <si>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</si>
  <si>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</si>
  <si>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</si>
  <si>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</si>
  <si>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</si>
  <si>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</si>
  <si>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</si>
  <si>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</si>
  <si>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</si>
  <si>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</si>
  <si>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</si>
  <si>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</si>
  <si>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</si>
  <si>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</si>
  <si>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</si>
  <si>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</si>
  <si>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</si>
  <si>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</si>
  <si>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</si>
  <si>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</si>
  <si>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</si>
  <si>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</si>
  <si>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</si>
  <si>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</si>
  <si>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</si>
  <si>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</si>
  <si>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</si>
  <si>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</si>
  <si>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</si>
  <si>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</si>
  <si>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</si>
  <si>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</si>
  <si>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</si>
  <si>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</si>
  <si>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</si>
  <si>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</si>
  <si>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</si>
  <si>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</si>
  <si>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</si>
  <si>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</si>
  <si>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</si>
  <si>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</si>
  <si>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</si>
  <si>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</si>
  <si>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</si>
  <si>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</si>
  <si>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</si>
  <si>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</si>
  <si>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</si>
  <si>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</si>
  <si>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</si>
  <si>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</si>
  <si>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</si>
  <si>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</si>
  <si>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</si>
  <si>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</si>
  <si>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</si>
  <si>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</si>
  <si>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</si>
  <si>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</si>
  <si>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</si>
  <si>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</si>
  <si>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</si>
  <si>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</si>
  <si>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</si>
  <si>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</si>
  <si>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</si>
  <si>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</si>
  <si>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</si>
  <si>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</si>
  <si>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</si>
  <si>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</si>
  <si>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</si>
  <si>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</si>
  <si>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</si>
  <si>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</si>
  <si>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</si>
  <si>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</si>
  <si>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</si>
  <si>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</si>
  <si>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</si>
  <si>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</si>
  <si>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</si>
  <si>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</si>
  <si>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</si>
  <si>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</si>
  <si>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</si>
  <si>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</si>
  <si>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</si>
  <si>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</si>
  <si>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</si>
  <si>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</si>
  <si>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</si>
  <si>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</si>
  <si>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</si>
  <si>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</si>
  <si>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</si>
  <si>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</si>
  <si>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</si>
  <si>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</si>
  <si>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</si>
  <si>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</si>
  <si>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</si>
  <si>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</si>
  <si>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</si>
  <si>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</si>
  <si>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</si>
  <si>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</si>
  <si>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</si>
  <si>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</si>
  <si>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</si>
  <si>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</si>
  <si>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</si>
  <si>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</si>
  <si>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</si>
  <si>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</si>
  <si>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</si>
  <si>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</si>
  <si>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</si>
  <si>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</si>
  <si>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</si>
  <si>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</si>
  <si>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</si>
  <si>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</si>
  <si>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</si>
  <si>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</si>
  <si>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</si>
  <si>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</si>
  <si>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</si>
  <si>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</si>
  <si>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</si>
  <si>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</si>
  <si>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</si>
  <si>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</si>
  <si>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</si>
  <si>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</si>
  <si>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</si>
  <si>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</si>
  <si>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</si>
  <si>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</si>
  <si>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</si>
  <si>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</si>
  <si>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</si>
  <si>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</si>
  <si>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</si>
  <si>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</si>
  <si>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</si>
  <si>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</si>
  <si>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</si>
  <si>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</si>
  <si>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</si>
  <si>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</si>
  <si>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</si>
  <si>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</si>
  <si>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</si>
  <si>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</si>
  <si>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</si>
  <si>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</si>
  <si>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</si>
  <si>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</si>
  <si>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</si>
  <si>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</si>
  <si>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</si>
  <si>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</si>
  <si>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</si>
  <si>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</si>
  <si>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</si>
  <si>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</si>
  <si>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</si>
  <si>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</si>
  <si>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</si>
  <si>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</si>
  <si>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</si>
  <si>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</si>
  <si>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</si>
  <si>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</si>
  <si>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</si>
  <si>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</si>
  <si>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</si>
  <si>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</si>
  <si>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</si>
  <si>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</si>
  <si>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</si>
  <si>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</si>
  <si>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</si>
  <si>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</si>
  <si>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</si>
  <si>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</si>
  <si>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</si>
  <si>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</si>
  <si>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</si>
  <si>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</si>
  <si>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</si>
  <si>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</si>
  <si>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</si>
  <si>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</si>
  <si>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</si>
  <si>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</si>
  <si>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</si>
  <si>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</si>
  <si>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</si>
  <si>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</si>
  <si>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</si>
  <si>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</si>
  <si>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</si>
  <si>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</si>
  <si>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</si>
  <si>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</si>
  <si>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</si>
  <si>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</si>
  <si>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</si>
  <si>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</si>
  <si>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</si>
  <si>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</si>
  <si>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</si>
  <si>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</si>
  <si>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</si>
  <si>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</si>
  <si>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</si>
  <si>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</si>
  <si>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</si>
  <si>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</si>
  <si>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</si>
  <si>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</si>
  <si>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</si>
  <si>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</si>
  <si>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</si>
  <si>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</si>
  <si>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</si>
  <si>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</si>
  <si>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</si>
  <si>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</si>
  <si>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</si>
  <si>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</si>
  <si>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</si>
  <si>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</si>
  <si>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</si>
  <si>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</si>
  <si>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</si>
  <si>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</si>
  <si>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</si>
  <si>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</si>
  <si>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</si>
  <si>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</si>
  <si>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</si>
  <si>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</si>
  <si>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</si>
  <si>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</si>
  <si>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</si>
  <si>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</si>
  <si>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</si>
  <si>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</si>
  <si>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</si>
  <si>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</si>
  <si>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</si>
  <si>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</si>
  <si>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</si>
  <si>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</si>
  <si>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</si>
  <si>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</si>
  <si>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</si>
  <si>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</si>
  <si>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</si>
  <si>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</si>
  <si>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</si>
  <si>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</si>
  <si>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</si>
  <si>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</si>
  <si>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</si>
  <si>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</si>
  <si>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</si>
  <si>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</si>
  <si>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</si>
  <si>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</si>
  <si>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</si>
  <si>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</si>
  <si>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</si>
  <si>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</si>
  <si>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</si>
  <si>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</si>
  <si>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</si>
  <si>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</si>
  <si>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</si>
  <si>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</si>
  <si>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</si>
  <si>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</si>
  <si>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</si>
  <si>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</si>
  <si>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</si>
  <si>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</si>
  <si>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</si>
  <si>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</si>
  <si>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</si>
  <si>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</si>
  <si>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</si>
  <si>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</si>
  <si>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</si>
  <si>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</si>
  <si>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</si>
  <si>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</si>
  <si>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</si>
  <si>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</si>
  <si>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</si>
  <si>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</si>
  <si>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</si>
  <si>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</si>
  <si>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</si>
  <si>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</si>
  <si>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</si>
  <si>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</si>
  <si>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</si>
  <si>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</si>
  <si>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</si>
  <si>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</si>
  <si>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</si>
  <si>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</si>
  <si>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</si>
  <si>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</si>
  <si>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</si>
  <si>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</si>
  <si>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</si>
  <si>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</si>
  <si>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</si>
  <si>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</si>
  <si>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</si>
  <si>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</si>
  <si>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</si>
  <si>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</si>
  <si>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</si>
  <si>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</si>
  <si>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</si>
  <si>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</si>
  <si>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</si>
  <si>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</si>
  <si>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</si>
  <si>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</si>
  <si>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</si>
  <si>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</si>
  <si>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</si>
  <si>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</si>
  <si>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</si>
  <si>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</si>
  <si>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</si>
  <si>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</si>
  <si>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</si>
  <si>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</si>
  <si>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</si>
  <si>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</si>
  <si>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</si>
  <si>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</si>
  <si>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</si>
  <si>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</si>
  <si>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</si>
  <si>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</si>
  <si>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</si>
  <si>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</si>
  <si>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</si>
  <si>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</si>
  <si>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</si>
  <si>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</si>
  <si>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</si>
  <si>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</si>
  <si>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</si>
  <si>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</si>
  <si>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</si>
  <si>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</si>
  <si>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</si>
  <si>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</si>
  <si>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</si>
  <si>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</si>
  <si>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</si>
  <si>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</si>
  <si>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</si>
  <si>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</si>
  <si>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</si>
  <si>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</si>
  <si>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</si>
  <si>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</si>
  <si>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</si>
  <si>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</si>
  <si>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</si>
  <si>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</si>
  <si>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</si>
  <si>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</si>
  <si>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</si>
  <si>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</si>
  <si>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</si>
  <si>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</si>
  <si>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</si>
  <si>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</si>
  <si>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</si>
  <si>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</si>
  <si>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</si>
  <si>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</si>
  <si>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</si>
  <si>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</si>
  <si>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</si>
  <si>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</si>
  <si>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</si>
  <si>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</si>
  <si>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</si>
  <si>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</si>
  <si>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</si>
  <si>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</si>
  <si>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</si>
  <si>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</si>
  <si>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</si>
  <si>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</si>
  <si>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</si>
  <si>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</si>
  <si>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</si>
  <si>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</si>
  <si>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</si>
  <si>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</si>
  <si>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</si>
  <si>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</si>
  <si>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</si>
  <si>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</si>
  <si>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</si>
  <si>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</si>
  <si>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</si>
  <si>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</si>
  <si>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</si>
  <si>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</si>
  <si>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</si>
  <si>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</si>
  <si>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</si>
  <si>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</si>
  <si>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</si>
  <si>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</si>
  <si>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</si>
  <si>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</si>
  <si>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</si>
  <si>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</si>
  <si>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</si>
  <si>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</si>
  <si>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</si>
  <si>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</si>
  <si>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</si>
  <si>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</si>
  <si>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</si>
  <si>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</si>
  <si>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</si>
  <si>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</si>
  <si>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</si>
  <si>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</si>
  <si>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</si>
  <si>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</si>
  <si>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</si>
  <si>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</si>
  <si>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</si>
  <si>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</si>
  <si>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</si>
  <si>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</si>
  <si>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</si>
  <si>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</si>
  <si>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</si>
  <si>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</si>
  <si>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</si>
  <si>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</si>
  <si>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</si>
  <si>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</si>
  <si>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</si>
  <si>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</si>
  <si>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</si>
  <si>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</si>
  <si>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</si>
  <si>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</si>
  <si>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</si>
  <si>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</si>
  <si>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</si>
  <si>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</si>
  <si>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</si>
  <si>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</si>
  <si>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</si>
  <si>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</si>
  <si>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</si>
  <si>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</si>
  <si>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</si>
  <si>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</si>
  <si>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</si>
  <si>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</si>
  <si>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</si>
  <si>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</si>
  <si>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</si>
  <si>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</si>
  <si>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</si>
  <si>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</si>
  <si>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</si>
  <si>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</si>
  <si>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</si>
  <si>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</si>
  <si>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</si>
  <si>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</si>
  <si>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</si>
  <si>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</si>
  <si>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</si>
  <si>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</si>
  <si>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</si>
  <si>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</si>
  <si>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</si>
  <si>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</si>
  <si>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</si>
  <si>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</si>
  <si>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</si>
  <si>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</si>
  <si>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</si>
  <si>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</si>
  <si>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</si>
  <si>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</si>
  <si>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</si>
  <si>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</si>
  <si>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</si>
  <si>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</si>
  <si>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</si>
  <si>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</si>
  <si>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</si>
  <si>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</si>
  <si>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</si>
  <si>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</si>
  <si>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</si>
  <si>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</si>
  <si>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</si>
  <si>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</si>
  <si>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</si>
  <si>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157</t>
  </si>
  <si>
    <t>St. Luke's Rehabilitation Institute</t>
  </si>
  <si>
    <t>711 S Cowley Street</t>
  </si>
  <si>
    <t>Spokane, WA 99202</t>
  </si>
  <si>
    <t>Spokane</t>
  </si>
  <si>
    <t>Elaine Couture</t>
  </si>
  <si>
    <t>Helen Andrus</t>
  </si>
  <si>
    <t>Mary Selecky</t>
  </si>
  <si>
    <t>509-473-6000</t>
  </si>
  <si>
    <t>509-473-6978</t>
  </si>
  <si>
    <t>X</t>
  </si>
  <si>
    <t xml:space="preserve">          Laboratory experienced an increase in volume and utilization mix change.</t>
  </si>
  <si>
    <t xml:space="preserve">          Radiology experienced an increase in volume and utilization mix change.</t>
  </si>
  <si>
    <t xml:space="preserve">         Speech Therapy experienced a decrease in volume, utilization mix change, and CPT code changes.</t>
  </si>
  <si>
    <t xml:space="preserve">Larry Soehren </t>
  </si>
  <si>
    <t>Signature of Chief Financial Officer</t>
  </si>
  <si>
    <t>Helen Andrus, CFO</t>
  </si>
  <si>
    <t>Elaine Couture, 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</si>
</sst>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5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37" fontId="9" fillId="0" borderId="0"/>
    <xf numFmtId="9" fontId="4" fillId="0" borderId="0" applyFont="0" applyFill="0" applyBorder="0" applyAlignment="0" applyProtection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37" fontId="9" fillId="0" borderId="0"/>
    <xf numFmtId="0" fontId="8" fillId="0" borderId="0"/>
    <xf numFmtId="37" fontId="9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8" fillId="0" borderId="0" xfId="0" applyFont="1" applyFill="1" applyProtection="1"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8" fontId="12" fillId="4" borderId="14" xfId="0" applyNumberFormat="1" applyFont="1" applyFill="1" applyBorder="1" applyProtection="1">
      <protection locked="0"/>
    </xf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0" borderId="1" xfId="0" applyNumberFormat="1" applyFont="1" applyFill="1" applyBorder="1" applyProtection="1">
      <protection locked="0"/>
    </xf>
    <xf numFmtId="37" fontId="12" fillId="0" borderId="1" xfId="0" applyFont="1" applyFill="1" applyBorder="1" applyProtection="1">
      <protection locked="0"/>
    </xf>
    <xf numFmtId="39" fontId="12" fillId="0" borderId="1" xfId="3" quotePrefix="1" applyNumberFormat="1" applyFont="1" applyFill="1" applyBorder="1" applyProtection="1">
      <protection locked="0"/>
    </xf>
    <xf numFmtId="37" fontId="12" fillId="0" borderId="1" xfId="1" quotePrefix="1" applyNumberFormat="1" applyFont="1" applyFill="1" applyBorder="1" applyProtection="1">
      <protection locked="0"/>
    </xf>
    <xf numFmtId="37" fontId="12" fillId="0" borderId="1" xfId="1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0" fontId="18" fillId="0" borderId="0" xfId="32" applyFont="1"/>
    <xf numFmtId="37" fontId="12" fillId="3" borderId="0" xfId="0" applyFont="1" applyFill="1" applyAlignment="1" applyProtection="1">
      <alignment horizontal="center" vertical="center"/>
    </xf>
  </cellXfs>
  <cellStyles count="35">
    <cellStyle name="Comma" xfId="1" builtinId="3"/>
    <cellStyle name="Comma 10 10" xfId="9"/>
    <cellStyle name="Comma 2" xfId="33"/>
    <cellStyle name="Hyperlink" xfId="2" builtinId="8"/>
    <cellStyle name="Normal" xfId="0" builtinId="0"/>
    <cellStyle name="Normal 10 2 3" xfId="11"/>
    <cellStyle name="Normal 11" xfId="4"/>
    <cellStyle name="Normal 11 2" xfId="23"/>
    <cellStyle name="Normal 158" xfId="22"/>
    <cellStyle name="Normal 163" xfId="28"/>
    <cellStyle name="Normal 168" xfId="20"/>
    <cellStyle name="Normal 170" xfId="21"/>
    <cellStyle name="Normal 175" xfId="13"/>
    <cellStyle name="Normal 2" xfId="30"/>
    <cellStyle name="Normal 213" xfId="27"/>
    <cellStyle name="Normal 220" xfId="14"/>
    <cellStyle name="Normal 240" xfId="15"/>
    <cellStyle name="Normal 277" xfId="16"/>
    <cellStyle name="Normal 288" xfId="17"/>
    <cellStyle name="Normal 3" xfId="32"/>
    <cellStyle name="Normal 326" xfId="18"/>
    <cellStyle name="Normal 346" xfId="19"/>
    <cellStyle name="Normal 4" xfId="31"/>
    <cellStyle name="Normal 420" xfId="24"/>
    <cellStyle name="Normal 428" xfId="25"/>
    <cellStyle name="Normal 448" xfId="26"/>
    <cellStyle name="Normal 557" xfId="6"/>
    <cellStyle name="Normal 561" xfId="7"/>
    <cellStyle name="Normal 568" xfId="8"/>
    <cellStyle name="Normal 576" xfId="10"/>
    <cellStyle name="Normal 6" xfId="29"/>
    <cellStyle name="Percent" xfId="3" builtinId="5"/>
    <cellStyle name="Percent 2" xfId="34"/>
    <cellStyle name="Percent 398" xfId="12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8" t="s">
        <v>967</v>
      </c>
      <c r="B1" s="229"/>
      <c r="C1" s="229"/>
      <c r="D1" s="229"/>
      <c r="E1" s="229"/>
      <c r="F1" s="229"/>
    </row>
    <row r="2" spans="1:6" ht="12.75" customHeight="1" x14ac:dyDescent="0.25">
      <c r="A2" s="229" t="s">
        <v>968</v>
      </c>
      <c r="B2" s="229"/>
      <c r="C2" s="230"/>
      <c r="D2" s="229"/>
      <c r="E2" s="229"/>
      <c r="F2" s="229"/>
    </row>
    <row r="3" spans="1:6" ht="12.75" customHeight="1" x14ac:dyDescent="0.25">
      <c r="A3" s="199"/>
      <c r="C3" s="231"/>
    </row>
    <row r="4" spans="1:6" ht="12.75" customHeight="1" x14ac:dyDescent="0.25">
      <c r="C4" s="231"/>
    </row>
    <row r="5" spans="1:6" ht="12.75" customHeight="1" x14ac:dyDescent="0.25">
      <c r="A5" s="199" t="s">
        <v>992</v>
      </c>
      <c r="C5" s="231"/>
    </row>
    <row r="6" spans="1:6" ht="12.75" customHeight="1" x14ac:dyDescent="0.25">
      <c r="A6" s="199" t="s">
        <v>0</v>
      </c>
      <c r="C6" s="231"/>
    </row>
    <row r="7" spans="1:6" ht="12.75" customHeight="1" x14ac:dyDescent="0.25">
      <c r="A7" s="199" t="s">
        <v>1</v>
      </c>
      <c r="C7" s="231"/>
    </row>
    <row r="8" spans="1:6" ht="12.75" customHeight="1" x14ac:dyDescent="0.25">
      <c r="C8" s="231"/>
    </row>
    <row r="9" spans="1:6" ht="12.75" customHeight="1" x14ac:dyDescent="0.25">
      <c r="C9" s="231"/>
    </row>
    <row r="10" spans="1:6" ht="12.75" customHeight="1" x14ac:dyDescent="0.25">
      <c r="A10" s="198" t="s">
        <v>963</v>
      </c>
      <c r="C10" s="231"/>
    </row>
    <row r="11" spans="1:6" ht="12.75" customHeight="1" x14ac:dyDescent="0.25">
      <c r="A11" s="198" t="s">
        <v>966</v>
      </c>
      <c r="C11" s="231"/>
    </row>
    <row r="12" spans="1:6" ht="12.75" customHeight="1" x14ac:dyDescent="0.25">
      <c r="C12" s="231"/>
    </row>
    <row r="13" spans="1:6" ht="12.75" customHeight="1" x14ac:dyDescent="0.25">
      <c r="C13" s="231"/>
    </row>
    <row r="14" spans="1:6" ht="12.75" customHeight="1" x14ac:dyDescent="0.25">
      <c r="A14" s="199" t="s">
        <v>2</v>
      </c>
      <c r="C14" s="231"/>
    </row>
    <row r="15" spans="1:6" ht="12.75" customHeight="1" x14ac:dyDescent="0.25">
      <c r="A15" s="199"/>
      <c r="C15" s="231"/>
    </row>
    <row r="16" spans="1:6" ht="12.75" customHeight="1" x14ac:dyDescent="0.25">
      <c r="A16" s="180" t="s">
        <v>994</v>
      </c>
      <c r="C16" s="231"/>
      <c r="F16" s="272" t="s">
        <v>993</v>
      </c>
    </row>
    <row r="17" spans="1:6" ht="12.75" customHeight="1" x14ac:dyDescent="0.25">
      <c r="A17" s="180" t="s">
        <v>965</v>
      </c>
      <c r="C17" s="272" t="s">
        <v>993</v>
      </c>
    </row>
    <row r="18" spans="1:6" ht="12.75" customHeight="1" x14ac:dyDescent="0.25">
      <c r="A18" s="223"/>
      <c r="C18" s="231"/>
    </row>
    <row r="19" spans="1:6" ht="12.75" customHeight="1" x14ac:dyDescent="0.25">
      <c r="C19" s="231"/>
    </row>
    <row r="20" spans="1:6" ht="12.75" customHeight="1" x14ac:dyDescent="0.25">
      <c r="A20" s="268" t="s">
        <v>969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1"/>
    </row>
    <row r="22" spans="1:6" ht="12.6" customHeight="1" x14ac:dyDescent="0.25">
      <c r="A22" s="232" t="s">
        <v>989</v>
      </c>
      <c r="B22" s="233"/>
      <c r="C22" s="234"/>
      <c r="D22" s="232"/>
      <c r="E22" s="232"/>
    </row>
    <row r="23" spans="1:6" ht="12.6" customHeight="1" x14ac:dyDescent="0.25">
      <c r="B23" s="199"/>
      <c r="C23" s="231"/>
    </row>
    <row r="24" spans="1:6" ht="12.6" customHeight="1" x14ac:dyDescent="0.25">
      <c r="A24" s="235" t="s">
        <v>3</v>
      </c>
      <c r="C24" s="231"/>
    </row>
    <row r="25" spans="1:6" ht="12.6" customHeight="1" x14ac:dyDescent="0.25">
      <c r="A25" s="198" t="s">
        <v>970</v>
      </c>
      <c r="C25" s="231"/>
    </row>
    <row r="26" spans="1:6" ht="12.6" customHeight="1" x14ac:dyDescent="0.25">
      <c r="A26" s="199" t="s">
        <v>4</v>
      </c>
      <c r="C26" s="231"/>
    </row>
    <row r="27" spans="1:6" ht="12.6" customHeight="1" x14ac:dyDescent="0.25">
      <c r="A27" s="198" t="s">
        <v>971</v>
      </c>
      <c r="C27" s="231"/>
    </row>
    <row r="28" spans="1:6" ht="12.6" customHeight="1" x14ac:dyDescent="0.25">
      <c r="A28" s="199" t="s">
        <v>5</v>
      </c>
      <c r="C28" s="231"/>
    </row>
    <row r="29" spans="1:6" ht="12.6" customHeight="1" x14ac:dyDescent="0.25">
      <c r="A29" s="198"/>
      <c r="C29" s="231"/>
    </row>
    <row r="30" spans="1:6" ht="12.6" customHeight="1" x14ac:dyDescent="0.25">
      <c r="A30" s="180" t="s">
        <v>6</v>
      </c>
      <c r="C30" s="231"/>
    </row>
    <row r="31" spans="1:6" ht="12.6" customHeight="1" x14ac:dyDescent="0.25">
      <c r="A31" s="199" t="s">
        <v>7</v>
      </c>
      <c r="C31" s="231"/>
    </row>
    <row r="32" spans="1:6" ht="12.6" customHeight="1" x14ac:dyDescent="0.25">
      <c r="A32" s="199" t="s">
        <v>8</v>
      </c>
      <c r="C32" s="231"/>
    </row>
    <row r="33" spans="1:83" ht="12.6" customHeight="1" x14ac:dyDescent="0.25">
      <c r="A33" s="198" t="s">
        <v>972</v>
      </c>
      <c r="C33" s="231"/>
    </row>
    <row r="34" spans="1:83" ht="12.6" customHeight="1" x14ac:dyDescent="0.25">
      <c r="A34" s="199" t="s">
        <v>9</v>
      </c>
      <c r="C34" s="231"/>
    </row>
    <row r="35" spans="1:83" ht="12.6" customHeight="1" x14ac:dyDescent="0.25">
      <c r="A35" s="199"/>
      <c r="C35" s="231"/>
    </row>
    <row r="36" spans="1:83" ht="12.6" customHeight="1" x14ac:dyDescent="0.25">
      <c r="A36" s="198" t="s">
        <v>973</v>
      </c>
      <c r="C36" s="231"/>
    </row>
    <row r="37" spans="1:83" ht="12.6" customHeight="1" x14ac:dyDescent="0.25">
      <c r="A37" s="199" t="s">
        <v>964</v>
      </c>
      <c r="C37" s="231"/>
    </row>
    <row r="38" spans="1:83" ht="12" customHeight="1" x14ac:dyDescent="0.25">
      <c r="A38" s="198"/>
      <c r="C38" s="231"/>
    </row>
    <row r="39" spans="1:83" ht="12.6" customHeight="1" x14ac:dyDescent="0.25">
      <c r="A39" s="199"/>
      <c r="C39" s="231"/>
    </row>
    <row r="40" spans="1:83" ht="12" customHeight="1" x14ac:dyDescent="0.25">
      <c r="A40" s="199"/>
      <c r="C40" s="231"/>
    </row>
    <row r="41" spans="1:83" ht="12" customHeight="1" x14ac:dyDescent="0.25">
      <c r="A41" s="199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5">
      <c r="A42" s="199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5">
      <c r="A43" s="199"/>
      <c r="C43" s="23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8363088</v>
      </c>
      <c r="C48" s="240">
        <f>ROUND(((B48/CE61)*C61),0)</f>
        <v>0</v>
      </c>
      <c r="D48" s="240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2324812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18772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181609</v>
      </c>
      <c r="AC48" s="195">
        <f>ROUND(((B48/CE61)*AC61),0)</f>
        <v>114581</v>
      </c>
      <c r="AD48" s="195">
        <f>ROUND(((B48/CE61)*AD61),0)</f>
        <v>0</v>
      </c>
      <c r="AE48" s="195">
        <f>ROUND(((B48/CE61)*AE61),0)</f>
        <v>588822</v>
      </c>
      <c r="AF48" s="195">
        <f>ROUND(((B48/CE61)*AF61),0)</f>
        <v>53265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1941477</v>
      </c>
      <c r="AK48" s="195">
        <f>ROUND(((B48/CE61)*AK61),0)</f>
        <v>345115</v>
      </c>
      <c r="AL48" s="195">
        <f>ROUND(((B48/CE61)*AL61),0)</f>
        <v>142996</v>
      </c>
      <c r="AM48" s="195">
        <f>ROUND(((B48/CE61)*AM61),0)</f>
        <v>50159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649139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36779</v>
      </c>
      <c r="AX48" s="195">
        <f>ROUND(((B48/CE61)*AX61),0)</f>
        <v>0</v>
      </c>
      <c r="AY48" s="195">
        <f>ROUND(((B48/CE61)*AY61),0)</f>
        <v>271081</v>
      </c>
      <c r="AZ48" s="195">
        <f>ROUND(((B48/CE61)*AZ61),0)</f>
        <v>0</v>
      </c>
      <c r="BA48" s="195">
        <f>ROUND(((B48/CE61)*BA61),0)</f>
        <v>8534</v>
      </c>
      <c r="BB48" s="195">
        <f>ROUND(((B48/CE61)*BB61),0)</f>
        <v>208163</v>
      </c>
      <c r="BC48" s="195">
        <f>ROUND(((B48/CE61)*BC61),0)</f>
        <v>11869</v>
      </c>
      <c r="BD48" s="195">
        <f>ROUND(((B48/CE61)*BD61),0)</f>
        <v>0</v>
      </c>
      <c r="BE48" s="195">
        <f>ROUND(((B48/CE61)*BE61),0)</f>
        <v>231235</v>
      </c>
      <c r="BF48" s="195">
        <f>ROUND(((B48/CE61)*BF61),0)</f>
        <v>134287</v>
      </c>
      <c r="BG48" s="195">
        <f>ROUND(((B48/CE61)*BG61),0)</f>
        <v>15814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79915</v>
      </c>
      <c r="BL48" s="195">
        <f>ROUND(((B48/CE61)*BL61),0)</f>
        <v>244632</v>
      </c>
      <c r="BM48" s="195">
        <f>ROUND(((B48/CE61)*BM61),0)</f>
        <v>0</v>
      </c>
      <c r="BN48" s="195">
        <f>ROUND(((B48/CE61)*BN61),0)</f>
        <v>247417</v>
      </c>
      <c r="BO48" s="195">
        <f>ROUND(((B48/CE61)*BO61),0)</f>
        <v>0</v>
      </c>
      <c r="BP48" s="195">
        <f>ROUND(((B48/CE61)*BP61),0)</f>
        <v>13922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26494</v>
      </c>
      <c r="BU48" s="195">
        <f>ROUND(((B48/CE61)*BU61),0)</f>
        <v>0</v>
      </c>
      <c r="BV48" s="195">
        <f>ROUND(((B48/CE61)*BV61),0)</f>
        <v>69884</v>
      </c>
      <c r="BW48" s="195">
        <f>ROUND(((B48/CE61)*BW61),0)</f>
        <v>102387</v>
      </c>
      <c r="BX48" s="195">
        <f>ROUND(((B48/CE61)*BX61),0)</f>
        <v>235494</v>
      </c>
      <c r="BY48" s="195">
        <f>ROUND(((B48/CE61)*BY61),0)</f>
        <v>7550</v>
      </c>
      <c r="BZ48" s="195">
        <f>ROUND(((B48/CE61)*BZ61),0)</f>
        <v>0</v>
      </c>
      <c r="CA48" s="195">
        <f>ROUND(((B48/CE61)*CA61),0)</f>
        <v>638</v>
      </c>
      <c r="CB48" s="195">
        <f>ROUND(((B48/CE61)*CB61),0)</f>
        <v>323</v>
      </c>
      <c r="CC48" s="195">
        <f>ROUND(((B48/CE61)*CC61),0)</f>
        <v>5924</v>
      </c>
      <c r="CD48" s="195"/>
      <c r="CE48" s="195">
        <f>SUM(C48:CD48)</f>
        <v>8363089</v>
      </c>
    </row>
    <row r="49" spans="1:84" ht="12.6" customHeight="1" x14ac:dyDescent="0.25">
      <c r="A49" s="175" t="s">
        <v>206</v>
      </c>
      <c r="B49" s="195">
        <f>B47+B48</f>
        <v>8363088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1125872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213542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6258</v>
      </c>
      <c r="AC52" s="195">
        <f>ROUND((B52/(CE76+CF76)*AC76),0)</f>
        <v>3315</v>
      </c>
      <c r="AD52" s="195">
        <f>ROUND((B52/(CE76+CF76)*AD76),0)</f>
        <v>0</v>
      </c>
      <c r="AE52" s="195">
        <f>ROUND((B52/(CE76+CF76)*AE76),0)</f>
        <v>58641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114311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166665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20934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27050</v>
      </c>
      <c r="AZ52" s="195">
        <f>ROUND((B52/(CE76+CF76)*AZ76),0)</f>
        <v>10213</v>
      </c>
      <c r="BA52" s="195">
        <f>ROUND((B52/(CE76+CF76)*BA76),0)</f>
        <v>6139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320730</v>
      </c>
      <c r="BF52" s="195">
        <f>ROUND((B52/(CE76+CF76)*BF76),0)</f>
        <v>3067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87219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8170</v>
      </c>
      <c r="BW52" s="195">
        <f>ROUND((B52/(CE76+CF76)*BW76),0)</f>
        <v>55474</v>
      </c>
      <c r="BX52" s="195">
        <f>ROUND((B52/(CE76+CF76)*BX76),0)</f>
        <v>8851</v>
      </c>
      <c r="BY52" s="195">
        <f>ROUND((B52/(CE76+CF76)*BY76),0)</f>
        <v>13043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2250</v>
      </c>
      <c r="CD52" s="195"/>
      <c r="CE52" s="195">
        <f>SUM(C52:CD52)</f>
        <v>1125872</v>
      </c>
    </row>
    <row r="53" spans="1:84" ht="12.6" customHeight="1" x14ac:dyDescent="0.25">
      <c r="A53" s="175" t="s">
        <v>206</v>
      </c>
      <c r="B53" s="195">
        <f>B51+B52</f>
        <v>1125872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5">
      <c r="A59" s="171" t="s">
        <v>233</v>
      </c>
      <c r="B59" s="175"/>
      <c r="C59" s="286"/>
      <c r="D59" s="184"/>
      <c r="E59" s="184"/>
      <c r="F59" s="184"/>
      <c r="G59" s="184">
        <v>19848</v>
      </c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3"/>
      <c r="T59" s="243"/>
      <c r="U59" s="285">
        <v>97213</v>
      </c>
      <c r="V59" s="185"/>
      <c r="W59" s="284">
        <v>25</v>
      </c>
      <c r="X59" s="284">
        <v>137</v>
      </c>
      <c r="Y59" s="284">
        <v>226</v>
      </c>
      <c r="Z59" s="284"/>
      <c r="AA59" s="284">
        <v>4</v>
      </c>
      <c r="AB59" s="243"/>
      <c r="AC59" s="284">
        <v>8219</v>
      </c>
      <c r="AD59" s="284"/>
      <c r="AE59" s="284">
        <v>97520</v>
      </c>
      <c r="AF59" s="284">
        <v>10647</v>
      </c>
      <c r="AG59" s="185"/>
      <c r="AH59" s="185"/>
      <c r="AI59" s="185"/>
      <c r="AJ59" s="185">
        <f>2183+56392</f>
        <v>58575</v>
      </c>
      <c r="AK59" s="185">
        <v>104962</v>
      </c>
      <c r="AL59" s="185">
        <v>20781</v>
      </c>
      <c r="AM59" s="185">
        <v>15749</v>
      </c>
      <c r="AN59" s="185"/>
      <c r="AO59" s="185"/>
      <c r="AP59" s="185">
        <v>48710</v>
      </c>
      <c r="AQ59" s="185"/>
      <c r="AR59" s="185"/>
      <c r="AS59" s="185"/>
      <c r="AT59" s="185"/>
      <c r="AU59" s="185"/>
      <c r="AV59" s="243"/>
      <c r="AW59" s="243"/>
      <c r="AX59" s="243"/>
      <c r="AY59" s="185">
        <v>59439</v>
      </c>
      <c r="AZ59" s="185"/>
      <c r="BA59" s="243"/>
      <c r="BB59" s="243"/>
      <c r="BC59" s="243"/>
      <c r="BD59" s="243"/>
      <c r="BE59" s="185">
        <v>190169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5"/>
    </row>
    <row r="60" spans="1:84" ht="12.6" customHeight="1" x14ac:dyDescent="0.25">
      <c r="A60" s="245" t="s">
        <v>234</v>
      </c>
      <c r="B60" s="175"/>
      <c r="C60" s="283"/>
      <c r="D60" s="187"/>
      <c r="E60" s="187"/>
      <c r="F60" s="219"/>
      <c r="G60" s="187">
        <v>139.6</v>
      </c>
      <c r="H60" s="187"/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>
        <v>1.94</v>
      </c>
      <c r="T60" s="217"/>
      <c r="U60" s="217"/>
      <c r="V60" s="217"/>
      <c r="W60" s="217"/>
      <c r="X60" s="217"/>
      <c r="Y60" s="217"/>
      <c r="Z60" s="217"/>
      <c r="AA60" s="217"/>
      <c r="AB60" s="217">
        <v>7.29</v>
      </c>
      <c r="AC60" s="217">
        <v>6.16</v>
      </c>
      <c r="AD60" s="217"/>
      <c r="AE60" s="217">
        <v>35.94</v>
      </c>
      <c r="AF60" s="217">
        <v>2.06</v>
      </c>
      <c r="AG60" s="217"/>
      <c r="AH60" s="217"/>
      <c r="AI60" s="217"/>
      <c r="AJ60" s="217">
        <v>72.67</v>
      </c>
      <c r="AK60" s="217">
        <v>19.07</v>
      </c>
      <c r="AL60" s="217">
        <v>7.11</v>
      </c>
      <c r="AM60" s="217">
        <v>3.48</v>
      </c>
      <c r="AN60" s="217"/>
      <c r="AO60" s="217"/>
      <c r="AP60" s="217">
        <v>31.75</v>
      </c>
      <c r="AQ60" s="217"/>
      <c r="AR60" s="217"/>
      <c r="AS60" s="217"/>
      <c r="AT60" s="217"/>
      <c r="AU60" s="217"/>
      <c r="AV60" s="217"/>
      <c r="AW60" s="217">
        <v>1.03</v>
      </c>
      <c r="AX60" s="217"/>
      <c r="AY60" s="217">
        <v>25.29</v>
      </c>
      <c r="AZ60" s="217"/>
      <c r="BA60" s="217">
        <v>0.93</v>
      </c>
      <c r="BB60" s="217">
        <v>9.92</v>
      </c>
      <c r="BC60" s="217">
        <v>1.46</v>
      </c>
      <c r="BD60" s="217"/>
      <c r="BE60" s="217">
        <v>16.66</v>
      </c>
      <c r="BF60" s="217">
        <v>15.61</v>
      </c>
      <c r="BG60" s="217">
        <v>1.56</v>
      </c>
      <c r="BH60" s="217"/>
      <c r="BI60" s="217"/>
      <c r="BJ60" s="217"/>
      <c r="BK60" s="217">
        <v>6.47</v>
      </c>
      <c r="BL60" s="217">
        <v>25.13</v>
      </c>
      <c r="BM60" s="217"/>
      <c r="BN60" s="217">
        <v>9.4</v>
      </c>
      <c r="BO60" s="217"/>
      <c r="BP60" s="217">
        <v>0.82</v>
      </c>
      <c r="BQ60" s="217"/>
      <c r="BR60" s="217"/>
      <c r="BS60" s="217"/>
      <c r="BT60" s="217">
        <v>1.62</v>
      </c>
      <c r="BU60" s="217"/>
      <c r="BV60" s="217">
        <v>5.81</v>
      </c>
      <c r="BW60" s="217">
        <v>2.89</v>
      </c>
      <c r="BX60" s="217">
        <v>10.02</v>
      </c>
      <c r="BY60" s="217">
        <v>0.4</v>
      </c>
      <c r="BZ60" s="217"/>
      <c r="CA60" s="217">
        <v>0.04</v>
      </c>
      <c r="CB60" s="217">
        <v>0.02</v>
      </c>
      <c r="CC60" s="217">
        <v>0.49</v>
      </c>
      <c r="CD60" s="244" t="s">
        <v>221</v>
      </c>
      <c r="CE60" s="246">
        <f t="shared" ref="CE60:CE70" si="0">SUM(C60:CD60)</f>
        <v>462.64</v>
      </c>
    </row>
    <row r="61" spans="1:84" ht="12.6" customHeight="1" x14ac:dyDescent="0.25">
      <c r="A61" s="171" t="s">
        <v>235</v>
      </c>
      <c r="B61" s="175"/>
      <c r="C61" s="286"/>
      <c r="D61" s="184"/>
      <c r="E61" s="184"/>
      <c r="F61" s="185"/>
      <c r="G61" s="286">
        <v>9355370</v>
      </c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284">
        <v>75543</v>
      </c>
      <c r="T61" s="284"/>
      <c r="U61" s="284"/>
      <c r="V61" s="284"/>
      <c r="W61" s="284"/>
      <c r="X61" s="284"/>
      <c r="Y61" s="284"/>
      <c r="Z61" s="284"/>
      <c r="AA61" s="284"/>
      <c r="AB61" s="284">
        <v>730819</v>
      </c>
      <c r="AC61" s="284">
        <v>461091</v>
      </c>
      <c r="AD61" s="185"/>
      <c r="AE61" s="284">
        <f>1804921+481203+83379</f>
        <v>2369503</v>
      </c>
      <c r="AF61" s="284">
        <v>214344</v>
      </c>
      <c r="AG61" s="284"/>
      <c r="AH61" s="284"/>
      <c r="AI61" s="284"/>
      <c r="AJ61" s="284">
        <f>1599659+175577+719192+271057+399020+309048+3369780+766919+1230+201292</f>
        <v>7812774</v>
      </c>
      <c r="AK61" s="284">
        <v>1388789</v>
      </c>
      <c r="AL61" s="284">
        <v>575435</v>
      </c>
      <c r="AM61" s="284">
        <v>201847</v>
      </c>
      <c r="AN61" s="284"/>
      <c r="AO61" s="284"/>
      <c r="AP61" s="284">
        <f>769792+636334+330541+343095+315609+216856</f>
        <v>2612227</v>
      </c>
      <c r="AQ61" s="185"/>
      <c r="AR61" s="185"/>
      <c r="AS61" s="185"/>
      <c r="AT61" s="185"/>
      <c r="AU61" s="185"/>
      <c r="AV61" s="185"/>
      <c r="AW61" s="284">
        <v>148004</v>
      </c>
      <c r="AX61" s="284"/>
      <c r="AY61" s="284">
        <v>1090866</v>
      </c>
      <c r="AZ61" s="284"/>
      <c r="BA61" s="284">
        <v>34344</v>
      </c>
      <c r="BB61" s="284">
        <v>837677</v>
      </c>
      <c r="BC61" s="284">
        <v>47763</v>
      </c>
      <c r="BD61" s="185"/>
      <c r="BE61" s="284">
        <f>54845+530141+345534</f>
        <v>930520</v>
      </c>
      <c r="BF61" s="284">
        <v>540390</v>
      </c>
      <c r="BG61" s="284">
        <v>63639</v>
      </c>
      <c r="BH61" s="284"/>
      <c r="BI61" s="284"/>
      <c r="BJ61" s="284"/>
      <c r="BK61" s="284">
        <v>321588</v>
      </c>
      <c r="BL61" s="284">
        <v>984434</v>
      </c>
      <c r="BM61" s="284"/>
      <c r="BN61" s="284">
        <f>790990+204652</f>
        <v>995642</v>
      </c>
      <c r="BO61" s="284"/>
      <c r="BP61" s="284">
        <v>56024</v>
      </c>
      <c r="BQ61" s="185"/>
      <c r="BR61" s="185"/>
      <c r="BS61" s="185"/>
      <c r="BT61" s="284">
        <v>106615</v>
      </c>
      <c r="BU61" s="284"/>
      <c r="BV61" s="284">
        <v>281221</v>
      </c>
      <c r="BW61" s="284">
        <f>87343+324676</f>
        <v>412019</v>
      </c>
      <c r="BX61" s="284">
        <f>682847+3080+261734</f>
        <v>947661</v>
      </c>
      <c r="BY61" s="284">
        <v>30381</v>
      </c>
      <c r="BZ61" s="284"/>
      <c r="CA61" s="284">
        <v>2567</v>
      </c>
      <c r="CB61" s="284">
        <v>1299</v>
      </c>
      <c r="CC61" s="284">
        <v>23838</v>
      </c>
      <c r="CD61" s="244" t="s">
        <v>221</v>
      </c>
      <c r="CE61" s="195">
        <f t="shared" si="0"/>
        <v>33654234</v>
      </c>
      <c r="CF61" s="247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2324812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18772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181609</v>
      </c>
      <c r="AC62" s="195">
        <f t="shared" si="1"/>
        <v>114581</v>
      </c>
      <c r="AD62" s="195">
        <f t="shared" si="1"/>
        <v>0</v>
      </c>
      <c r="AE62" s="195">
        <f t="shared" si="1"/>
        <v>588822</v>
      </c>
      <c r="AF62" s="195">
        <f t="shared" si="1"/>
        <v>53265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1941477</v>
      </c>
      <c r="AK62" s="195">
        <f t="shared" si="1"/>
        <v>345115</v>
      </c>
      <c r="AL62" s="195">
        <f t="shared" si="1"/>
        <v>142996</v>
      </c>
      <c r="AM62" s="195">
        <f t="shared" si="1"/>
        <v>50159</v>
      </c>
      <c r="AN62" s="195">
        <f t="shared" si="1"/>
        <v>0</v>
      </c>
      <c r="AO62" s="195">
        <f t="shared" si="1"/>
        <v>0</v>
      </c>
      <c r="AP62" s="195">
        <f t="shared" si="1"/>
        <v>649139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36779</v>
      </c>
      <c r="AX62" s="195">
        <f t="shared" si="1"/>
        <v>0</v>
      </c>
      <c r="AY62" s="195">
        <f>ROUND(AY47+AY48,0)</f>
        <v>271081</v>
      </c>
      <c r="AZ62" s="195">
        <f>ROUND(AZ47+AZ48,0)</f>
        <v>0</v>
      </c>
      <c r="BA62" s="195">
        <f>ROUND(BA47+BA48,0)</f>
        <v>8534</v>
      </c>
      <c r="BB62" s="195">
        <f t="shared" si="1"/>
        <v>208163</v>
      </c>
      <c r="BC62" s="195">
        <f t="shared" si="1"/>
        <v>11869</v>
      </c>
      <c r="BD62" s="195">
        <f t="shared" si="1"/>
        <v>0</v>
      </c>
      <c r="BE62" s="195">
        <f t="shared" si="1"/>
        <v>231235</v>
      </c>
      <c r="BF62" s="195">
        <f t="shared" si="1"/>
        <v>134287</v>
      </c>
      <c r="BG62" s="195">
        <f t="shared" si="1"/>
        <v>15814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79915</v>
      </c>
      <c r="BL62" s="195">
        <f t="shared" si="1"/>
        <v>244632</v>
      </c>
      <c r="BM62" s="195">
        <f t="shared" si="1"/>
        <v>0</v>
      </c>
      <c r="BN62" s="195">
        <f t="shared" si="1"/>
        <v>247417</v>
      </c>
      <c r="BO62" s="195">
        <f t="shared" ref="BO62:CC62" si="2">ROUND(BO47+BO48,0)</f>
        <v>0</v>
      </c>
      <c r="BP62" s="195">
        <f t="shared" si="2"/>
        <v>13922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26494</v>
      </c>
      <c r="BU62" s="195">
        <f t="shared" si="2"/>
        <v>0</v>
      </c>
      <c r="BV62" s="195">
        <f t="shared" si="2"/>
        <v>69884</v>
      </c>
      <c r="BW62" s="195">
        <f t="shared" si="2"/>
        <v>102387</v>
      </c>
      <c r="BX62" s="195">
        <f t="shared" si="2"/>
        <v>235494</v>
      </c>
      <c r="BY62" s="195">
        <f t="shared" si="2"/>
        <v>7550</v>
      </c>
      <c r="BZ62" s="195">
        <f t="shared" si="2"/>
        <v>0</v>
      </c>
      <c r="CA62" s="195">
        <f t="shared" si="2"/>
        <v>638</v>
      </c>
      <c r="CB62" s="195">
        <f t="shared" si="2"/>
        <v>323</v>
      </c>
      <c r="CC62" s="195">
        <f t="shared" si="2"/>
        <v>5924</v>
      </c>
      <c r="CD62" s="244" t="s">
        <v>221</v>
      </c>
      <c r="CE62" s="195">
        <f t="shared" si="0"/>
        <v>8363089</v>
      </c>
      <c r="CF62" s="247"/>
    </row>
    <row r="63" spans="1:84" ht="12.6" customHeight="1" x14ac:dyDescent="0.25">
      <c r="A63" s="171" t="s">
        <v>236</v>
      </c>
      <c r="B63" s="175"/>
      <c r="C63" s="286"/>
      <c r="D63" s="184"/>
      <c r="E63" s="184"/>
      <c r="F63" s="185"/>
      <c r="G63" s="286">
        <v>0</v>
      </c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185"/>
      <c r="AE63" s="284"/>
      <c r="AF63" s="284"/>
      <c r="AG63" s="284"/>
      <c r="AH63" s="284"/>
      <c r="AI63" s="284"/>
      <c r="AJ63" s="284">
        <f>19112+326480</f>
        <v>345592</v>
      </c>
      <c r="AK63" s="284"/>
      <c r="AL63" s="284"/>
      <c r="AM63" s="284"/>
      <c r="AN63" s="284"/>
      <c r="AO63" s="284"/>
      <c r="AP63" s="284"/>
      <c r="AQ63" s="185"/>
      <c r="AR63" s="185"/>
      <c r="AS63" s="185"/>
      <c r="AT63" s="185"/>
      <c r="AU63" s="185"/>
      <c r="AV63" s="185"/>
      <c r="AW63" s="284"/>
      <c r="AX63" s="284"/>
      <c r="AY63" s="284"/>
      <c r="AZ63" s="284"/>
      <c r="BA63" s="284"/>
      <c r="BB63" s="284"/>
      <c r="BC63" s="284"/>
      <c r="BD63" s="185"/>
      <c r="BE63" s="284"/>
      <c r="BF63" s="284"/>
      <c r="BG63" s="284"/>
      <c r="BH63" s="284"/>
      <c r="BI63" s="284"/>
      <c r="BJ63" s="284"/>
      <c r="BK63" s="284">
        <v>230338</v>
      </c>
      <c r="BL63" s="284"/>
      <c r="BM63" s="284"/>
      <c r="BN63" s="284">
        <f>131523</f>
        <v>131523</v>
      </c>
      <c r="BO63" s="284"/>
      <c r="BP63" s="284">
        <v>2285</v>
      </c>
      <c r="BQ63" s="185"/>
      <c r="BR63" s="185"/>
      <c r="BS63" s="284"/>
      <c r="BT63" s="284"/>
      <c r="BU63" s="284"/>
      <c r="BV63" s="284"/>
      <c r="BW63" s="284">
        <f>625</f>
        <v>625</v>
      </c>
      <c r="BX63" s="284"/>
      <c r="BY63" s="284"/>
      <c r="BZ63" s="284"/>
      <c r="CA63" s="284"/>
      <c r="CB63" s="284"/>
      <c r="CC63" s="284"/>
      <c r="CD63" s="244" t="s">
        <v>221</v>
      </c>
      <c r="CE63" s="195">
        <f t="shared" si="0"/>
        <v>710363</v>
      </c>
      <c r="CF63" s="247"/>
    </row>
    <row r="64" spans="1:84" ht="12.6" customHeight="1" x14ac:dyDescent="0.25">
      <c r="A64" s="171" t="s">
        <v>237</v>
      </c>
      <c r="B64" s="175"/>
      <c r="C64" s="286"/>
      <c r="D64" s="184"/>
      <c r="E64" s="185"/>
      <c r="F64" s="185"/>
      <c r="G64" s="286">
        <v>420483</v>
      </c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284">
        <v>507</v>
      </c>
      <c r="T64" s="284"/>
      <c r="U64" s="284"/>
      <c r="V64" s="284"/>
      <c r="W64" s="284"/>
      <c r="X64" s="284"/>
      <c r="Y64" s="284"/>
      <c r="Z64" s="284"/>
      <c r="AA64" s="284"/>
      <c r="AB64" s="284">
        <v>465959</v>
      </c>
      <c r="AC64" s="284">
        <v>53111</v>
      </c>
      <c r="AD64" s="185"/>
      <c r="AE64" s="284">
        <f>33866+1598+7281</f>
        <v>42745</v>
      </c>
      <c r="AF64" s="284">
        <v>2361</v>
      </c>
      <c r="AG64" s="284"/>
      <c r="AH64" s="284"/>
      <c r="AI64" s="284"/>
      <c r="AJ64" s="284">
        <f>16262+19335+2043+12550+1566+3823+72550+2850+2153</f>
        <v>133132</v>
      </c>
      <c r="AK64" s="284">
        <v>32050</v>
      </c>
      <c r="AL64" s="284">
        <v>8095</v>
      </c>
      <c r="AM64" s="284">
        <v>1096</v>
      </c>
      <c r="AN64" s="284"/>
      <c r="AO64" s="284"/>
      <c r="AP64" s="284">
        <f>6670+961+4884+11303+7333+1939</f>
        <v>33090</v>
      </c>
      <c r="AQ64" s="185"/>
      <c r="AR64" s="185"/>
      <c r="AS64" s="185"/>
      <c r="AT64" s="185"/>
      <c r="AU64" s="185"/>
      <c r="AV64" s="185"/>
      <c r="AW64" s="284">
        <v>0</v>
      </c>
      <c r="AX64" s="284"/>
      <c r="AY64" s="284">
        <v>532719</v>
      </c>
      <c r="AZ64" s="284"/>
      <c r="BA64" s="284">
        <v>0</v>
      </c>
      <c r="BB64" s="284">
        <v>3690</v>
      </c>
      <c r="BC64" s="284">
        <v>1778</v>
      </c>
      <c r="BD64" s="185"/>
      <c r="BE64" s="284">
        <f>2857+27007+28537</f>
        <v>58401</v>
      </c>
      <c r="BF64" s="284">
        <v>76137</v>
      </c>
      <c r="BG64" s="284">
        <v>4</v>
      </c>
      <c r="BH64" s="284"/>
      <c r="BI64" s="284"/>
      <c r="BJ64" s="284"/>
      <c r="BK64" s="284">
        <v>4149</v>
      </c>
      <c r="BL64" s="284">
        <v>5385</v>
      </c>
      <c r="BM64" s="284"/>
      <c r="BN64" s="284">
        <f>157417</f>
        <v>157417</v>
      </c>
      <c r="BO64" s="284">
        <v>2602</v>
      </c>
      <c r="BP64" s="284">
        <f>-1018+8438</f>
        <v>7420</v>
      </c>
      <c r="BQ64" s="185"/>
      <c r="BR64" s="185"/>
      <c r="BS64" s="284">
        <v>3452</v>
      </c>
      <c r="BT64" s="284">
        <v>733</v>
      </c>
      <c r="BU64" s="284"/>
      <c r="BV64" s="284">
        <v>7464</v>
      </c>
      <c r="BW64" s="284">
        <f>28575+77</f>
        <v>28652</v>
      </c>
      <c r="BX64" s="284">
        <f>4592+12025+210</f>
        <v>16827</v>
      </c>
      <c r="BY64" s="284">
        <v>4034</v>
      </c>
      <c r="BZ64" s="284"/>
      <c r="CA64" s="284">
        <v>331</v>
      </c>
      <c r="CB64" s="284"/>
      <c r="CC64" s="284"/>
      <c r="CD64" s="244" t="s">
        <v>221</v>
      </c>
      <c r="CE64" s="195">
        <f t="shared" si="0"/>
        <v>2103824</v>
      </c>
      <c r="CF64" s="247"/>
    </row>
    <row r="65" spans="1:84" ht="12.6" customHeight="1" x14ac:dyDescent="0.25">
      <c r="A65" s="171" t="s">
        <v>238</v>
      </c>
      <c r="B65" s="175"/>
      <c r="C65" s="286"/>
      <c r="D65" s="184"/>
      <c r="E65" s="184"/>
      <c r="F65" s="184"/>
      <c r="G65" s="286">
        <v>3851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284">
        <v>454</v>
      </c>
      <c r="T65" s="284"/>
      <c r="U65" s="284"/>
      <c r="V65" s="284"/>
      <c r="W65" s="284"/>
      <c r="X65" s="284"/>
      <c r="Y65" s="284"/>
      <c r="Z65" s="284"/>
      <c r="AA65" s="284"/>
      <c r="AB65" s="284">
        <v>653</v>
      </c>
      <c r="AC65" s="284">
        <v>660</v>
      </c>
      <c r="AD65" s="185"/>
      <c r="AE65" s="284">
        <v>3190</v>
      </c>
      <c r="AF65" s="284">
        <v>1423</v>
      </c>
      <c r="AG65" s="284"/>
      <c r="AH65" s="284"/>
      <c r="AI65" s="284"/>
      <c r="AJ65" s="284">
        <f>660+7560+5534+14464</f>
        <v>28218</v>
      </c>
      <c r="AK65" s="284"/>
      <c r="AL65" s="284"/>
      <c r="AM65" s="284"/>
      <c r="AN65" s="284"/>
      <c r="AO65" s="284"/>
      <c r="AP65" s="284">
        <f>13091+5902+1041+12979+15183</f>
        <v>48196</v>
      </c>
      <c r="AQ65" s="185"/>
      <c r="AR65" s="185"/>
      <c r="AS65" s="185"/>
      <c r="AT65" s="185"/>
      <c r="AU65" s="185"/>
      <c r="AV65" s="185"/>
      <c r="AW65" s="284"/>
      <c r="AX65" s="284"/>
      <c r="AY65" s="284">
        <v>420</v>
      </c>
      <c r="AZ65" s="284"/>
      <c r="BA65" s="284"/>
      <c r="BB65" s="284">
        <v>3561</v>
      </c>
      <c r="BC65" s="284">
        <v>762</v>
      </c>
      <c r="BD65" s="185"/>
      <c r="BE65" s="284">
        <f>62191+363153+2599</f>
        <v>427943</v>
      </c>
      <c r="BF65" s="284">
        <v>2471</v>
      </c>
      <c r="BG65" s="284">
        <v>24914</v>
      </c>
      <c r="BH65" s="284"/>
      <c r="BI65" s="284"/>
      <c r="BJ65" s="284"/>
      <c r="BK65" s="284">
        <v>354</v>
      </c>
      <c r="BL65" s="284">
        <v>735</v>
      </c>
      <c r="BM65" s="284"/>
      <c r="BN65" s="284">
        <f>71557</f>
        <v>71557</v>
      </c>
      <c r="BO65" s="284"/>
      <c r="BP65" s="284">
        <v>715</v>
      </c>
      <c r="BQ65" s="185"/>
      <c r="BR65" s="185"/>
      <c r="BS65" s="284"/>
      <c r="BT65" s="284"/>
      <c r="BU65" s="284"/>
      <c r="BV65" s="284">
        <v>0</v>
      </c>
      <c r="BW65" s="284">
        <f>9436+1524</f>
        <v>10960</v>
      </c>
      <c r="BX65" s="284">
        <f>5934+712</f>
        <v>6646</v>
      </c>
      <c r="BY65" s="284">
        <v>2505</v>
      </c>
      <c r="BZ65" s="284"/>
      <c r="CA65" s="284">
        <v>240</v>
      </c>
      <c r="CB65" s="284"/>
      <c r="CC65" s="284"/>
      <c r="CD65" s="244" t="s">
        <v>221</v>
      </c>
      <c r="CE65" s="195">
        <f t="shared" si="0"/>
        <v>640428</v>
      </c>
      <c r="CF65" s="247"/>
    </row>
    <row r="66" spans="1:84" ht="12.6" customHeight="1" x14ac:dyDescent="0.25">
      <c r="A66" s="171" t="s">
        <v>239</v>
      </c>
      <c r="B66" s="175"/>
      <c r="C66" s="286"/>
      <c r="D66" s="184"/>
      <c r="E66" s="184"/>
      <c r="F66" s="184"/>
      <c r="G66" s="286">
        <f>413859+27805+413508</f>
        <v>855172</v>
      </c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286">
        <v>3640</v>
      </c>
      <c r="T66" s="286"/>
      <c r="U66" s="284">
        <v>161943</v>
      </c>
      <c r="V66" s="284"/>
      <c r="W66" s="284"/>
      <c r="X66" s="284"/>
      <c r="Y66" s="284"/>
      <c r="Z66" s="284"/>
      <c r="AA66" s="284"/>
      <c r="AB66" s="284">
        <f>29614+20</f>
        <v>29634</v>
      </c>
      <c r="AC66" s="284">
        <v>2553</v>
      </c>
      <c r="AD66" s="185"/>
      <c r="AE66" s="284">
        <f>14517+460+215+504+132+23</f>
        <v>15851</v>
      </c>
      <c r="AF66" s="284">
        <v>0</v>
      </c>
      <c r="AG66" s="284"/>
      <c r="AH66" s="284"/>
      <c r="AI66" s="284"/>
      <c r="AJ66" s="284">
        <f>21118+412+1231+81+367+7+3394+659+161474+1247+28419+1394+6517+3712</f>
        <v>230032</v>
      </c>
      <c r="AK66" s="284">
        <f>902+1123</f>
        <v>2025</v>
      </c>
      <c r="AL66" s="284">
        <v>141</v>
      </c>
      <c r="AM66" s="284">
        <f>79+1185</f>
        <v>1264</v>
      </c>
      <c r="AN66" s="284"/>
      <c r="AO66" s="284"/>
      <c r="AP66" s="284">
        <f>4087+75+3720+2212+523+3232+3942+3148</f>
        <v>20939</v>
      </c>
      <c r="AQ66" s="185"/>
      <c r="AR66" s="185"/>
      <c r="AS66" s="185"/>
      <c r="AT66" s="185"/>
      <c r="AU66" s="185"/>
      <c r="AV66" s="185"/>
      <c r="AW66" s="284">
        <v>3000</v>
      </c>
      <c r="AX66" s="284"/>
      <c r="AY66" s="284">
        <f>17119+200</f>
        <v>17319</v>
      </c>
      <c r="AZ66" s="284">
        <v>9242</v>
      </c>
      <c r="BA66" s="284">
        <f>101053+9243</f>
        <v>110296</v>
      </c>
      <c r="BB66" s="284">
        <v>19</v>
      </c>
      <c r="BC66" s="284">
        <f>43852+195</f>
        <v>44047</v>
      </c>
      <c r="BD66" s="185"/>
      <c r="BE66" s="284">
        <f>17678+315030+12048+7996+592</f>
        <v>353344</v>
      </c>
      <c r="BF66" s="284">
        <f>1159+332</f>
        <v>1491</v>
      </c>
      <c r="BG66" s="284">
        <f>21041+26182</f>
        <v>47223</v>
      </c>
      <c r="BH66" s="284"/>
      <c r="BI66" s="284"/>
      <c r="BJ66" s="284"/>
      <c r="BK66" s="284">
        <f>52088+174</f>
        <v>52262</v>
      </c>
      <c r="BL66" s="284">
        <f>750+34</f>
        <v>784</v>
      </c>
      <c r="BM66" s="284"/>
      <c r="BN66" s="284">
        <f>422505+2272509</f>
        <v>2695014</v>
      </c>
      <c r="BO66" s="284">
        <v>0</v>
      </c>
      <c r="BP66" s="284">
        <f>3425+24742</f>
        <v>28167</v>
      </c>
      <c r="BQ66" s="185"/>
      <c r="BR66" s="185"/>
      <c r="BS66" s="284">
        <f>5464+4812</f>
        <v>10276</v>
      </c>
      <c r="BT66" s="284">
        <v>653</v>
      </c>
      <c r="BU66" s="284"/>
      <c r="BV66" s="284">
        <v>35836</v>
      </c>
      <c r="BW66" s="284">
        <f>15076+329597+108+3038</f>
        <v>347819</v>
      </c>
      <c r="BX66" s="284">
        <f>219+130+73+239036+38</f>
        <v>239496</v>
      </c>
      <c r="BY66" s="284">
        <v>8976</v>
      </c>
      <c r="BZ66" s="284"/>
      <c r="CA66" s="284">
        <v>0</v>
      </c>
      <c r="CB66" s="284"/>
      <c r="CC66" s="284"/>
      <c r="CD66" s="244" t="s">
        <v>221</v>
      </c>
      <c r="CE66" s="195">
        <f t="shared" si="0"/>
        <v>5328458</v>
      </c>
      <c r="CF66" s="247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213542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6258</v>
      </c>
      <c r="AC67" s="195">
        <f t="shared" si="3"/>
        <v>3315</v>
      </c>
      <c r="AD67" s="195">
        <f t="shared" si="3"/>
        <v>0</v>
      </c>
      <c r="AE67" s="195">
        <f t="shared" si="3"/>
        <v>58641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114311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166665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20934</v>
      </c>
      <c r="AW67" s="195">
        <f t="shared" si="3"/>
        <v>0</v>
      </c>
      <c r="AX67" s="195">
        <f t="shared" si="3"/>
        <v>0</v>
      </c>
      <c r="AY67" s="195">
        <f t="shared" si="3"/>
        <v>27050</v>
      </c>
      <c r="AZ67" s="195">
        <f>ROUND(AZ51+AZ52,0)</f>
        <v>10213</v>
      </c>
      <c r="BA67" s="195">
        <f>ROUND(BA51+BA52,0)</f>
        <v>6139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320730</v>
      </c>
      <c r="BF67" s="195">
        <f t="shared" si="3"/>
        <v>3067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87219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8170</v>
      </c>
      <c r="BW67" s="195">
        <f t="shared" si="4"/>
        <v>55474</v>
      </c>
      <c r="BX67" s="195">
        <f t="shared" si="4"/>
        <v>8851</v>
      </c>
      <c r="BY67" s="195">
        <f t="shared" si="4"/>
        <v>13043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2250</v>
      </c>
      <c r="CD67" s="244" t="s">
        <v>221</v>
      </c>
      <c r="CE67" s="195">
        <f t="shared" si="0"/>
        <v>1125872</v>
      </c>
      <c r="CF67" s="247"/>
    </row>
    <row r="68" spans="1:84" ht="12.6" customHeight="1" x14ac:dyDescent="0.25">
      <c r="A68" s="171" t="s">
        <v>240</v>
      </c>
      <c r="B68" s="175"/>
      <c r="C68" s="286"/>
      <c r="D68" s="184"/>
      <c r="E68" s="184"/>
      <c r="F68" s="184"/>
      <c r="G68" s="286">
        <v>152249</v>
      </c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284"/>
      <c r="T68" s="284"/>
      <c r="U68" s="284"/>
      <c r="V68" s="284"/>
      <c r="W68" s="284"/>
      <c r="X68" s="284"/>
      <c r="Y68" s="284"/>
      <c r="Z68" s="284"/>
      <c r="AA68" s="284"/>
      <c r="AB68" s="284">
        <v>15417</v>
      </c>
      <c r="AC68" s="284">
        <v>7908</v>
      </c>
      <c r="AD68" s="185"/>
      <c r="AE68" s="284">
        <f>1148+85</f>
        <v>1233</v>
      </c>
      <c r="AF68" s="284"/>
      <c r="AG68" s="284"/>
      <c r="AH68" s="284"/>
      <c r="AI68" s="284"/>
      <c r="AJ68" s="284">
        <f>5460+35256</f>
        <v>40716</v>
      </c>
      <c r="AK68" s="284"/>
      <c r="AL68" s="284"/>
      <c r="AM68" s="284"/>
      <c r="AN68" s="284"/>
      <c r="AO68" s="284"/>
      <c r="AP68" s="284">
        <f>168521+115162+54655+68852+75859+54978</f>
        <v>538027</v>
      </c>
      <c r="AQ68" s="185"/>
      <c r="AR68" s="185"/>
      <c r="AS68" s="185"/>
      <c r="AT68" s="185"/>
      <c r="AU68" s="185"/>
      <c r="AV68" s="284"/>
      <c r="AW68" s="284"/>
      <c r="AX68" s="284"/>
      <c r="AY68" s="284"/>
      <c r="AZ68" s="284"/>
      <c r="BA68" s="284"/>
      <c r="BB68" s="284">
        <v>3778</v>
      </c>
      <c r="BC68" s="185"/>
      <c r="BD68" s="185"/>
      <c r="BE68" s="284">
        <f>12647</f>
        <v>12647</v>
      </c>
      <c r="BF68" s="284">
        <v>0</v>
      </c>
      <c r="BG68" s="284"/>
      <c r="BH68" s="284"/>
      <c r="BI68" s="284"/>
      <c r="BJ68" s="284"/>
      <c r="BK68" s="284">
        <v>1171</v>
      </c>
      <c r="BL68" s="284"/>
      <c r="BM68" s="284"/>
      <c r="BN68" s="284">
        <f>55582</f>
        <v>55582</v>
      </c>
      <c r="BO68" s="284"/>
      <c r="BP68" s="284">
        <v>0</v>
      </c>
      <c r="BQ68" s="185"/>
      <c r="BR68" s="185"/>
      <c r="BS68" s="284"/>
      <c r="BT68" s="284"/>
      <c r="BU68" s="284"/>
      <c r="BV68" s="284"/>
      <c r="BW68" s="284">
        <f>2432</f>
        <v>2432</v>
      </c>
      <c r="BX68" s="284"/>
      <c r="BY68" s="284"/>
      <c r="BZ68" s="284"/>
      <c r="CA68" s="284"/>
      <c r="CB68" s="284"/>
      <c r="CC68" s="284"/>
      <c r="CD68" s="244" t="s">
        <v>221</v>
      </c>
      <c r="CE68" s="195">
        <f t="shared" si="0"/>
        <v>831160</v>
      </c>
      <c r="CF68" s="247"/>
    </row>
    <row r="69" spans="1:84" ht="12.6" customHeight="1" x14ac:dyDescent="0.25">
      <c r="A69" s="171" t="s">
        <v>241</v>
      </c>
      <c r="B69" s="175"/>
      <c r="C69" s="286"/>
      <c r="D69" s="184"/>
      <c r="E69" s="185"/>
      <c r="F69" s="185"/>
      <c r="G69" s="286">
        <f>13386-2365-2555-895</f>
        <v>7571</v>
      </c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284">
        <f>-1296-241</f>
        <v>-1537</v>
      </c>
      <c r="T69" s="286"/>
      <c r="U69" s="284">
        <f>208-150</f>
        <v>58</v>
      </c>
      <c r="V69" s="284"/>
      <c r="W69" s="286"/>
      <c r="X69" s="284"/>
      <c r="Y69" s="284">
        <v>33826</v>
      </c>
      <c r="Z69" s="284"/>
      <c r="AA69" s="284"/>
      <c r="AB69" s="284">
        <f>1833-1685</f>
        <v>148</v>
      </c>
      <c r="AC69" s="284">
        <v>370</v>
      </c>
      <c r="AD69" s="185"/>
      <c r="AE69" s="284">
        <f>3684+5024+22</f>
        <v>8730</v>
      </c>
      <c r="AF69" s="284">
        <v>2059</v>
      </c>
      <c r="AG69" s="284"/>
      <c r="AH69" s="284"/>
      <c r="AI69" s="284"/>
      <c r="AJ69" s="284">
        <f>7692-80+1328+2619+3510+3895+103762+13957+1287-335-8557.74</f>
        <v>129077.26</v>
      </c>
      <c r="AK69" s="284">
        <f>4148-188.5</f>
        <v>3959.5</v>
      </c>
      <c r="AL69" s="284">
        <v>2696</v>
      </c>
      <c r="AM69" s="284">
        <v>2862</v>
      </c>
      <c r="AN69" s="284"/>
      <c r="AO69" s="286"/>
      <c r="AP69" s="284">
        <f>1728+2371+812+899+1860+7718-7059.12</f>
        <v>8328.880000000001</v>
      </c>
      <c r="AQ69" s="184"/>
      <c r="AR69" s="184"/>
      <c r="AS69" s="184"/>
      <c r="AT69" s="184"/>
      <c r="AU69" s="185"/>
      <c r="AV69" s="284">
        <v>131123</v>
      </c>
      <c r="AW69" s="284">
        <v>801</v>
      </c>
      <c r="AX69" s="284"/>
      <c r="AY69" s="284">
        <v>3827</v>
      </c>
      <c r="AZ69" s="284"/>
      <c r="BA69" s="284"/>
      <c r="BB69" s="284">
        <v>2595</v>
      </c>
      <c r="BC69" s="185">
        <f>322-322</f>
        <v>0</v>
      </c>
      <c r="BD69" s="185"/>
      <c r="BE69" s="284">
        <f>154+2041+2528+567-955.43-108.25-2041.11</f>
        <v>2185.21</v>
      </c>
      <c r="BF69" s="284">
        <v>2162</v>
      </c>
      <c r="BG69" s="284"/>
      <c r="BH69" s="285"/>
      <c r="BI69" s="284"/>
      <c r="BJ69" s="284"/>
      <c r="BK69" s="284">
        <v>17810</v>
      </c>
      <c r="BL69" s="284">
        <v>402</v>
      </c>
      <c r="BM69" s="284"/>
      <c r="BN69" s="284">
        <f>1020101-272788.03-635105</f>
        <v>112207.96999999997</v>
      </c>
      <c r="BO69" s="284"/>
      <c r="BP69" s="284">
        <v>6381</v>
      </c>
      <c r="BQ69" s="185"/>
      <c r="BR69" s="185"/>
      <c r="BS69" s="284">
        <v>1120</v>
      </c>
      <c r="BT69" s="284">
        <v>50</v>
      </c>
      <c r="BU69" s="284"/>
      <c r="BV69" s="284">
        <f>7781-7467.82</f>
        <v>313.18000000000029</v>
      </c>
      <c r="BW69" s="284">
        <f>6235+3637-186.7</f>
        <v>9685.2999999999993</v>
      </c>
      <c r="BX69" s="284">
        <f>2402+510+47875-375</f>
        <v>50412</v>
      </c>
      <c r="BY69" s="284">
        <v>0</v>
      </c>
      <c r="BZ69" s="284"/>
      <c r="CA69" s="284">
        <v>1395</v>
      </c>
      <c r="CB69" s="284"/>
      <c r="CC69" s="284"/>
      <c r="CD69" s="286">
        <v>951535.37</v>
      </c>
      <c r="CE69" s="195">
        <f t="shared" si="0"/>
        <v>1492153.67</v>
      </c>
      <c r="CF69" s="247"/>
    </row>
    <row r="70" spans="1:84" ht="12.6" customHeight="1" x14ac:dyDescent="0.25">
      <c r="A70" s="171" t="s">
        <v>242</v>
      </c>
      <c r="B70" s="175"/>
      <c r="C70" s="286"/>
      <c r="D70" s="184"/>
      <c r="E70" s="184"/>
      <c r="F70" s="185"/>
      <c r="G70" s="286">
        <v>39570</v>
      </c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286"/>
      <c r="T70" s="286"/>
      <c r="U70" s="284"/>
      <c r="V70" s="286"/>
      <c r="W70" s="286"/>
      <c r="X70" s="284"/>
      <c r="Y70" s="284"/>
      <c r="Z70" s="284"/>
      <c r="AA70" s="284"/>
      <c r="AB70" s="284">
        <v>299</v>
      </c>
      <c r="AC70" s="284"/>
      <c r="AD70" s="185"/>
      <c r="AE70" s="284">
        <f>350+3802</f>
        <v>4152</v>
      </c>
      <c r="AF70" s="284">
        <v>0</v>
      </c>
      <c r="AG70" s="284"/>
      <c r="AH70" s="284"/>
      <c r="AI70" s="284"/>
      <c r="AJ70" s="284">
        <f>4483+19114+729+11561+5000+5+1765778+15000+140113</f>
        <v>1961783</v>
      </c>
      <c r="AK70" s="284">
        <v>500</v>
      </c>
      <c r="AL70" s="284"/>
      <c r="AM70" s="284"/>
      <c r="AN70" s="284"/>
      <c r="AO70" s="284"/>
      <c r="AP70" s="284">
        <f>101+138+510+1900+2650</f>
        <v>5299</v>
      </c>
      <c r="AQ70" s="185"/>
      <c r="AR70" s="185"/>
      <c r="AS70" s="185"/>
      <c r="AT70" s="185"/>
      <c r="AU70" s="185"/>
      <c r="AV70" s="284"/>
      <c r="AW70" s="284">
        <v>28101</v>
      </c>
      <c r="AX70" s="284"/>
      <c r="AY70" s="284">
        <v>46500</v>
      </c>
      <c r="AZ70" s="284">
        <v>401961</v>
      </c>
      <c r="BA70" s="284"/>
      <c r="BB70" s="284"/>
      <c r="BC70" s="185">
        <v>2100</v>
      </c>
      <c r="BD70" s="185"/>
      <c r="BE70" s="284">
        <f>1240+6200+23970</f>
        <v>31410</v>
      </c>
      <c r="BF70" s="284">
        <v>1629</v>
      </c>
      <c r="BG70" s="284"/>
      <c r="BH70" s="284"/>
      <c r="BI70" s="284"/>
      <c r="BJ70" s="284"/>
      <c r="BK70" s="284"/>
      <c r="BL70" s="284"/>
      <c r="BM70" s="284"/>
      <c r="BN70" s="284">
        <f>855</f>
        <v>855</v>
      </c>
      <c r="BO70" s="284"/>
      <c r="BP70" s="284">
        <f>25+98524</f>
        <v>98549</v>
      </c>
      <c r="BQ70" s="185"/>
      <c r="BR70" s="185"/>
      <c r="BS70" s="284"/>
      <c r="BT70" s="284"/>
      <c r="BU70" s="284"/>
      <c r="BV70" s="284">
        <v>34532</v>
      </c>
      <c r="BW70" s="284"/>
      <c r="BX70" s="284"/>
      <c r="BY70" s="284"/>
      <c r="BZ70" s="284"/>
      <c r="CA70" s="284"/>
      <c r="CB70" s="284">
        <v>2585</v>
      </c>
      <c r="CC70" s="284"/>
      <c r="CD70" s="188"/>
      <c r="CE70" s="195">
        <f t="shared" si="0"/>
        <v>2659825</v>
      </c>
      <c r="CF70" s="247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13293480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97379</v>
      </c>
      <c r="T71" s="195">
        <f t="shared" si="5"/>
        <v>0</v>
      </c>
      <c r="U71" s="195">
        <f t="shared" si="5"/>
        <v>162001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33826</v>
      </c>
      <c r="Z71" s="195">
        <f t="shared" si="5"/>
        <v>0</v>
      </c>
      <c r="AA71" s="195">
        <f t="shared" si="5"/>
        <v>0</v>
      </c>
      <c r="AB71" s="195">
        <f t="shared" si="5"/>
        <v>1430198</v>
      </c>
      <c r="AC71" s="195">
        <f t="shared" si="5"/>
        <v>643589</v>
      </c>
      <c r="AD71" s="195">
        <f t="shared" si="5"/>
        <v>0</v>
      </c>
      <c r="AE71" s="195">
        <f t="shared" si="5"/>
        <v>3084563</v>
      </c>
      <c r="AF71" s="195">
        <f t="shared" si="5"/>
        <v>273452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8813546.2599999998</v>
      </c>
      <c r="AK71" s="195">
        <f t="shared" si="6"/>
        <v>1771438.5</v>
      </c>
      <c r="AL71" s="195">
        <f t="shared" si="6"/>
        <v>729363</v>
      </c>
      <c r="AM71" s="195">
        <f t="shared" si="6"/>
        <v>257228</v>
      </c>
      <c r="AN71" s="195">
        <f t="shared" si="6"/>
        <v>0</v>
      </c>
      <c r="AO71" s="195">
        <f t="shared" si="6"/>
        <v>0</v>
      </c>
      <c r="AP71" s="195">
        <f t="shared" si="6"/>
        <v>4071312.88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152057</v>
      </c>
      <c r="AW71" s="195">
        <f t="shared" si="6"/>
        <v>160483</v>
      </c>
      <c r="AX71" s="195">
        <f t="shared" si="6"/>
        <v>0</v>
      </c>
      <c r="AY71" s="195">
        <f t="shared" si="6"/>
        <v>1896782</v>
      </c>
      <c r="AZ71" s="195">
        <f t="shared" si="6"/>
        <v>-382506</v>
      </c>
      <c r="BA71" s="195">
        <f t="shared" si="6"/>
        <v>159313</v>
      </c>
      <c r="BB71" s="195">
        <f t="shared" si="6"/>
        <v>1059483</v>
      </c>
      <c r="BC71" s="195">
        <f t="shared" si="6"/>
        <v>104119</v>
      </c>
      <c r="BD71" s="195">
        <f t="shared" si="6"/>
        <v>0</v>
      </c>
      <c r="BE71" s="195">
        <f t="shared" si="6"/>
        <v>2305595.21</v>
      </c>
      <c r="BF71" s="195">
        <f t="shared" si="6"/>
        <v>758376</v>
      </c>
      <c r="BG71" s="195">
        <f t="shared" si="6"/>
        <v>151594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707587</v>
      </c>
      <c r="BL71" s="195">
        <f t="shared" si="6"/>
        <v>1236372</v>
      </c>
      <c r="BM71" s="195">
        <f t="shared" si="6"/>
        <v>0</v>
      </c>
      <c r="BN71" s="195">
        <f t="shared" si="6"/>
        <v>4552723.97</v>
      </c>
      <c r="BO71" s="195">
        <f t="shared" si="6"/>
        <v>2602</v>
      </c>
      <c r="BP71" s="195">
        <f t="shared" ref="BP71:CC71" si="7">SUM(BP61:BP69)-BP70</f>
        <v>16365</v>
      </c>
      <c r="BQ71" s="195">
        <f t="shared" si="7"/>
        <v>0</v>
      </c>
      <c r="BR71" s="195">
        <f t="shared" si="7"/>
        <v>0</v>
      </c>
      <c r="BS71" s="195">
        <f t="shared" si="7"/>
        <v>14848</v>
      </c>
      <c r="BT71" s="195">
        <f t="shared" si="7"/>
        <v>134545</v>
      </c>
      <c r="BU71" s="195">
        <f t="shared" si="7"/>
        <v>0</v>
      </c>
      <c r="BV71" s="195">
        <f t="shared" si="7"/>
        <v>368356.18</v>
      </c>
      <c r="BW71" s="195">
        <f t="shared" si="7"/>
        <v>970053.3</v>
      </c>
      <c r="BX71" s="195">
        <f t="shared" si="7"/>
        <v>1505387</v>
      </c>
      <c r="BY71" s="195">
        <f t="shared" si="7"/>
        <v>66489</v>
      </c>
      <c r="BZ71" s="195">
        <f t="shared" si="7"/>
        <v>0</v>
      </c>
      <c r="CA71" s="195">
        <f t="shared" si="7"/>
        <v>5171</v>
      </c>
      <c r="CB71" s="195">
        <f t="shared" si="7"/>
        <v>-963</v>
      </c>
      <c r="CC71" s="195">
        <f t="shared" si="7"/>
        <v>32012</v>
      </c>
      <c r="CD71" s="240">
        <f>CD69-CD70</f>
        <v>951535.37</v>
      </c>
      <c r="CE71" s="195">
        <f>SUM(CE61:CE69)-CE70</f>
        <v>51589756.670000002</v>
      </c>
      <c r="CF71" s="247"/>
    </row>
    <row r="72" spans="1:84" ht="12.6" customHeight="1" x14ac:dyDescent="0.2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8"/>
      <c r="CF72" s="247"/>
    </row>
    <row r="73" spans="1:84" ht="12.6" customHeight="1" x14ac:dyDescent="0.25">
      <c r="A73" s="171" t="s">
        <v>245</v>
      </c>
      <c r="B73" s="175"/>
      <c r="C73" s="286"/>
      <c r="D73" s="184"/>
      <c r="E73" s="185"/>
      <c r="F73" s="185"/>
      <c r="G73" s="286">
        <v>37546840</v>
      </c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284">
        <v>4398296</v>
      </c>
      <c r="V73" s="284"/>
      <c r="W73" s="284">
        <v>53041</v>
      </c>
      <c r="X73" s="284">
        <v>212143</v>
      </c>
      <c r="Y73" s="284">
        <f>249322+21417</f>
        <v>270739</v>
      </c>
      <c r="Z73" s="284"/>
      <c r="AA73" s="284">
        <v>1288</v>
      </c>
      <c r="AB73" s="284">
        <v>4125321</v>
      </c>
      <c r="AC73" s="284">
        <v>1935455</v>
      </c>
      <c r="AD73" s="185"/>
      <c r="AE73" s="284">
        <v>10280869</v>
      </c>
      <c r="AF73" s="284">
        <v>921716</v>
      </c>
      <c r="AG73" s="284"/>
      <c r="AH73" s="284"/>
      <c r="AI73" s="284"/>
      <c r="AJ73" s="284"/>
      <c r="AK73" s="284">
        <v>11525086</v>
      </c>
      <c r="AL73" s="284">
        <v>2236526</v>
      </c>
      <c r="AM73" s="284">
        <v>1477421</v>
      </c>
      <c r="AN73" s="284"/>
      <c r="AO73" s="284"/>
      <c r="AP73" s="284"/>
      <c r="AQ73" s="185"/>
      <c r="AR73" s="185"/>
      <c r="AS73" s="185"/>
      <c r="AT73" s="185"/>
      <c r="AU73" s="185"/>
      <c r="AV73" s="284">
        <v>242868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5">
        <f t="shared" ref="CE73:CE80" si="8">SUM(C73:CD73)</f>
        <v>75227609</v>
      </c>
      <c r="CF73" s="247"/>
    </row>
    <row r="74" spans="1:84" ht="12.6" customHeight="1" x14ac:dyDescent="0.25">
      <c r="A74" s="171" t="s">
        <v>246</v>
      </c>
      <c r="B74" s="175"/>
      <c r="C74" s="286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284"/>
      <c r="AF74" s="284"/>
      <c r="AG74" s="284"/>
      <c r="AH74" s="284"/>
      <c r="AI74" s="284"/>
      <c r="AJ74" s="284">
        <f>9394117+459732+3639439+3836037+1010221+6536562</f>
        <v>24876108</v>
      </c>
      <c r="AK74" s="284"/>
      <c r="AL74" s="284"/>
      <c r="AM74" s="284"/>
      <c r="AN74" s="284"/>
      <c r="AO74" s="284"/>
      <c r="AP74" s="284">
        <f>4502055+3888058+2672397+1997856+1933015+1190704</f>
        <v>16184085</v>
      </c>
      <c r="AQ74" s="185"/>
      <c r="AR74" s="185"/>
      <c r="AS74" s="185"/>
      <c r="AT74" s="185"/>
      <c r="AU74" s="185"/>
      <c r="AV74" s="185"/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5">
        <f t="shared" si="8"/>
        <v>41060193</v>
      </c>
      <c r="CF74" s="247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37546840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4398296</v>
      </c>
      <c r="V75" s="195">
        <f t="shared" si="9"/>
        <v>0</v>
      </c>
      <c r="W75" s="195">
        <f t="shared" si="9"/>
        <v>53041</v>
      </c>
      <c r="X75" s="195">
        <f t="shared" si="9"/>
        <v>212143</v>
      </c>
      <c r="Y75" s="195">
        <f t="shared" si="9"/>
        <v>270739</v>
      </c>
      <c r="Z75" s="195">
        <f t="shared" si="9"/>
        <v>0</v>
      </c>
      <c r="AA75" s="195">
        <f t="shared" si="9"/>
        <v>1288</v>
      </c>
      <c r="AB75" s="195">
        <f t="shared" si="9"/>
        <v>4125321</v>
      </c>
      <c r="AC75" s="195">
        <f t="shared" si="9"/>
        <v>1935455</v>
      </c>
      <c r="AD75" s="195">
        <f t="shared" si="9"/>
        <v>0</v>
      </c>
      <c r="AE75" s="195">
        <f t="shared" si="9"/>
        <v>10280869</v>
      </c>
      <c r="AF75" s="195">
        <f t="shared" si="9"/>
        <v>921716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24876108</v>
      </c>
      <c r="AK75" s="195">
        <f t="shared" si="9"/>
        <v>11525086</v>
      </c>
      <c r="AL75" s="195">
        <f t="shared" si="9"/>
        <v>2236526</v>
      </c>
      <c r="AM75" s="195">
        <f t="shared" si="9"/>
        <v>1477421</v>
      </c>
      <c r="AN75" s="195">
        <f t="shared" si="9"/>
        <v>0</v>
      </c>
      <c r="AO75" s="195">
        <f t="shared" si="9"/>
        <v>0</v>
      </c>
      <c r="AP75" s="195">
        <f t="shared" si="9"/>
        <v>16184085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242868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5">
        <f t="shared" si="8"/>
        <v>116287802</v>
      </c>
      <c r="CF75" s="247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>
        <v>36069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1057</v>
      </c>
      <c r="AC76" s="185">
        <v>560</v>
      </c>
      <c r="AD76" s="185"/>
      <c r="AE76" s="185">
        <v>9905</v>
      </c>
      <c r="AF76" s="185"/>
      <c r="AG76" s="185"/>
      <c r="AH76" s="185"/>
      <c r="AI76" s="185"/>
      <c r="AJ76" s="185">
        <v>19308</v>
      </c>
      <c r="AK76" s="185"/>
      <c r="AL76" s="185"/>
      <c r="AM76" s="185"/>
      <c r="AN76" s="185"/>
      <c r="AO76" s="185"/>
      <c r="AP76" s="185">
        <v>28151</v>
      </c>
      <c r="AQ76" s="185"/>
      <c r="AR76" s="185"/>
      <c r="AS76" s="185"/>
      <c r="AT76" s="185"/>
      <c r="AU76" s="185"/>
      <c r="AV76" s="185">
        <v>3536</v>
      </c>
      <c r="AW76" s="185"/>
      <c r="AX76" s="185"/>
      <c r="AY76" s="185">
        <v>4569</v>
      </c>
      <c r="AZ76" s="185">
        <v>1725</v>
      </c>
      <c r="BA76" s="185">
        <v>1037</v>
      </c>
      <c r="BB76" s="185"/>
      <c r="BC76" s="185"/>
      <c r="BD76" s="185"/>
      <c r="BE76" s="185">
        <v>54174</v>
      </c>
      <c r="BF76" s="185">
        <v>518</v>
      </c>
      <c r="BG76" s="185"/>
      <c r="BH76" s="185"/>
      <c r="BI76" s="185"/>
      <c r="BJ76" s="185"/>
      <c r="BK76" s="185"/>
      <c r="BL76" s="185"/>
      <c r="BM76" s="185"/>
      <c r="BN76" s="185">
        <v>14732</v>
      </c>
      <c r="BO76" s="185"/>
      <c r="BP76" s="185"/>
      <c r="BQ76" s="185"/>
      <c r="BR76" s="185"/>
      <c r="BS76" s="185"/>
      <c r="BT76" s="185"/>
      <c r="BU76" s="185"/>
      <c r="BV76" s="185">
        <v>1380</v>
      </c>
      <c r="BW76" s="185">
        <v>9370</v>
      </c>
      <c r="BX76" s="185">
        <v>1495</v>
      </c>
      <c r="BY76" s="185">
        <v>2203</v>
      </c>
      <c r="BZ76" s="185"/>
      <c r="CA76" s="185"/>
      <c r="CB76" s="185"/>
      <c r="CC76" s="185">
        <v>380</v>
      </c>
      <c r="CD76" s="244" t="s">
        <v>221</v>
      </c>
      <c r="CE76" s="195">
        <f t="shared" si="8"/>
        <v>190169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>
        <v>59439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4" t="s">
        <v>221</v>
      </c>
      <c r="AY77" s="244" t="s">
        <v>221</v>
      </c>
      <c r="AZ77" s="184"/>
      <c r="BA77" s="184"/>
      <c r="BB77" s="184"/>
      <c r="BC77" s="184"/>
      <c r="BD77" s="244" t="s">
        <v>221</v>
      </c>
      <c r="BE77" s="244" t="s">
        <v>221</v>
      </c>
      <c r="BF77" s="184"/>
      <c r="BG77" s="244" t="s">
        <v>221</v>
      </c>
      <c r="BH77" s="184"/>
      <c r="BI77" s="184"/>
      <c r="BJ77" s="244" t="s">
        <v>221</v>
      </c>
      <c r="BK77" s="184"/>
      <c r="BL77" s="184"/>
      <c r="BM77" s="184"/>
      <c r="BN77" s="244" t="s">
        <v>221</v>
      </c>
      <c r="BO77" s="244" t="s">
        <v>221</v>
      </c>
      <c r="BP77" s="244" t="s">
        <v>221</v>
      </c>
      <c r="BQ77" s="244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4" t="s">
        <v>221</v>
      </c>
      <c r="CD77" s="244" t="s">
        <v>221</v>
      </c>
      <c r="CE77" s="195">
        <f>SUM(C77:CD77)</f>
        <v>59439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>
        <v>36069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>
        <v>1057</v>
      </c>
      <c r="AC78" s="184">
        <v>560</v>
      </c>
      <c r="AD78" s="184"/>
      <c r="AE78" s="184">
        <v>9905</v>
      </c>
      <c r="AF78" s="184"/>
      <c r="AG78" s="184"/>
      <c r="AH78" s="184"/>
      <c r="AI78" s="184"/>
      <c r="AJ78" s="184">
        <v>19308</v>
      </c>
      <c r="AK78" s="184"/>
      <c r="AL78" s="184"/>
      <c r="AM78" s="184"/>
      <c r="AN78" s="184"/>
      <c r="AO78" s="184"/>
      <c r="AP78" s="184">
        <v>28151</v>
      </c>
      <c r="AQ78" s="184"/>
      <c r="AR78" s="184"/>
      <c r="AS78" s="184"/>
      <c r="AT78" s="184"/>
      <c r="AU78" s="184"/>
      <c r="AV78" s="184">
        <v>3536</v>
      </c>
      <c r="AW78" s="184"/>
      <c r="AX78" s="244" t="s">
        <v>221</v>
      </c>
      <c r="AY78" s="244" t="s">
        <v>221</v>
      </c>
      <c r="AZ78" s="244" t="s">
        <v>221</v>
      </c>
      <c r="BA78" s="184">
        <v>1037</v>
      </c>
      <c r="BB78" s="184"/>
      <c r="BC78" s="184"/>
      <c r="BD78" s="244" t="s">
        <v>221</v>
      </c>
      <c r="BE78" s="244" t="s">
        <v>221</v>
      </c>
      <c r="BF78" s="244" t="s">
        <v>221</v>
      </c>
      <c r="BG78" s="244" t="s">
        <v>221</v>
      </c>
      <c r="BH78" s="184"/>
      <c r="BI78" s="184"/>
      <c r="BJ78" s="244" t="s">
        <v>221</v>
      </c>
      <c r="BK78" s="184"/>
      <c r="BL78" s="184"/>
      <c r="BM78" s="184"/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/>
      <c r="BT78" s="184"/>
      <c r="BU78" s="184"/>
      <c r="BV78" s="184">
        <v>1380</v>
      </c>
      <c r="BW78" s="184">
        <v>9370</v>
      </c>
      <c r="BX78" s="184">
        <v>1495</v>
      </c>
      <c r="BY78" s="184">
        <v>2203</v>
      </c>
      <c r="BZ78" s="184"/>
      <c r="CA78" s="184"/>
      <c r="CB78" s="184"/>
      <c r="CC78" s="244" t="s">
        <v>221</v>
      </c>
      <c r="CD78" s="244" t="s">
        <v>221</v>
      </c>
      <c r="CE78" s="195">
        <f t="shared" si="8"/>
        <v>114071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>
        <v>112624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30216</v>
      </c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>
        <v>32887</v>
      </c>
      <c r="AQ79" s="184"/>
      <c r="AR79" s="184"/>
      <c r="AS79" s="184"/>
      <c r="AT79" s="184"/>
      <c r="AU79" s="184"/>
      <c r="AV79" s="184"/>
      <c r="AW79" s="184"/>
      <c r="AX79" s="244" t="s">
        <v>221</v>
      </c>
      <c r="AY79" s="244" t="s">
        <v>221</v>
      </c>
      <c r="AZ79" s="244" t="s">
        <v>221</v>
      </c>
      <c r="BA79" s="244" t="s">
        <v>221</v>
      </c>
      <c r="BB79" s="184"/>
      <c r="BC79" s="184"/>
      <c r="BD79" s="244" t="s">
        <v>221</v>
      </c>
      <c r="BE79" s="244" t="s">
        <v>221</v>
      </c>
      <c r="BF79" s="244" t="s">
        <v>221</v>
      </c>
      <c r="BG79" s="244" t="s">
        <v>221</v>
      </c>
      <c r="BH79" s="184"/>
      <c r="BI79" s="184"/>
      <c r="BJ79" s="244" t="s">
        <v>221</v>
      </c>
      <c r="BK79" s="184"/>
      <c r="BL79" s="184"/>
      <c r="BM79" s="184"/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4" t="s">
        <v>221</v>
      </c>
      <c r="CD79" s="244" t="s">
        <v>221</v>
      </c>
      <c r="CE79" s="195">
        <f t="shared" si="8"/>
        <v>175727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>
        <v>67.03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67.03</v>
      </c>
      <c r="CF80" s="250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1000</v>
      </c>
      <c r="D82" s="251"/>
      <c r="E82" s="175"/>
    </row>
    <row r="83" spans="1:5" ht="12.6" customHeight="1" x14ac:dyDescent="0.25">
      <c r="A83" s="173" t="s">
        <v>255</v>
      </c>
      <c r="B83" s="172" t="s">
        <v>256</v>
      </c>
      <c r="C83" s="222" t="s">
        <v>1002</v>
      </c>
      <c r="D83" s="251"/>
      <c r="E83" s="175"/>
    </row>
    <row r="84" spans="1:5" ht="12.6" customHeight="1" x14ac:dyDescent="0.25">
      <c r="A84" s="173" t="s">
        <v>257</v>
      </c>
      <c r="B84" s="172" t="s">
        <v>256</v>
      </c>
      <c r="C84" s="276" t="s">
        <v>1003</v>
      </c>
      <c r="D84" s="202"/>
      <c r="E84" s="201"/>
    </row>
    <row r="85" spans="1:5" ht="12.6" customHeight="1" x14ac:dyDescent="0.25">
      <c r="A85" s="173" t="s">
        <v>986</v>
      </c>
      <c r="B85" s="172"/>
      <c r="C85" s="278" t="s">
        <v>1004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77" t="s">
        <v>1004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76" t="s">
        <v>1005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76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76" t="s">
        <v>1007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76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79" t="s">
        <v>1016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80" t="s">
        <v>1010</v>
      </c>
      <c r="D92" s="251"/>
      <c r="E92" s="175"/>
    </row>
    <row r="93" spans="1:5" ht="12.6" customHeight="1" x14ac:dyDescent="0.25">
      <c r="A93" s="173" t="s">
        <v>264</v>
      </c>
      <c r="B93" s="172" t="s">
        <v>256</v>
      </c>
      <c r="C93" s="280" t="s">
        <v>1011</v>
      </c>
      <c r="D93" s="251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2" t="s">
        <v>266</v>
      </c>
      <c r="B96" s="252"/>
      <c r="C96" s="252"/>
      <c r="D96" s="252"/>
      <c r="E96" s="252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2" t="s">
        <v>269</v>
      </c>
      <c r="B100" s="252"/>
      <c r="C100" s="252"/>
      <c r="D100" s="252"/>
      <c r="E100" s="252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1012</v>
      </c>
      <c r="D102" s="175"/>
      <c r="E102" s="175"/>
    </row>
    <row r="103" spans="1:5" ht="12.6" customHeight="1" x14ac:dyDescent="0.25">
      <c r="A103" s="252" t="s">
        <v>271</v>
      </c>
      <c r="B103" s="252"/>
      <c r="C103" s="252"/>
      <c r="D103" s="252"/>
      <c r="E103" s="252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1471</v>
      </c>
      <c r="D111" s="174">
        <v>19848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72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72</v>
      </c>
    </row>
    <row r="128" spans="1:5" ht="12.6" customHeight="1" x14ac:dyDescent="0.25">
      <c r="A128" s="173" t="s">
        <v>292</v>
      </c>
      <c r="B128" s="172" t="s">
        <v>256</v>
      </c>
      <c r="C128" s="189">
        <v>102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3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922</v>
      </c>
      <c r="C138" s="189">
        <v>265</v>
      </c>
      <c r="D138" s="174">
        <v>284</v>
      </c>
      <c r="E138" s="175">
        <f>SUM(B138:D138)</f>
        <v>1471</v>
      </c>
    </row>
    <row r="139" spans="1:6" ht="12.6" customHeight="1" x14ac:dyDescent="0.25">
      <c r="A139" s="173" t="s">
        <v>215</v>
      </c>
      <c r="B139" s="174">
        <v>11736</v>
      </c>
      <c r="C139" s="189">
        <v>4039</v>
      </c>
      <c r="D139" s="174">
        <v>4073</v>
      </c>
      <c r="E139" s="175">
        <f>SUM(B139:D139)</f>
        <v>19848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44648045</v>
      </c>
      <c r="C141" s="189">
        <v>15937076</v>
      </c>
      <c r="D141" s="174">
        <f>13758122+884365</f>
        <v>14642487</v>
      </c>
      <c r="E141" s="175">
        <f>SUM(B141:D141)</f>
        <v>75227608</v>
      </c>
      <c r="F141" s="199"/>
    </row>
    <row r="142" spans="1:6" ht="12.6" customHeight="1" x14ac:dyDescent="0.25">
      <c r="A142" s="173" t="s">
        <v>246</v>
      </c>
      <c r="B142" s="174">
        <v>13709762</v>
      </c>
      <c r="C142" s="189">
        <v>8878491</v>
      </c>
      <c r="D142" s="174">
        <f>18304000+167936</f>
        <v>18471936</v>
      </c>
      <c r="E142" s="175">
        <f>SUM(B142:D142)</f>
        <v>41060189</v>
      </c>
      <c r="F142" s="199"/>
    </row>
    <row r="143" spans="1:6" ht="12.6" customHeight="1" x14ac:dyDescent="0.25">
      <c r="A143" s="253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3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3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2" t="s">
        <v>306</v>
      </c>
      <c r="B164" s="252"/>
      <c r="C164" s="252"/>
      <c r="D164" s="252"/>
      <c r="E164" s="252"/>
    </row>
    <row r="165" spans="1:5" ht="11.4" customHeight="1" x14ac:dyDescent="0.25">
      <c r="A165" s="173" t="s">
        <v>307</v>
      </c>
      <c r="B165" s="172" t="s">
        <v>256</v>
      </c>
      <c r="C165" s="281">
        <v>2405837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81">
        <v>28725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81">
        <v>-47206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81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81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81">
        <f>551304+949850+85195</f>
        <v>1586349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81">
        <f>8363088-2405837-28725+47206-1586349</f>
        <v>4389383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8363088</v>
      </c>
      <c r="E173" s="175"/>
    </row>
    <row r="174" spans="1:5" ht="11.4" customHeight="1" x14ac:dyDescent="0.25">
      <c r="A174" s="252" t="s">
        <v>314</v>
      </c>
      <c r="B174" s="252"/>
      <c r="C174" s="252"/>
      <c r="D174" s="252"/>
      <c r="E174" s="252"/>
    </row>
    <row r="175" spans="1:5" ht="11.4" customHeight="1" x14ac:dyDescent="0.25">
      <c r="A175" s="173" t="s">
        <v>315</v>
      </c>
      <c r="B175" s="172" t="s">
        <v>256</v>
      </c>
      <c r="C175" s="281">
        <v>578742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81">
        <v>252417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831159</v>
      </c>
      <c r="E177" s="175"/>
    </row>
    <row r="178" spans="1:5" ht="11.4" customHeight="1" x14ac:dyDescent="0.25">
      <c r="A178" s="252" t="s">
        <v>317</v>
      </c>
      <c r="B178" s="252"/>
      <c r="C178" s="252"/>
      <c r="D178" s="252"/>
      <c r="E178" s="252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281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2" t="s">
        <v>320</v>
      </c>
      <c r="B182" s="252"/>
      <c r="C182" s="252"/>
      <c r="D182" s="252"/>
      <c r="E182" s="252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281">
        <v>943381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943381</v>
      </c>
      <c r="E186" s="175"/>
    </row>
    <row r="187" spans="1:5" ht="11.4" customHeight="1" x14ac:dyDescent="0.25">
      <c r="A187" s="252" t="s">
        <v>323</v>
      </c>
      <c r="B187" s="252"/>
      <c r="C187" s="252"/>
      <c r="D187" s="252"/>
      <c r="E187" s="252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8155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8155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622796.51</v>
      </c>
      <c r="C195" s="281"/>
      <c r="D195" s="282"/>
      <c r="E195" s="175">
        <f t="shared" ref="E195:E203" si="10">SUM(B195:C195)-D195</f>
        <v>622796.51</v>
      </c>
    </row>
    <row r="196" spans="1:8" ht="12.6" customHeight="1" x14ac:dyDescent="0.25">
      <c r="A196" s="173" t="s">
        <v>333</v>
      </c>
      <c r="B196" s="174">
        <v>587456</v>
      </c>
      <c r="C196" s="281"/>
      <c r="D196" s="282"/>
      <c r="E196" s="175">
        <f t="shared" si="10"/>
        <v>587456</v>
      </c>
    </row>
    <row r="197" spans="1:8" ht="12.6" customHeight="1" x14ac:dyDescent="0.25">
      <c r="A197" s="173" t="s">
        <v>334</v>
      </c>
      <c r="B197" s="174">
        <v>21162488</v>
      </c>
      <c r="C197" s="281"/>
      <c r="D197" s="282"/>
      <c r="E197" s="175">
        <f t="shared" si="10"/>
        <v>21162488</v>
      </c>
    </row>
    <row r="198" spans="1:8" ht="12.6" customHeight="1" x14ac:dyDescent="0.25">
      <c r="A198" s="173" t="s">
        <v>335</v>
      </c>
      <c r="B198" s="174">
        <v>6336232.3600000003</v>
      </c>
      <c r="C198" s="281"/>
      <c r="D198" s="282"/>
      <c r="E198" s="175">
        <f t="shared" si="10"/>
        <v>6336232.3600000003</v>
      </c>
    </row>
    <row r="199" spans="1:8" ht="12.6" customHeight="1" x14ac:dyDescent="0.25">
      <c r="A199" s="173" t="s">
        <v>336</v>
      </c>
      <c r="B199" s="174">
        <v>979108</v>
      </c>
      <c r="C199" s="281"/>
      <c r="D199" s="282"/>
      <c r="E199" s="175">
        <f t="shared" si="10"/>
        <v>979108</v>
      </c>
    </row>
    <row r="200" spans="1:8" ht="12.6" customHeight="1" x14ac:dyDescent="0.25">
      <c r="A200" s="173" t="s">
        <v>337</v>
      </c>
      <c r="B200" s="174">
        <v>5116650.97</v>
      </c>
      <c r="C200" s="281">
        <f>74701.04+25813.63</f>
        <v>100514.67</v>
      </c>
      <c r="D200" s="282">
        <v>117989.84</v>
      </c>
      <c r="E200" s="175">
        <f t="shared" si="10"/>
        <v>5099175.8</v>
      </c>
    </row>
    <row r="201" spans="1:8" ht="12.6" customHeight="1" x14ac:dyDescent="0.25">
      <c r="A201" s="173" t="s">
        <v>338</v>
      </c>
      <c r="B201" s="174">
        <v>686414</v>
      </c>
      <c r="C201" s="281"/>
      <c r="D201" s="282"/>
      <c r="E201" s="175">
        <f t="shared" si="10"/>
        <v>686414</v>
      </c>
    </row>
    <row r="202" spans="1:8" ht="12.6" customHeight="1" x14ac:dyDescent="0.25">
      <c r="A202" s="173" t="s">
        <v>339</v>
      </c>
      <c r="B202" s="174">
        <v>0</v>
      </c>
      <c r="C202" s="281"/>
      <c r="D202" s="282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20719.25</v>
      </c>
      <c r="C203" s="281">
        <f>496992.02+253991.2</f>
        <v>750983.22</v>
      </c>
      <c r="D203" s="282"/>
      <c r="E203" s="175">
        <f t="shared" si="10"/>
        <v>771702.47</v>
      </c>
    </row>
    <row r="204" spans="1:8" ht="12.6" customHeight="1" x14ac:dyDescent="0.25">
      <c r="A204" s="173" t="s">
        <v>203</v>
      </c>
      <c r="B204" s="175">
        <f>SUM(B195:B203)</f>
        <v>35511865.090000004</v>
      </c>
      <c r="C204" s="191">
        <f>SUM(C195:C203)</f>
        <v>851497.89</v>
      </c>
      <c r="D204" s="175">
        <f>SUM(D195:D203)</f>
        <v>117989.84</v>
      </c>
      <c r="E204" s="175">
        <f>SUM(E195:E203)</f>
        <v>36245373.140000001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4"/>
    </row>
    <row r="209" spans="1:8" ht="12.6" customHeight="1" x14ac:dyDescent="0.25">
      <c r="A209" s="173" t="s">
        <v>333</v>
      </c>
      <c r="B209" s="174">
        <v>582766.81000000006</v>
      </c>
      <c r="C209" s="281">
        <v>3456.98</v>
      </c>
      <c r="D209" s="282"/>
      <c r="E209" s="175">
        <f t="shared" ref="E209:E216" si="11">SUM(B209:C209)-D209</f>
        <v>586223.79</v>
      </c>
      <c r="H209" s="254"/>
    </row>
    <row r="210" spans="1:8" ht="12.6" customHeight="1" x14ac:dyDescent="0.25">
      <c r="A210" s="173" t="s">
        <v>334</v>
      </c>
      <c r="B210" s="174">
        <v>12857948.23</v>
      </c>
      <c r="C210" s="281">
        <v>714799.57</v>
      </c>
      <c r="D210" s="282"/>
      <c r="E210" s="175">
        <f t="shared" si="11"/>
        <v>13572747.800000001</v>
      </c>
      <c r="H210" s="254"/>
    </row>
    <row r="211" spans="1:8" ht="12.6" customHeight="1" x14ac:dyDescent="0.25">
      <c r="A211" s="173" t="s">
        <v>335</v>
      </c>
      <c r="B211" s="174">
        <v>4499181.91</v>
      </c>
      <c r="C211" s="281">
        <v>131367.4</v>
      </c>
      <c r="D211" s="282"/>
      <c r="E211" s="175">
        <f t="shared" si="11"/>
        <v>4630549.3100000005</v>
      </c>
      <c r="H211" s="254"/>
    </row>
    <row r="212" spans="1:8" ht="12.6" customHeight="1" x14ac:dyDescent="0.25">
      <c r="A212" s="173" t="s">
        <v>336</v>
      </c>
      <c r="B212" s="174">
        <v>962476.86</v>
      </c>
      <c r="C212" s="281">
        <v>8816.64</v>
      </c>
      <c r="D212" s="282"/>
      <c r="E212" s="175">
        <f t="shared" si="11"/>
        <v>971293.5</v>
      </c>
      <c r="H212" s="254"/>
    </row>
    <row r="213" spans="1:8" ht="12.6" customHeight="1" x14ac:dyDescent="0.25">
      <c r="A213" s="173" t="s">
        <v>337</v>
      </c>
      <c r="B213" s="174">
        <v>4020191.4600000004</v>
      </c>
      <c r="C213" s="281">
        <f>279419+88387.62-1-100374</f>
        <v>267431.62</v>
      </c>
      <c r="D213" s="282">
        <f>49632.66+142918.71-100374</f>
        <v>92177.37</v>
      </c>
      <c r="E213" s="175">
        <f t="shared" si="11"/>
        <v>4195445.71</v>
      </c>
      <c r="H213" s="254"/>
    </row>
    <row r="214" spans="1:8" ht="12.6" customHeight="1" x14ac:dyDescent="0.25">
      <c r="A214" s="173" t="s">
        <v>338</v>
      </c>
      <c r="B214" s="174">
        <v>686413.89</v>
      </c>
      <c r="C214" s="281"/>
      <c r="D214" s="282"/>
      <c r="E214" s="175">
        <f t="shared" si="11"/>
        <v>686413.89</v>
      </c>
      <c r="H214" s="254"/>
    </row>
    <row r="215" spans="1:8" ht="12.6" customHeight="1" x14ac:dyDescent="0.25">
      <c r="A215" s="173" t="s">
        <v>339</v>
      </c>
      <c r="B215" s="174">
        <v>0</v>
      </c>
      <c r="C215" s="281"/>
      <c r="D215" s="282"/>
      <c r="E215" s="175">
        <f t="shared" si="11"/>
        <v>0</v>
      </c>
      <c r="H215" s="254"/>
    </row>
    <row r="216" spans="1:8" ht="12.6" customHeight="1" x14ac:dyDescent="0.25">
      <c r="A216" s="173" t="s">
        <v>340</v>
      </c>
      <c r="B216" s="174">
        <v>0</v>
      </c>
      <c r="C216" s="281"/>
      <c r="D216" s="282"/>
      <c r="E216" s="175">
        <f t="shared" si="11"/>
        <v>0</v>
      </c>
      <c r="H216" s="254"/>
    </row>
    <row r="217" spans="1:8" ht="12.6" customHeight="1" x14ac:dyDescent="0.25">
      <c r="A217" s="173" t="s">
        <v>203</v>
      </c>
      <c r="B217" s="175">
        <f>SUM(B208:B216)</f>
        <v>23608979.160000004</v>
      </c>
      <c r="C217" s="191">
        <f>SUM(C208:C216)</f>
        <v>1125872.21</v>
      </c>
      <c r="D217" s="175">
        <f>SUM(D208:D216)</f>
        <v>92177.37</v>
      </c>
      <c r="E217" s="175">
        <f>SUM(E208:E216)</f>
        <v>24642674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8" t="s">
        <v>990</v>
      </c>
      <c r="C220" s="288"/>
      <c r="D220" s="205"/>
      <c r="E220" s="205"/>
    </row>
    <row r="221" spans="1:8" ht="12.6" customHeight="1" x14ac:dyDescent="0.25">
      <c r="A221" s="267" t="s">
        <v>990</v>
      </c>
      <c r="B221" s="205"/>
      <c r="C221" s="189">
        <v>-525570</v>
      </c>
      <c r="D221" s="172">
        <f>C221</f>
        <v>-525570</v>
      </c>
      <c r="E221" s="205"/>
    </row>
    <row r="222" spans="1:8" ht="12.6" customHeight="1" x14ac:dyDescent="0.25">
      <c r="A222" s="252" t="s">
        <v>343</v>
      </c>
      <c r="B222" s="252"/>
      <c r="C222" s="252"/>
      <c r="D222" s="252"/>
      <c r="E222" s="252"/>
    </row>
    <row r="223" spans="1:8" ht="12.6" customHeight="1" x14ac:dyDescent="0.25">
      <c r="A223" s="173" t="s">
        <v>344</v>
      </c>
      <c r="B223" s="172" t="s">
        <v>256</v>
      </c>
      <c r="C223" s="189">
        <f>24066909+7581512</f>
        <v>31648421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3793213+14097530</f>
        <v>17890743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1016856+4623534+1014114-5511+13762815-1016856</f>
        <v>19394952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68934116</v>
      </c>
      <c r="E229" s="175"/>
    </row>
    <row r="230" spans="1:5" ht="12.6" customHeight="1" x14ac:dyDescent="0.25">
      <c r="A230" s="252" t="s">
        <v>351</v>
      </c>
      <c r="B230" s="252"/>
      <c r="C230" s="252"/>
      <c r="D230" s="252"/>
      <c r="E230" s="252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1016856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1016856</v>
      </c>
      <c r="E236" s="175"/>
    </row>
    <row r="237" spans="1:5" ht="12.6" customHeight="1" x14ac:dyDescent="0.25">
      <c r="A237" s="252" t="s">
        <v>356</v>
      </c>
      <c r="B237" s="252"/>
      <c r="C237" s="252"/>
      <c r="D237" s="252"/>
      <c r="E237" s="252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69425402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2" t="s">
        <v>361</v>
      </c>
      <c r="B249" s="252"/>
      <c r="C249" s="252"/>
      <c r="D249" s="252"/>
      <c r="E249" s="252"/>
    </row>
    <row r="250" spans="1:5" ht="12.45" customHeight="1" x14ac:dyDescent="0.25">
      <c r="A250" s="173" t="s">
        <v>362</v>
      </c>
      <c r="B250" s="172" t="s">
        <v>256</v>
      </c>
      <c r="C250" s="189">
        <v>925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19882516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2462875+9975395</f>
        <v>12438270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174040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151294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39828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7810333</v>
      </c>
      <c r="E260" s="175"/>
    </row>
    <row r="261" spans="1:5" ht="11.25" customHeight="1" x14ac:dyDescent="0.25">
      <c r="A261" s="252" t="s">
        <v>372</v>
      </c>
      <c r="B261" s="252"/>
      <c r="C261" s="252"/>
      <c r="D261" s="252"/>
      <c r="E261" s="252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2" t="s">
        <v>375</v>
      </c>
      <c r="B266" s="252"/>
      <c r="C266" s="252"/>
      <c r="D266" s="252"/>
      <c r="E266" s="252"/>
    </row>
    <row r="267" spans="1:5" ht="12.45" customHeight="1" x14ac:dyDescent="0.25">
      <c r="A267" s="173" t="s">
        <v>332</v>
      </c>
      <c r="B267" s="172" t="s">
        <v>256</v>
      </c>
      <c r="C267" s="189">
        <v>622797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587456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21162488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6336232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979108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281">
        <f>4937652.94+161522.9+686414.15</f>
        <v>5785589.9900000012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281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281">
        <f>517710.78+253991.2</f>
        <v>771701.98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36245372.969999999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24642675-1</f>
        <v>24642674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11602698.969999999</v>
      </c>
      <c r="E277" s="175"/>
    </row>
    <row r="278" spans="1:5" ht="12.6" customHeight="1" x14ac:dyDescent="0.25">
      <c r="A278" s="252" t="s">
        <v>382</v>
      </c>
      <c r="B278" s="252"/>
      <c r="C278" s="252"/>
      <c r="D278" s="252"/>
      <c r="E278" s="252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331201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331201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2" t="s">
        <v>387</v>
      </c>
      <c r="B285" s="252"/>
      <c r="C285" s="252"/>
      <c r="D285" s="252"/>
      <c r="E285" s="252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19744232.969999999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2" t="s">
        <v>395</v>
      </c>
      <c r="B303" s="252"/>
      <c r="C303" s="252"/>
      <c r="D303" s="252"/>
      <c r="E303" s="252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1806571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3302207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189">
        <v>374912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42274+21938188+925</f>
        <v>21981387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27465077</v>
      </c>
      <c r="E314" s="175"/>
    </row>
    <row r="315" spans="1:5" ht="12.6" customHeight="1" x14ac:dyDescent="0.25">
      <c r="A315" s="252" t="s">
        <v>406</v>
      </c>
      <c r="B315" s="252"/>
      <c r="C315" s="252"/>
      <c r="D315" s="252"/>
      <c r="E315" s="252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2" t="s">
        <v>411</v>
      </c>
      <c r="B320" s="252"/>
      <c r="C320" s="252"/>
      <c r="D320" s="252"/>
      <c r="E320" s="252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148000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148000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148000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f>-3447434+295754-4717164</f>
        <v>-7868844</v>
      </c>
      <c r="D332" s="175"/>
      <c r="E332" s="175"/>
    </row>
    <row r="333" spans="1:5" ht="12.6" customHeight="1" x14ac:dyDescent="0.25">
      <c r="A333" s="173"/>
      <c r="B333" s="172"/>
      <c r="C333" s="227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19744233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19744232.969999999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2" t="s">
        <v>427</v>
      </c>
      <c r="B358" s="252"/>
      <c r="C358" s="252"/>
      <c r="D358" s="252"/>
      <c r="E358" s="252"/>
    </row>
    <row r="359" spans="1:5" ht="12.6" customHeight="1" x14ac:dyDescent="0.25">
      <c r="A359" s="173" t="s">
        <v>428</v>
      </c>
      <c r="B359" s="172" t="s">
        <v>256</v>
      </c>
      <c r="C359" s="189">
        <v>75227608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41060189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116287797</v>
      </c>
      <c r="E361" s="175"/>
    </row>
    <row r="362" spans="1:5" ht="12.6" customHeight="1" x14ac:dyDescent="0.25">
      <c r="A362" s="252" t="s">
        <v>431</v>
      </c>
      <c r="B362" s="252"/>
      <c r="C362" s="252"/>
      <c r="D362" s="252"/>
      <c r="E362" s="252"/>
    </row>
    <row r="363" spans="1:5" ht="12.6" customHeight="1" x14ac:dyDescent="0.25">
      <c r="A363" s="173" t="s">
        <v>990</v>
      </c>
      <c r="B363" s="252"/>
      <c r="C363" s="189">
        <v>-525570</v>
      </c>
      <c r="D363" s="175"/>
      <c r="E363" s="252"/>
    </row>
    <row r="364" spans="1:5" ht="12.6" customHeight="1" x14ac:dyDescent="0.25">
      <c r="A364" s="173" t="s">
        <v>432</v>
      </c>
      <c r="B364" s="172" t="s">
        <v>256</v>
      </c>
      <c r="C364" s="189">
        <v>68934116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1016856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69425402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46862395</v>
      </c>
      <c r="E368" s="175"/>
    </row>
    <row r="369" spans="1:5" ht="12.6" customHeight="1" x14ac:dyDescent="0.25">
      <c r="A369" s="252" t="s">
        <v>436</v>
      </c>
      <c r="B369" s="252"/>
      <c r="C369" s="252"/>
      <c r="D369" s="252"/>
      <c r="E369" s="252"/>
    </row>
    <row r="370" spans="1:5" ht="12.6" customHeight="1" x14ac:dyDescent="0.25">
      <c r="A370" s="173" t="s">
        <v>437</v>
      </c>
      <c r="B370" s="172" t="s">
        <v>256</v>
      </c>
      <c r="C370" s="189">
        <v>2659825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2659825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49522220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2" t="s">
        <v>441</v>
      </c>
      <c r="B377" s="252"/>
      <c r="C377" s="252"/>
      <c r="D377" s="252"/>
      <c r="E377" s="252"/>
    </row>
    <row r="378" spans="1:5" ht="12.6" customHeight="1" x14ac:dyDescent="0.25">
      <c r="A378" s="173" t="s">
        <v>442</v>
      </c>
      <c r="B378" s="172" t="s">
        <v>256</v>
      </c>
      <c r="C378" s="189">
        <v>33654233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8363088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710362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2103823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640427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2207460+3120992</f>
        <v>5328452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1125872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831159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7059+301217+635105</f>
        <v>943381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8155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-943381+1483996</f>
        <v>540615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54249567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-4727347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10184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-4717163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-4717163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5"/>
    </row>
    <row r="412" spans="1:5" ht="12.6" customHeight="1" x14ac:dyDescent="0.25">
      <c r="A412" s="179" t="str">
        <f>C84&amp;"   "&amp;"H-"&amp;FIXED(C83,0,TRUE)&amp;"     FYE "&amp;C82</f>
        <v>St. Luke's Rehabilitation Institute   H-0     FYE 12/31/2019</v>
      </c>
      <c r="B412" s="179"/>
      <c r="C412" s="179"/>
      <c r="D412" s="179"/>
      <c r="E412" s="255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1471</v>
      </c>
      <c r="C414" s="194">
        <f>E138</f>
        <v>1471</v>
      </c>
      <c r="D414" s="179"/>
    </row>
    <row r="415" spans="1:5" ht="12.6" customHeight="1" x14ac:dyDescent="0.25">
      <c r="A415" s="179" t="s">
        <v>464</v>
      </c>
      <c r="B415" s="179">
        <f>D111</f>
        <v>19848</v>
      </c>
      <c r="C415" s="179">
        <f>E139</f>
        <v>19848</v>
      </c>
      <c r="D415" s="194">
        <f>SUM(C59:H59)+N59</f>
        <v>19848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33654233</v>
      </c>
      <c r="C427" s="179">
        <f t="shared" ref="C427:C434" si="13">CE61</f>
        <v>33654234</v>
      </c>
      <c r="D427" s="179"/>
    </row>
    <row r="428" spans="1:7" ht="12.6" customHeight="1" x14ac:dyDescent="0.25">
      <c r="A428" s="179" t="s">
        <v>3</v>
      </c>
      <c r="B428" s="179">
        <f t="shared" si="12"/>
        <v>8363088</v>
      </c>
      <c r="C428" s="179">
        <f t="shared" si="13"/>
        <v>8363089</v>
      </c>
      <c r="D428" s="179">
        <f>D173</f>
        <v>8363088</v>
      </c>
    </row>
    <row r="429" spans="1:7" ht="12.6" customHeight="1" x14ac:dyDescent="0.25">
      <c r="A429" s="179" t="s">
        <v>236</v>
      </c>
      <c r="B429" s="179">
        <f t="shared" si="12"/>
        <v>710362</v>
      </c>
      <c r="C429" s="179">
        <f t="shared" si="13"/>
        <v>710363</v>
      </c>
      <c r="D429" s="179"/>
    </row>
    <row r="430" spans="1:7" ht="12.6" customHeight="1" x14ac:dyDescent="0.25">
      <c r="A430" s="179" t="s">
        <v>237</v>
      </c>
      <c r="B430" s="179">
        <f t="shared" si="12"/>
        <v>2103823</v>
      </c>
      <c r="C430" s="179">
        <f t="shared" si="13"/>
        <v>2103824</v>
      </c>
      <c r="D430" s="179"/>
    </row>
    <row r="431" spans="1:7" ht="12.6" customHeight="1" x14ac:dyDescent="0.25">
      <c r="A431" s="179" t="s">
        <v>444</v>
      </c>
      <c r="B431" s="179">
        <f t="shared" si="12"/>
        <v>640427</v>
      </c>
      <c r="C431" s="179">
        <f t="shared" si="13"/>
        <v>640428</v>
      </c>
      <c r="D431" s="179"/>
    </row>
    <row r="432" spans="1:7" ht="12.6" customHeight="1" x14ac:dyDescent="0.25">
      <c r="A432" s="179" t="s">
        <v>445</v>
      </c>
      <c r="B432" s="179">
        <f t="shared" si="12"/>
        <v>5328452</v>
      </c>
      <c r="C432" s="194">
        <f t="shared" si="13"/>
        <v>5328458</v>
      </c>
      <c r="D432" s="179"/>
    </row>
    <row r="433" spans="1:7" ht="12.6" customHeight="1" x14ac:dyDescent="0.25">
      <c r="A433" s="179" t="s">
        <v>6</v>
      </c>
      <c r="B433" s="179">
        <f t="shared" si="12"/>
        <v>1125872</v>
      </c>
      <c r="C433" s="179">
        <f t="shared" si="13"/>
        <v>1125872</v>
      </c>
      <c r="D433" s="179">
        <f>C217</f>
        <v>1125872.21</v>
      </c>
    </row>
    <row r="434" spans="1:7" ht="12.6" customHeight="1" x14ac:dyDescent="0.25">
      <c r="A434" s="179" t="s">
        <v>474</v>
      </c>
      <c r="B434" s="179">
        <f t="shared" si="12"/>
        <v>831159</v>
      </c>
      <c r="C434" s="179">
        <f t="shared" si="13"/>
        <v>831160</v>
      </c>
      <c r="D434" s="179">
        <f>D177</f>
        <v>831159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943381</v>
      </c>
      <c r="C436" s="179"/>
      <c r="D436" s="179">
        <f>D186</f>
        <v>943381</v>
      </c>
    </row>
    <row r="437" spans="1:7" ht="12.6" customHeight="1" x14ac:dyDescent="0.25">
      <c r="A437" s="194" t="s">
        <v>449</v>
      </c>
      <c r="B437" s="194">
        <f t="shared" si="12"/>
        <v>8155</v>
      </c>
      <c r="C437" s="194"/>
      <c r="D437" s="194">
        <f>D190</f>
        <v>8155</v>
      </c>
    </row>
    <row r="438" spans="1:7" ht="12.6" customHeight="1" x14ac:dyDescent="0.25">
      <c r="A438" s="194" t="s">
        <v>476</v>
      </c>
      <c r="B438" s="194">
        <f>C386+C387+C388</f>
        <v>951536</v>
      </c>
      <c r="C438" s="194">
        <f>CD69</f>
        <v>951535.37</v>
      </c>
      <c r="D438" s="194">
        <f>D181+D186+D190</f>
        <v>951536</v>
      </c>
    </row>
    <row r="439" spans="1:7" ht="12.6" customHeight="1" x14ac:dyDescent="0.25">
      <c r="A439" s="179" t="s">
        <v>451</v>
      </c>
      <c r="B439" s="194">
        <f>C389</f>
        <v>540615</v>
      </c>
      <c r="C439" s="194">
        <f>SUM(C69:CC69)</f>
        <v>540618.30000000005</v>
      </c>
      <c r="D439" s="179"/>
    </row>
    <row r="440" spans="1:7" ht="12.6" customHeight="1" x14ac:dyDescent="0.25">
      <c r="A440" s="179" t="s">
        <v>477</v>
      </c>
      <c r="B440" s="194">
        <f>B438+B439</f>
        <v>1492151</v>
      </c>
      <c r="C440" s="194">
        <f>CE69</f>
        <v>1492153.67</v>
      </c>
      <c r="D440" s="179"/>
    </row>
    <row r="441" spans="1:7" ht="12.6" customHeight="1" x14ac:dyDescent="0.25">
      <c r="A441" s="179" t="s">
        <v>478</v>
      </c>
      <c r="B441" s="179">
        <f>D390</f>
        <v>54249567</v>
      </c>
      <c r="C441" s="194">
        <f>SUM(C427:C437)+C440</f>
        <v>54249581.670000002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-525570</v>
      </c>
      <c r="C444" s="179">
        <f>C363</f>
        <v>-525570</v>
      </c>
      <c r="D444" s="179"/>
    </row>
    <row r="445" spans="1:7" ht="12.6" customHeight="1" x14ac:dyDescent="0.25">
      <c r="A445" s="179" t="s">
        <v>343</v>
      </c>
      <c r="B445" s="179">
        <f>D229</f>
        <v>68934116</v>
      </c>
      <c r="C445" s="179">
        <f>C364</f>
        <v>68934116</v>
      </c>
      <c r="D445" s="179"/>
    </row>
    <row r="446" spans="1:7" ht="12.6" customHeight="1" x14ac:dyDescent="0.25">
      <c r="A446" s="179" t="s">
        <v>351</v>
      </c>
      <c r="B446" s="179">
        <f>D236</f>
        <v>1016856</v>
      </c>
      <c r="C446" s="179">
        <f>C365</f>
        <v>1016856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69425402</v>
      </c>
      <c r="C448" s="179">
        <f>D367</f>
        <v>69425402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1016856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2659825</v>
      </c>
      <c r="C458" s="194">
        <f>CE70</f>
        <v>2659825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75227608</v>
      </c>
      <c r="C463" s="194">
        <f>CE73</f>
        <v>75227609</v>
      </c>
      <c r="D463" s="194">
        <f>E141+E147+E153</f>
        <v>75227608</v>
      </c>
    </row>
    <row r="464" spans="1:7" ht="12.6" customHeight="1" x14ac:dyDescent="0.25">
      <c r="A464" s="179" t="s">
        <v>246</v>
      </c>
      <c r="B464" s="194">
        <f>C360</f>
        <v>41060189</v>
      </c>
      <c r="C464" s="194">
        <f>CE74</f>
        <v>41060193</v>
      </c>
      <c r="D464" s="194">
        <f>E142+E148+E154</f>
        <v>41060189</v>
      </c>
    </row>
    <row r="465" spans="1:7" ht="12.6" customHeight="1" x14ac:dyDescent="0.25">
      <c r="A465" s="179" t="s">
        <v>247</v>
      </c>
      <c r="B465" s="194">
        <f>D361</f>
        <v>116287797</v>
      </c>
      <c r="C465" s="194">
        <f>CE75</f>
        <v>116287802</v>
      </c>
      <c r="D465" s="194">
        <f>D463+D464</f>
        <v>116287797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622797</v>
      </c>
      <c r="C468" s="179">
        <f>E195</f>
        <v>622796.51</v>
      </c>
      <c r="D468" s="179"/>
    </row>
    <row r="469" spans="1:7" ht="12.6" customHeight="1" x14ac:dyDescent="0.25">
      <c r="A469" s="179" t="s">
        <v>333</v>
      </c>
      <c r="B469" s="179">
        <f t="shared" si="14"/>
        <v>587456</v>
      </c>
      <c r="C469" s="179">
        <f>E196</f>
        <v>587456</v>
      </c>
      <c r="D469" s="179"/>
    </row>
    <row r="470" spans="1:7" ht="12.6" customHeight="1" x14ac:dyDescent="0.25">
      <c r="A470" s="179" t="s">
        <v>334</v>
      </c>
      <c r="B470" s="179">
        <f t="shared" si="14"/>
        <v>21162488</v>
      </c>
      <c r="C470" s="179">
        <f>E197</f>
        <v>21162488</v>
      </c>
      <c r="D470" s="179"/>
    </row>
    <row r="471" spans="1:7" ht="12.6" customHeight="1" x14ac:dyDescent="0.25">
      <c r="A471" s="179" t="s">
        <v>494</v>
      </c>
      <c r="B471" s="179">
        <f t="shared" si="14"/>
        <v>6336232</v>
      </c>
      <c r="C471" s="179">
        <f>E198</f>
        <v>6336232.3600000003</v>
      </c>
      <c r="D471" s="179"/>
    </row>
    <row r="472" spans="1:7" ht="12.6" customHeight="1" x14ac:dyDescent="0.25">
      <c r="A472" s="179" t="s">
        <v>377</v>
      </c>
      <c r="B472" s="179">
        <f t="shared" si="14"/>
        <v>979108</v>
      </c>
      <c r="C472" s="179">
        <f>E199</f>
        <v>979108</v>
      </c>
      <c r="D472" s="179"/>
    </row>
    <row r="473" spans="1:7" ht="12.6" customHeight="1" x14ac:dyDescent="0.25">
      <c r="A473" s="179" t="s">
        <v>495</v>
      </c>
      <c r="B473" s="179">
        <f t="shared" si="14"/>
        <v>5785589.9900000012</v>
      </c>
      <c r="C473" s="179">
        <f>SUM(E200:E201)</f>
        <v>5785589.7999999998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771701.98</v>
      </c>
      <c r="C475" s="179">
        <f>E203</f>
        <v>771702.47</v>
      </c>
      <c r="D475" s="179"/>
    </row>
    <row r="476" spans="1:7" ht="12.6" customHeight="1" x14ac:dyDescent="0.25">
      <c r="A476" s="179" t="s">
        <v>203</v>
      </c>
      <c r="B476" s="179">
        <f>D275</f>
        <v>36245372.969999999</v>
      </c>
      <c r="C476" s="179">
        <f>E204</f>
        <v>36245373.140000001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24642674</v>
      </c>
      <c r="C478" s="179">
        <f>E217</f>
        <v>24642674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19744232.969999999</v>
      </c>
    </row>
    <row r="482" spans="1:12" ht="12.6" customHeight="1" x14ac:dyDescent="0.25">
      <c r="A482" s="180" t="s">
        <v>499</v>
      </c>
      <c r="C482" s="180">
        <f>D339</f>
        <v>19744233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157</v>
      </c>
      <c r="B493" s="256" t="str">
        <f>RIGHT('Prior Year'!C82,4)</f>
        <v>2018</v>
      </c>
      <c r="C493" s="256" t="str">
        <f>RIGHT(C82,4)</f>
        <v>2019</v>
      </c>
      <c r="D493" s="256" t="str">
        <f>RIGHT('Prior Year'!C82,4)</f>
        <v>2018</v>
      </c>
      <c r="E493" s="256" t="str">
        <f>RIGHT(C82,4)</f>
        <v>2019</v>
      </c>
      <c r="F493" s="256" t="str">
        <f>RIGHT('Prior Year'!C82,4)</f>
        <v>2018</v>
      </c>
      <c r="G493" s="256" t="str">
        <f>RIGHT(C82,4)</f>
        <v>2019</v>
      </c>
      <c r="H493" s="256"/>
      <c r="K493" s="256"/>
      <c r="L493" s="256"/>
    </row>
    <row r="494" spans="1:12" ht="12.6" customHeight="1" x14ac:dyDescent="0.25">
      <c r="A494" s="198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5">
      <c r="A496" s="180" t="s">
        <v>512</v>
      </c>
      <c r="B496" s="235">
        <f>'Prior Year'!C71</f>
        <v>0</v>
      </c>
      <c r="C496" s="235">
        <f>C71</f>
        <v>0</v>
      </c>
      <c r="D496" s="235">
        <f>'Prior Year'!C59</f>
        <v>0</v>
      </c>
      <c r="E496" s="180">
        <f>C59</f>
        <v>0</v>
      </c>
      <c r="F496" s="258" t="str">
        <f t="shared" ref="F496:G511" si="15">IF(B496=0,"",IF(D496=0,"",B496/D496))</f>
        <v/>
      </c>
      <c r="G496" s="259" t="str">
        <f t="shared" si="15"/>
        <v/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5">
      <c r="A497" s="180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46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5">
      <c r="A498" s="180" t="s">
        <v>514</v>
      </c>
      <c r="B498" s="235">
        <f>'Prior Year'!E71</f>
        <v>0</v>
      </c>
      <c r="C498" s="235">
        <f>E71</f>
        <v>0</v>
      </c>
      <c r="D498" s="235">
        <f>'Prior Year'!E59</f>
        <v>0</v>
      </c>
      <c r="E498" s="180">
        <f>E59</f>
        <v>0</v>
      </c>
      <c r="F498" s="258" t="str">
        <f t="shared" si="15"/>
        <v/>
      </c>
      <c r="G498" s="258" t="str">
        <f t="shared" si="15"/>
        <v/>
      </c>
      <c r="H498" s="260" t="str">
        <f t="shared" si="16"/>
        <v/>
      </c>
      <c r="I498" s="262"/>
      <c r="K498" s="256"/>
      <c r="L498" s="256"/>
    </row>
    <row r="499" spans="1:12" ht="12.6" customHeight="1" x14ac:dyDescent="0.25">
      <c r="A499" s="180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5">
      <c r="A500" s="180" t="s">
        <v>516</v>
      </c>
      <c r="B500" s="235">
        <f>'Prior Year'!G71</f>
        <v>12058904</v>
      </c>
      <c r="C500" s="235">
        <f>G71</f>
        <v>13293480</v>
      </c>
      <c r="D500" s="235">
        <f>'Prior Year'!G59</f>
        <v>20305</v>
      </c>
      <c r="E500" s="180">
        <f>G59</f>
        <v>19848</v>
      </c>
      <c r="F500" s="258">
        <f t="shared" si="15"/>
        <v>593.88840187146025</v>
      </c>
      <c r="G500" s="258">
        <f t="shared" si="15"/>
        <v>669.76420798065294</v>
      </c>
      <c r="H500" s="260" t="str">
        <f>IF(B500=0,"",IF(C500=0,"",IF(D500=0,"",IF(E500=0,"",IF(G500/F500-1&lt;-0.25,G500/F500-1,IF(G500/F500-1&gt;0.25,G500/F500-1,""))))))</f>
        <v/>
      </c>
      <c r="I500" s="262"/>
      <c r="K500" s="256"/>
      <c r="L500" s="256"/>
    </row>
    <row r="501" spans="1:12" ht="12.6" customHeight="1" x14ac:dyDescent="0.25">
      <c r="A501" s="180" t="s">
        <v>517</v>
      </c>
      <c r="B501" s="235">
        <f>'Prior Year'!H71</f>
        <v>0</v>
      </c>
      <c r="C501" s="235">
        <f>H71</f>
        <v>0</v>
      </c>
      <c r="D501" s="235">
        <f>'Prior Year'!H59</f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5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5">
      <c r="A503" s="180" t="s">
        <v>519</v>
      </c>
      <c r="B503" s="235">
        <f>'Prior Year'!J71</f>
        <v>0</v>
      </c>
      <c r="C503" s="235">
        <f>J71</f>
        <v>0</v>
      </c>
      <c r="D503" s="235">
        <f>'Prior Year'!J59</f>
        <v>0</v>
      </c>
      <c r="E503" s="180">
        <f>J59</f>
        <v>0</v>
      </c>
      <c r="F503" s="258" t="str">
        <f t="shared" si="15"/>
        <v/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5">
      <c r="A504" s="180" t="s">
        <v>520</v>
      </c>
      <c r="B504" s="235">
        <f>'Prior Year'!K71</f>
        <v>0</v>
      </c>
      <c r="C504" s="235">
        <f>K71</f>
        <v>0</v>
      </c>
      <c r="D504" s="235">
        <f>'Prior Year'!K59</f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 x14ac:dyDescent="0.25">
      <c r="A505" s="180" t="s">
        <v>521</v>
      </c>
      <c r="B505" s="235">
        <f>'Prior Year'!L71</f>
        <v>0</v>
      </c>
      <c r="C505" s="235">
        <f>L71</f>
        <v>0</v>
      </c>
      <c r="D505" s="235">
        <f>'Prior Year'!L59</f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 x14ac:dyDescent="0.25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5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5">
      <c r="A508" s="180" t="s">
        <v>524</v>
      </c>
      <c r="B508" s="235">
        <f>'Prior Year'!O71</f>
        <v>0</v>
      </c>
      <c r="C508" s="235">
        <f>O71</f>
        <v>0</v>
      </c>
      <c r="D508" s="235">
        <f>'Prior Year'!O59</f>
        <v>0</v>
      </c>
      <c r="E508" s="180">
        <f>O59</f>
        <v>0</v>
      </c>
      <c r="F508" s="258" t="str">
        <f t="shared" si="15"/>
        <v/>
      </c>
      <c r="G508" s="258" t="str">
        <f t="shared" si="15"/>
        <v/>
      </c>
      <c r="H508" s="260" t="str">
        <f t="shared" si="16"/>
        <v/>
      </c>
      <c r="I508" s="262"/>
      <c r="K508" s="256"/>
      <c r="L508" s="256"/>
    </row>
    <row r="509" spans="1:12" ht="12.6" customHeight="1" x14ac:dyDescent="0.25">
      <c r="A509" s="180" t="s">
        <v>525</v>
      </c>
      <c r="B509" s="235">
        <f>'Prior Year'!P71</f>
        <v>0</v>
      </c>
      <c r="C509" s="235">
        <f>P71</f>
        <v>0</v>
      </c>
      <c r="D509" s="235">
        <f>'Prior Year'!P59</f>
        <v>0</v>
      </c>
      <c r="E509" s="180">
        <f>P59</f>
        <v>0</v>
      </c>
      <c r="F509" s="258" t="str">
        <f t="shared" si="15"/>
        <v/>
      </c>
      <c r="G509" s="258" t="str">
        <f t="shared" si="15"/>
        <v/>
      </c>
      <c r="H509" s="260" t="str">
        <f t="shared" si="16"/>
        <v/>
      </c>
      <c r="I509" s="262"/>
      <c r="K509" s="256"/>
      <c r="L509" s="256"/>
    </row>
    <row r="510" spans="1:12" ht="12.6" customHeight="1" x14ac:dyDescent="0.25">
      <c r="A510" s="180" t="s">
        <v>526</v>
      </c>
      <c r="B510" s="235">
        <f>'Prior Year'!Q71</f>
        <v>0</v>
      </c>
      <c r="C510" s="235">
        <f>Q71</f>
        <v>0</v>
      </c>
      <c r="D510" s="235">
        <f>'Prior Year'!Q59</f>
        <v>0</v>
      </c>
      <c r="E510" s="180">
        <f>Q59</f>
        <v>0</v>
      </c>
      <c r="F510" s="258" t="str">
        <f t="shared" si="15"/>
        <v/>
      </c>
      <c r="G510" s="258" t="str">
        <f t="shared" si="15"/>
        <v/>
      </c>
      <c r="H510" s="260" t="str">
        <f t="shared" si="16"/>
        <v/>
      </c>
      <c r="I510" s="262"/>
      <c r="K510" s="256"/>
      <c r="L510" s="256"/>
    </row>
    <row r="511" spans="1:12" ht="12.6" customHeight="1" x14ac:dyDescent="0.25">
      <c r="A511" s="180" t="s">
        <v>527</v>
      </c>
      <c r="B511" s="235">
        <f>'Prior Year'!R71</f>
        <v>0</v>
      </c>
      <c r="C511" s="235">
        <f>R71</f>
        <v>0</v>
      </c>
      <c r="D511" s="235">
        <f>'Prior Year'!R59</f>
        <v>0</v>
      </c>
      <c r="E511" s="180">
        <f>R59</f>
        <v>0</v>
      </c>
      <c r="F511" s="258" t="str">
        <f t="shared" si="15"/>
        <v/>
      </c>
      <c r="G511" s="258" t="str">
        <f t="shared" si="15"/>
        <v/>
      </c>
      <c r="H511" s="260" t="str">
        <f t="shared" si="16"/>
        <v/>
      </c>
      <c r="I511" s="262"/>
      <c r="K511" s="256"/>
      <c r="L511" s="256"/>
    </row>
    <row r="512" spans="1:12" ht="12.6" customHeight="1" x14ac:dyDescent="0.25">
      <c r="A512" s="180" t="s">
        <v>528</v>
      </c>
      <c r="B512" s="235">
        <f>'Prior Year'!S71</f>
        <v>94136</v>
      </c>
      <c r="C512" s="235">
        <f>S71</f>
        <v>97379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5">
      <c r="A513" s="180" t="s">
        <v>981</v>
      </c>
      <c r="B513" s="235">
        <f>'Prior Year'!T71</f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3">
      <c r="A514" s="180" t="s">
        <v>530</v>
      </c>
      <c r="B514" s="235">
        <f>'Prior Year'!U71</f>
        <v>221976</v>
      </c>
      <c r="C514" s="235">
        <f>U71</f>
        <v>162001</v>
      </c>
      <c r="D514" s="235">
        <f>'Prior Year'!U59</f>
        <v>95016</v>
      </c>
      <c r="E514" s="180">
        <f>U59</f>
        <v>97213</v>
      </c>
      <c r="F514" s="258">
        <f t="shared" si="17"/>
        <v>2.3361960090932055</v>
      </c>
      <c r="G514" s="258">
        <f t="shared" si="17"/>
        <v>1.6664540750722641</v>
      </c>
      <c r="H514" s="260">
        <f t="shared" si="16"/>
        <v>-0.2866805402518009</v>
      </c>
      <c r="I514" s="287" t="s">
        <v>1013</v>
      </c>
      <c r="K514" s="256"/>
      <c r="L514" s="256"/>
    </row>
    <row r="515" spans="1:12" ht="12.6" customHeight="1" x14ac:dyDescent="0.25">
      <c r="A515" s="180" t="s">
        <v>531</v>
      </c>
      <c r="B515" s="235">
        <f>'Prior Year'!V71</f>
        <v>0</v>
      </c>
      <c r="C515" s="235">
        <f>V71</f>
        <v>0</v>
      </c>
      <c r="D515" s="235">
        <f>'Prior Year'!V59</f>
        <v>0</v>
      </c>
      <c r="E515" s="180">
        <f>V59</f>
        <v>0</v>
      </c>
      <c r="F515" s="258" t="str">
        <f t="shared" si="17"/>
        <v/>
      </c>
      <c r="G515" s="258" t="str">
        <f t="shared" si="17"/>
        <v/>
      </c>
      <c r="H515" s="260" t="str">
        <f t="shared" si="16"/>
        <v/>
      </c>
      <c r="I515" s="262"/>
      <c r="K515" s="256"/>
      <c r="L515" s="256"/>
    </row>
    <row r="516" spans="1:12" ht="12.6" customHeight="1" x14ac:dyDescent="0.25">
      <c r="A516" s="180" t="s">
        <v>532</v>
      </c>
      <c r="B516" s="235">
        <f>'Prior Year'!W71</f>
        <v>0</v>
      </c>
      <c r="C516" s="235">
        <f>W71</f>
        <v>0</v>
      </c>
      <c r="D516" s="235">
        <f>'Prior Year'!W59</f>
        <v>44</v>
      </c>
      <c r="E516" s="180">
        <f>W59</f>
        <v>25</v>
      </c>
      <c r="F516" s="258" t="str">
        <f t="shared" si="17"/>
        <v/>
      </c>
      <c r="G516" s="258" t="str">
        <f t="shared" si="17"/>
        <v/>
      </c>
      <c r="H516" s="260" t="str">
        <f t="shared" si="16"/>
        <v/>
      </c>
      <c r="I516" s="262"/>
      <c r="K516" s="256"/>
      <c r="L516" s="256"/>
    </row>
    <row r="517" spans="1:12" ht="12.6" customHeight="1" x14ac:dyDescent="0.25">
      <c r="A517" s="180" t="s">
        <v>533</v>
      </c>
      <c r="B517" s="235">
        <f>'Prior Year'!X71</f>
        <v>0</v>
      </c>
      <c r="C517" s="235">
        <f>X71</f>
        <v>0</v>
      </c>
      <c r="D517" s="235">
        <f>'Prior Year'!X59</f>
        <v>152</v>
      </c>
      <c r="E517" s="180">
        <f>X59</f>
        <v>137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 x14ac:dyDescent="0.25">
      <c r="A518" s="180" t="s">
        <v>534</v>
      </c>
      <c r="B518" s="235">
        <f>'Prior Year'!Y71</f>
        <v>46949</v>
      </c>
      <c r="C518" s="235">
        <f>Y71</f>
        <v>33826</v>
      </c>
      <c r="D518" s="235">
        <f>'Prior Year'!Y59</f>
        <v>292</v>
      </c>
      <c r="E518" s="180">
        <f>Y59</f>
        <v>226</v>
      </c>
      <c r="F518" s="258">
        <f t="shared" si="17"/>
        <v>160.78424657534248</v>
      </c>
      <c r="G518" s="258">
        <f t="shared" si="17"/>
        <v>149.67256637168143</v>
      </c>
      <c r="H518" s="260" t="str">
        <f t="shared" si="16"/>
        <v/>
      </c>
      <c r="I518" s="262"/>
      <c r="K518" s="256"/>
      <c r="L518" s="256"/>
    </row>
    <row r="519" spans="1:12" ht="12.6" customHeight="1" x14ac:dyDescent="0.25">
      <c r="A519" s="180" t="s">
        <v>535</v>
      </c>
      <c r="B519" s="235">
        <f>'Prior Year'!Z71</f>
        <v>0</v>
      </c>
      <c r="C519" s="235">
        <f>Z71</f>
        <v>0</v>
      </c>
      <c r="D519" s="235">
        <f>'Prior Year'!Z59</f>
        <v>0</v>
      </c>
      <c r="E519" s="180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" customHeight="1" x14ac:dyDescent="0.25">
      <c r="A520" s="180" t="s">
        <v>536</v>
      </c>
      <c r="B520" s="235">
        <f>'Prior Year'!AA71</f>
        <v>0</v>
      </c>
      <c r="C520" s="235">
        <f>AA71</f>
        <v>0</v>
      </c>
      <c r="D520" s="235">
        <f>'Prior Year'!AA59</f>
        <v>6</v>
      </c>
      <c r="E520" s="180">
        <f>AA59</f>
        <v>4</v>
      </c>
      <c r="F520" s="258" t="str">
        <f t="shared" si="17"/>
        <v/>
      </c>
      <c r="G520" s="258" t="str">
        <f t="shared" si="17"/>
        <v/>
      </c>
      <c r="H520" s="260" t="str">
        <f t="shared" si="16"/>
        <v/>
      </c>
      <c r="I520" s="262"/>
      <c r="K520" s="256"/>
      <c r="L520" s="256"/>
    </row>
    <row r="521" spans="1:12" ht="12.6" customHeight="1" x14ac:dyDescent="0.25">
      <c r="A521" s="180" t="s">
        <v>537</v>
      </c>
      <c r="B521" s="235">
        <f>'Prior Year'!AB71</f>
        <v>1422863</v>
      </c>
      <c r="C521" s="235">
        <f>AB71</f>
        <v>1430198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5">
      <c r="A522" s="180" t="s">
        <v>538</v>
      </c>
      <c r="B522" s="235">
        <f>'Prior Year'!AC71</f>
        <v>635525</v>
      </c>
      <c r="C522" s="235">
        <f>AC71</f>
        <v>643589</v>
      </c>
      <c r="D522" s="235">
        <f>'Prior Year'!AC59</f>
        <v>8580</v>
      </c>
      <c r="E522" s="180">
        <f>AC59</f>
        <v>8219</v>
      </c>
      <c r="F522" s="258">
        <f t="shared" si="17"/>
        <v>74.070512820512818</v>
      </c>
      <c r="G522" s="258">
        <f t="shared" si="17"/>
        <v>78.305024942207083</v>
      </c>
      <c r="H522" s="260" t="str">
        <f t="shared" si="16"/>
        <v/>
      </c>
      <c r="I522" s="262"/>
      <c r="K522" s="256"/>
      <c r="L522" s="256"/>
    </row>
    <row r="523" spans="1:12" ht="12.6" customHeight="1" x14ac:dyDescent="0.25">
      <c r="A523" s="180" t="s">
        <v>539</v>
      </c>
      <c r="B523" s="235">
        <f>'Prior Year'!AD71</f>
        <v>0</v>
      </c>
      <c r="C523" s="235">
        <f>AD71</f>
        <v>0</v>
      </c>
      <c r="D523" s="235">
        <f>'Prior Year'!AD59</f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5">
      <c r="A524" s="180" t="s">
        <v>540</v>
      </c>
      <c r="B524" s="235">
        <f>'Prior Year'!AE71</f>
        <v>3051556</v>
      </c>
      <c r="C524" s="235">
        <f>AE71</f>
        <v>3084563</v>
      </c>
      <c r="D524" s="235">
        <f>'Prior Year'!AE59</f>
        <v>104843</v>
      </c>
      <c r="E524" s="180">
        <f>AE59</f>
        <v>97520</v>
      </c>
      <c r="F524" s="258">
        <f t="shared" si="17"/>
        <v>29.105958433085661</v>
      </c>
      <c r="G524" s="258">
        <f t="shared" si="17"/>
        <v>31.630055373256766</v>
      </c>
      <c r="H524" s="260" t="str">
        <f t="shared" si="16"/>
        <v/>
      </c>
      <c r="I524" s="262"/>
      <c r="K524" s="256"/>
      <c r="L524" s="256"/>
    </row>
    <row r="525" spans="1:12" ht="12.6" customHeight="1" x14ac:dyDescent="0.25">
      <c r="A525" s="180" t="s">
        <v>541</v>
      </c>
      <c r="B525" s="235">
        <f>'Prior Year'!AF71</f>
        <v>275378</v>
      </c>
      <c r="C525" s="235">
        <f>AF71</f>
        <v>273452</v>
      </c>
      <c r="D525" s="235">
        <f>'Prior Year'!AF59</f>
        <v>11149</v>
      </c>
      <c r="E525" s="180">
        <f>AF59</f>
        <v>10647</v>
      </c>
      <c r="F525" s="258">
        <f t="shared" si="17"/>
        <v>24.699793703471162</v>
      </c>
      <c r="G525" s="258">
        <f t="shared" si="17"/>
        <v>25.683478914248145</v>
      </c>
      <c r="H525" s="260" t="str">
        <f t="shared" si="16"/>
        <v/>
      </c>
      <c r="I525" s="262"/>
      <c r="K525" s="256"/>
      <c r="L525" s="256"/>
    </row>
    <row r="526" spans="1:12" ht="12.6" customHeight="1" x14ac:dyDescent="0.25">
      <c r="A526" s="180" t="s">
        <v>542</v>
      </c>
      <c r="B526" s="235">
        <f>'Prior Year'!AG71</f>
        <v>0</v>
      </c>
      <c r="C526" s="235">
        <f>AG71</f>
        <v>0</v>
      </c>
      <c r="D526" s="235">
        <f>'Prior Year'!AG59</f>
        <v>0</v>
      </c>
      <c r="E526" s="180">
        <f>AG59</f>
        <v>0</v>
      </c>
      <c r="F526" s="258" t="str">
        <f t="shared" si="17"/>
        <v/>
      </c>
      <c r="G526" s="258" t="str">
        <f t="shared" si="17"/>
        <v/>
      </c>
      <c r="H526" s="260" t="str">
        <f t="shared" si="16"/>
        <v/>
      </c>
      <c r="I526" s="262"/>
      <c r="K526" s="256"/>
      <c r="L526" s="256"/>
    </row>
    <row r="527" spans="1:12" ht="12.6" customHeight="1" x14ac:dyDescent="0.25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5">
      <c r="A528" s="180" t="s">
        <v>544</v>
      </c>
      <c r="B528" s="235">
        <f>'Prior Year'!AI71</f>
        <v>0</v>
      </c>
      <c r="C528" s="235">
        <f>AI71</f>
        <v>0</v>
      </c>
      <c r="D528" s="235">
        <f>'Prior Year'!AI59</f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5">
      <c r="A529" s="180" t="s">
        <v>545</v>
      </c>
      <c r="B529" s="235">
        <f>'Prior Year'!AJ71</f>
        <v>8196805</v>
      </c>
      <c r="C529" s="235">
        <f>AJ71</f>
        <v>8813546.2599999998</v>
      </c>
      <c r="D529" s="235">
        <f>'Prior Year'!AJ59</f>
        <v>60733</v>
      </c>
      <c r="E529" s="180">
        <f>AJ59</f>
        <v>58575</v>
      </c>
      <c r="F529" s="258">
        <f t="shared" si="18"/>
        <v>134.96459914708643</v>
      </c>
      <c r="G529" s="258">
        <f t="shared" si="18"/>
        <v>150.46600529236022</v>
      </c>
      <c r="H529" s="260" t="str">
        <f t="shared" si="16"/>
        <v/>
      </c>
      <c r="I529" s="262"/>
      <c r="K529" s="256"/>
      <c r="L529" s="256"/>
    </row>
    <row r="530" spans="1:12" ht="12.6" customHeight="1" x14ac:dyDescent="0.25">
      <c r="A530" s="180" t="s">
        <v>546</v>
      </c>
      <c r="B530" s="235">
        <f>'Prior Year'!AK71</f>
        <v>1689155</v>
      </c>
      <c r="C530" s="235">
        <f>AK71</f>
        <v>1771438.5</v>
      </c>
      <c r="D530" s="235">
        <f>'Prior Year'!AK59</f>
        <v>103353</v>
      </c>
      <c r="E530" s="180">
        <f>AK59</f>
        <v>104962</v>
      </c>
      <c r="F530" s="258">
        <f t="shared" si="18"/>
        <v>16.343550743568159</v>
      </c>
      <c r="G530" s="258">
        <f t="shared" si="18"/>
        <v>16.876950705969779</v>
      </c>
      <c r="H530" s="260" t="str">
        <f t="shared" si="16"/>
        <v/>
      </c>
      <c r="I530" s="262"/>
      <c r="K530" s="256"/>
      <c r="L530" s="256"/>
    </row>
    <row r="531" spans="1:12" ht="12.6" customHeight="1" x14ac:dyDescent="0.25">
      <c r="A531" s="180" t="s">
        <v>547</v>
      </c>
      <c r="B531" s="235">
        <f>'Prior Year'!AL71</f>
        <v>672870</v>
      </c>
      <c r="C531" s="235">
        <f>AL71</f>
        <v>729363</v>
      </c>
      <c r="D531" s="235">
        <f>'Prior Year'!AL59</f>
        <v>20496</v>
      </c>
      <c r="E531" s="180">
        <f>AL59</f>
        <v>20781</v>
      </c>
      <c r="F531" s="258">
        <f t="shared" si="18"/>
        <v>32.829332552693209</v>
      </c>
      <c r="G531" s="258">
        <f t="shared" si="18"/>
        <v>35.097589143929554</v>
      </c>
      <c r="H531" s="260" t="str">
        <f t="shared" si="16"/>
        <v/>
      </c>
      <c r="I531" s="262"/>
      <c r="K531" s="256"/>
      <c r="L531" s="256"/>
    </row>
    <row r="532" spans="1:12" ht="12.6" customHeight="1" x14ac:dyDescent="0.25">
      <c r="A532" s="180" t="s">
        <v>548</v>
      </c>
      <c r="B532" s="235">
        <f>'Prior Year'!AM71</f>
        <v>250907</v>
      </c>
      <c r="C532" s="235">
        <f>AM71</f>
        <v>257228</v>
      </c>
      <c r="D532" s="235">
        <f>'Prior Year'!AM59</f>
        <v>16131</v>
      </c>
      <c r="E532" s="180">
        <f>AM59</f>
        <v>15749</v>
      </c>
      <c r="F532" s="258">
        <f t="shared" si="18"/>
        <v>15.554336370962742</v>
      </c>
      <c r="G532" s="258">
        <f t="shared" si="18"/>
        <v>16.332973522128388</v>
      </c>
      <c r="H532" s="260" t="str">
        <f t="shared" si="16"/>
        <v/>
      </c>
      <c r="I532" s="262"/>
      <c r="K532" s="256"/>
      <c r="L532" s="256"/>
    </row>
    <row r="533" spans="1:12" ht="12.6" customHeight="1" x14ac:dyDescent="0.25">
      <c r="A533" s="180" t="s">
        <v>982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5">
      <c r="A534" s="180" t="s">
        <v>549</v>
      </c>
      <c r="B534" s="235">
        <f>'Prior Year'!AO71</f>
        <v>0</v>
      </c>
      <c r="C534" s="235">
        <f>AO71</f>
        <v>0</v>
      </c>
      <c r="D534" s="235">
        <f>'Prior Year'!AO59</f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 x14ac:dyDescent="0.25">
      <c r="A535" s="180" t="s">
        <v>550</v>
      </c>
      <c r="B535" s="235">
        <f>'Prior Year'!AP71</f>
        <v>3811293</v>
      </c>
      <c r="C535" s="235">
        <f>AP71</f>
        <v>4071312.88</v>
      </c>
      <c r="D535" s="235">
        <f>'Prior Year'!AP59</f>
        <v>46622</v>
      </c>
      <c r="E535" s="180">
        <f>AP59</f>
        <v>48710</v>
      </c>
      <c r="F535" s="258">
        <f t="shared" si="18"/>
        <v>81.748809574878806</v>
      </c>
      <c r="G535" s="258">
        <f t="shared" si="18"/>
        <v>83.582691028536232</v>
      </c>
      <c r="H535" s="260" t="str">
        <f t="shared" si="16"/>
        <v/>
      </c>
      <c r="I535" s="262"/>
      <c r="K535" s="256"/>
      <c r="L535" s="256"/>
    </row>
    <row r="536" spans="1:12" ht="12.6" customHeight="1" x14ac:dyDescent="0.25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5">
      <c r="A537" s="180" t="s">
        <v>552</v>
      </c>
      <c r="B537" s="235">
        <f>'Prior Year'!AR71</f>
        <v>0</v>
      </c>
      <c r="C537" s="235">
        <f>AR71</f>
        <v>0</v>
      </c>
      <c r="D537" s="235">
        <f>'Prior Year'!AR59</f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5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5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5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5">
      <c r="A541" s="180" t="s">
        <v>556</v>
      </c>
      <c r="B541" s="235">
        <f>'Prior Year'!AV71</f>
        <v>139083</v>
      </c>
      <c r="C541" s="235">
        <f>AV71</f>
        <v>152057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5">
      <c r="A542" s="180" t="s">
        <v>983</v>
      </c>
      <c r="B542" s="235">
        <f>'Prior Year'!AW71</f>
        <v>143953</v>
      </c>
      <c r="C542" s="235">
        <f>AW71</f>
        <v>160483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5">
      <c r="A543" s="180" t="s">
        <v>557</v>
      </c>
      <c r="B543" s="235">
        <f>'Prior Year'!AX71</f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5">
      <c r="A544" s="180" t="s">
        <v>558</v>
      </c>
      <c r="B544" s="235">
        <f>'Prior Year'!AY71</f>
        <v>1831451</v>
      </c>
      <c r="C544" s="235">
        <f>AY71</f>
        <v>1896782</v>
      </c>
      <c r="D544" s="235">
        <f>'Prior Year'!AY59</f>
        <v>61071</v>
      </c>
      <c r="E544" s="180">
        <f>AY59</f>
        <v>59439</v>
      </c>
      <c r="F544" s="258">
        <f t="shared" ref="F544:G550" si="19">IF(B544=0,"",IF(D544=0,"",B544/D544))</f>
        <v>29.988881793322527</v>
      </c>
      <c r="G544" s="258">
        <f t="shared" si="19"/>
        <v>31.911404969800973</v>
      </c>
      <c r="H544" s="260" t="str">
        <f>IF(B544=0,"",IF(C544=0,"",IF(D544=0,"",IF(E544=0,"",IF(G544/F544-1&lt;-0.25,G544/F544-1,IF(G544/F544-1&gt;0.25,G544/F544-1,""))))))</f>
        <v/>
      </c>
      <c r="I544" s="262"/>
      <c r="K544" s="256"/>
      <c r="L544" s="256"/>
    </row>
    <row r="545" spans="1:13" ht="12.6" customHeight="1" x14ac:dyDescent="0.25">
      <c r="A545" s="180" t="s">
        <v>559</v>
      </c>
      <c r="B545" s="235">
        <f>'Prior Year'!AZ71</f>
        <v>-366831</v>
      </c>
      <c r="C545" s="235">
        <f>AZ71</f>
        <v>-382506</v>
      </c>
      <c r="D545" s="235">
        <f>'Prior Year'!AZ59</f>
        <v>0</v>
      </c>
      <c r="E545" s="180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5">
      <c r="A546" s="180" t="s">
        <v>560</v>
      </c>
      <c r="B546" s="235">
        <f>'Prior Year'!BA71</f>
        <v>161281</v>
      </c>
      <c r="C546" s="235">
        <f>BA71</f>
        <v>159313</v>
      </c>
      <c r="D546" s="235">
        <f>'Prior Year'!BA59</f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5">
      <c r="A547" s="180" t="s">
        <v>561</v>
      </c>
      <c r="B547" s="235">
        <f>'Prior Year'!BB71</f>
        <v>741089</v>
      </c>
      <c r="C547" s="235">
        <f>BB71</f>
        <v>1059483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5">
      <c r="A548" s="180" t="s">
        <v>562</v>
      </c>
      <c r="B548" s="235">
        <f>'Prior Year'!BC71</f>
        <v>108083</v>
      </c>
      <c r="C548" s="235">
        <f>BC71</f>
        <v>104119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5">
      <c r="A549" s="180" t="s">
        <v>563</v>
      </c>
      <c r="B549" s="235">
        <f>'Prior Year'!BD71</f>
        <v>0</v>
      </c>
      <c r="C549" s="235">
        <f>BD71</f>
        <v>0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5">
      <c r="A550" s="180" t="s">
        <v>564</v>
      </c>
      <c r="B550" s="235">
        <f>'Prior Year'!BE71</f>
        <v>2644544</v>
      </c>
      <c r="C550" s="235">
        <f>BE71</f>
        <v>2305595.21</v>
      </c>
      <c r="D550" s="235">
        <f>'Prior Year'!BE59</f>
        <v>190169</v>
      </c>
      <c r="E550" s="180">
        <f>BE59</f>
        <v>190169</v>
      </c>
      <c r="F550" s="258">
        <f t="shared" si="19"/>
        <v>13.906283358486398</v>
      </c>
      <c r="G550" s="258">
        <f t="shared" si="19"/>
        <v>12.123927716925472</v>
      </c>
      <c r="H550" s="260" t="str">
        <f>IF(B550=0,"",IF(C550=0,"",IF(D550=0,"",IF(E550=0,"",IF(G550/F550-1&lt;-0.25,G550/F550-1,IF(G550/F550-1&gt;0.25,G550/F550-1,""))))))</f>
        <v/>
      </c>
      <c r="I550" s="262"/>
      <c r="K550" s="256"/>
      <c r="L550" s="256"/>
    </row>
    <row r="551" spans="1:13" ht="12.6" customHeight="1" x14ac:dyDescent="0.25">
      <c r="A551" s="180" t="s">
        <v>565</v>
      </c>
      <c r="B551" s="235">
        <f>'Prior Year'!BF71</f>
        <v>808599</v>
      </c>
      <c r="C551" s="235">
        <f>BF71</f>
        <v>758376</v>
      </c>
      <c r="D551" s="181" t="s">
        <v>529</v>
      </c>
      <c r="E551" s="181" t="s">
        <v>529</v>
      </c>
      <c r="F551" s="258"/>
      <c r="G551" s="258"/>
      <c r="H551" s="260"/>
      <c r="I551" s="262"/>
      <c r="J551" s="199"/>
      <c r="M551" s="260"/>
    </row>
    <row r="552" spans="1:13" ht="12.6" customHeight="1" x14ac:dyDescent="0.25">
      <c r="A552" s="180" t="s">
        <v>566</v>
      </c>
      <c r="B552" s="235">
        <f>'Prior Year'!BG71</f>
        <v>157618</v>
      </c>
      <c r="C552" s="235">
        <f>BG71</f>
        <v>151594</v>
      </c>
      <c r="D552" s="181" t="s">
        <v>529</v>
      </c>
      <c r="E552" s="181" t="s">
        <v>529</v>
      </c>
      <c r="F552" s="258"/>
      <c r="G552" s="258"/>
      <c r="H552" s="260"/>
      <c r="J552" s="199"/>
      <c r="M552" s="260"/>
    </row>
    <row r="553" spans="1:13" ht="12.6" customHeight="1" x14ac:dyDescent="0.25">
      <c r="A553" s="180" t="s">
        <v>567</v>
      </c>
      <c r="B553" s="235">
        <f>'Prior Year'!BH71</f>
        <v>0</v>
      </c>
      <c r="C553" s="235">
        <f>BH71</f>
        <v>0</v>
      </c>
      <c r="D553" s="181" t="s">
        <v>529</v>
      </c>
      <c r="E553" s="181" t="s">
        <v>529</v>
      </c>
      <c r="F553" s="258"/>
      <c r="G553" s="258"/>
      <c r="H553" s="260"/>
      <c r="J553" s="199"/>
      <c r="M553" s="260"/>
    </row>
    <row r="554" spans="1:13" ht="12.6" customHeight="1" x14ac:dyDescent="0.25">
      <c r="A554" s="180" t="s">
        <v>568</v>
      </c>
      <c r="B554" s="235">
        <f>'Prior Year'!BI71</f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9"/>
      <c r="M554" s="260"/>
    </row>
    <row r="555" spans="1:13" ht="12.6" customHeight="1" x14ac:dyDescent="0.25">
      <c r="A555" s="180" t="s">
        <v>569</v>
      </c>
      <c r="B555" s="235">
        <f>'Prior Year'!BJ71</f>
        <v>0</v>
      </c>
      <c r="C555" s="235">
        <f>BJ71</f>
        <v>0</v>
      </c>
      <c r="D555" s="181" t="s">
        <v>529</v>
      </c>
      <c r="E555" s="181" t="s">
        <v>529</v>
      </c>
      <c r="F555" s="258"/>
      <c r="G555" s="258"/>
      <c r="H555" s="260"/>
      <c r="J555" s="199"/>
      <c r="M555" s="260"/>
    </row>
    <row r="556" spans="1:13" ht="12.6" customHeight="1" x14ac:dyDescent="0.25">
      <c r="A556" s="180" t="s">
        <v>570</v>
      </c>
      <c r="B556" s="235">
        <f>'Prior Year'!BK71</f>
        <v>503543</v>
      </c>
      <c r="C556" s="235">
        <f>BK71</f>
        <v>707587</v>
      </c>
      <c r="D556" s="181" t="s">
        <v>529</v>
      </c>
      <c r="E556" s="181" t="s">
        <v>529</v>
      </c>
      <c r="F556" s="258"/>
      <c r="G556" s="258"/>
      <c r="H556" s="260"/>
      <c r="J556" s="199"/>
      <c r="M556" s="260"/>
    </row>
    <row r="557" spans="1:13" ht="12.6" customHeight="1" x14ac:dyDescent="0.25">
      <c r="A557" s="180" t="s">
        <v>571</v>
      </c>
      <c r="B557" s="235">
        <f>'Prior Year'!BL71</f>
        <v>1103305</v>
      </c>
      <c r="C557" s="235">
        <f>BL71</f>
        <v>1236372</v>
      </c>
      <c r="D557" s="181" t="s">
        <v>529</v>
      </c>
      <c r="E557" s="181" t="s">
        <v>529</v>
      </c>
      <c r="F557" s="258"/>
      <c r="G557" s="258"/>
      <c r="H557" s="260"/>
      <c r="J557" s="199"/>
      <c r="M557" s="260"/>
    </row>
    <row r="558" spans="1:13" ht="12.6" customHeight="1" x14ac:dyDescent="0.25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9"/>
      <c r="M558" s="260"/>
    </row>
    <row r="559" spans="1:13" ht="12.6" customHeight="1" x14ac:dyDescent="0.25">
      <c r="A559" s="180" t="s">
        <v>573</v>
      </c>
      <c r="B559" s="235">
        <f>'Prior Year'!BN71</f>
        <v>4302430</v>
      </c>
      <c r="C559" s="235">
        <f>BN71</f>
        <v>4552723.97</v>
      </c>
      <c r="D559" s="181" t="s">
        <v>529</v>
      </c>
      <c r="E559" s="181" t="s">
        <v>529</v>
      </c>
      <c r="F559" s="258"/>
      <c r="G559" s="258"/>
      <c r="H559" s="260"/>
      <c r="J559" s="199"/>
      <c r="M559" s="260"/>
    </row>
    <row r="560" spans="1:13" ht="12.6" customHeight="1" x14ac:dyDescent="0.25">
      <c r="A560" s="180" t="s">
        <v>574</v>
      </c>
      <c r="B560" s="235">
        <f>'Prior Year'!BO71</f>
        <v>14295</v>
      </c>
      <c r="C560" s="235">
        <f>BO71</f>
        <v>2602</v>
      </c>
      <c r="D560" s="181" t="s">
        <v>529</v>
      </c>
      <c r="E560" s="181" t="s">
        <v>529</v>
      </c>
      <c r="F560" s="258"/>
      <c r="G560" s="258"/>
      <c r="H560" s="260"/>
      <c r="J560" s="199"/>
      <c r="M560" s="260"/>
    </row>
    <row r="561" spans="1:13" ht="12.6" customHeight="1" x14ac:dyDescent="0.25">
      <c r="A561" s="180" t="s">
        <v>575</v>
      </c>
      <c r="B561" s="235">
        <f>'Prior Year'!BP71</f>
        <v>17327</v>
      </c>
      <c r="C561" s="235">
        <f>BP71</f>
        <v>16365</v>
      </c>
      <c r="D561" s="181" t="s">
        <v>529</v>
      </c>
      <c r="E561" s="181" t="s">
        <v>529</v>
      </c>
      <c r="F561" s="258"/>
      <c r="G561" s="258"/>
      <c r="H561" s="260"/>
      <c r="J561" s="199"/>
      <c r="M561" s="260"/>
    </row>
    <row r="562" spans="1:13" ht="12.6" customHeight="1" x14ac:dyDescent="0.25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9"/>
      <c r="M562" s="260"/>
    </row>
    <row r="563" spans="1:13" ht="12.6" customHeight="1" x14ac:dyDescent="0.25">
      <c r="A563" s="180" t="s">
        <v>577</v>
      </c>
      <c r="B563" s="235">
        <f>'Prior Year'!BR71</f>
        <v>0</v>
      </c>
      <c r="C563" s="235">
        <f>BR71</f>
        <v>0</v>
      </c>
      <c r="D563" s="181" t="s">
        <v>529</v>
      </c>
      <c r="E563" s="181" t="s">
        <v>529</v>
      </c>
      <c r="F563" s="258"/>
      <c r="G563" s="258"/>
      <c r="H563" s="260"/>
      <c r="J563" s="199"/>
      <c r="M563" s="260"/>
    </row>
    <row r="564" spans="1:13" ht="12.6" customHeight="1" x14ac:dyDescent="0.25">
      <c r="A564" s="180" t="s">
        <v>984</v>
      </c>
      <c r="B564" s="235">
        <f>'Prior Year'!BS71</f>
        <v>6940</v>
      </c>
      <c r="C564" s="235">
        <f>BS71</f>
        <v>14848</v>
      </c>
      <c r="D564" s="181" t="s">
        <v>529</v>
      </c>
      <c r="E564" s="181" t="s">
        <v>529</v>
      </c>
      <c r="F564" s="258"/>
      <c r="G564" s="258"/>
      <c r="H564" s="260"/>
      <c r="J564" s="199"/>
      <c r="M564" s="260"/>
    </row>
    <row r="565" spans="1:13" ht="12.6" customHeight="1" x14ac:dyDescent="0.25">
      <c r="A565" s="180" t="s">
        <v>578</v>
      </c>
      <c r="B565" s="235">
        <f>'Prior Year'!BT71</f>
        <v>100847</v>
      </c>
      <c r="C565" s="235">
        <f>BT71</f>
        <v>134545</v>
      </c>
      <c r="D565" s="181" t="s">
        <v>529</v>
      </c>
      <c r="E565" s="181" t="s">
        <v>529</v>
      </c>
      <c r="F565" s="258"/>
      <c r="G565" s="258"/>
      <c r="H565" s="260"/>
      <c r="J565" s="199"/>
      <c r="M565" s="260"/>
    </row>
    <row r="566" spans="1:13" ht="12.6" customHeight="1" x14ac:dyDescent="0.25">
      <c r="A566" s="180" t="s">
        <v>579</v>
      </c>
      <c r="B566" s="235">
        <f>'Prior Year'!BU71</f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9"/>
      <c r="M566" s="260"/>
    </row>
    <row r="567" spans="1:13" ht="12.6" customHeight="1" x14ac:dyDescent="0.25">
      <c r="A567" s="180" t="s">
        <v>580</v>
      </c>
      <c r="B567" s="235">
        <f>'Prior Year'!BV71</f>
        <v>592861</v>
      </c>
      <c r="C567" s="235">
        <f>BV71</f>
        <v>368356.18</v>
      </c>
      <c r="D567" s="181" t="s">
        <v>529</v>
      </c>
      <c r="E567" s="181" t="s">
        <v>529</v>
      </c>
      <c r="F567" s="258"/>
      <c r="G567" s="258"/>
      <c r="H567" s="260"/>
      <c r="J567" s="199"/>
      <c r="M567" s="260"/>
    </row>
    <row r="568" spans="1:13" ht="12.6" customHeight="1" x14ac:dyDescent="0.25">
      <c r="A568" s="180" t="s">
        <v>581</v>
      </c>
      <c r="B568" s="235">
        <f>'Prior Year'!BW71</f>
        <v>659653</v>
      </c>
      <c r="C568" s="235">
        <f>BW71</f>
        <v>970053.3</v>
      </c>
      <c r="D568" s="181" t="s">
        <v>529</v>
      </c>
      <c r="E568" s="181" t="s">
        <v>529</v>
      </c>
      <c r="F568" s="258"/>
      <c r="G568" s="258"/>
      <c r="H568" s="260"/>
      <c r="J568" s="199"/>
      <c r="M568" s="260"/>
    </row>
    <row r="569" spans="1:13" ht="12.6" customHeight="1" x14ac:dyDescent="0.25">
      <c r="A569" s="180" t="s">
        <v>582</v>
      </c>
      <c r="B569" s="235">
        <f>'Prior Year'!BX71</f>
        <v>1788863</v>
      </c>
      <c r="C569" s="235">
        <f>BX71</f>
        <v>1505387</v>
      </c>
      <c r="D569" s="181" t="s">
        <v>529</v>
      </c>
      <c r="E569" s="181" t="s">
        <v>529</v>
      </c>
      <c r="F569" s="258"/>
      <c r="G569" s="258"/>
      <c r="H569" s="260"/>
      <c r="J569" s="199"/>
      <c r="M569" s="260"/>
    </row>
    <row r="570" spans="1:13" ht="12.6" customHeight="1" x14ac:dyDescent="0.25">
      <c r="A570" s="180" t="s">
        <v>583</v>
      </c>
      <c r="B570" s="235">
        <f>'Prior Year'!BY71</f>
        <v>216010</v>
      </c>
      <c r="C570" s="235">
        <f>BY71</f>
        <v>66489</v>
      </c>
      <c r="D570" s="181" t="s">
        <v>529</v>
      </c>
      <c r="E570" s="181" t="s">
        <v>529</v>
      </c>
      <c r="F570" s="258"/>
      <c r="G570" s="258"/>
      <c r="H570" s="260"/>
      <c r="J570" s="199"/>
      <c r="M570" s="260"/>
    </row>
    <row r="571" spans="1:13" ht="12.6" customHeight="1" x14ac:dyDescent="0.25">
      <c r="A571" s="180" t="s">
        <v>584</v>
      </c>
      <c r="B571" s="235">
        <f>'Prior Year'!BZ71</f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9"/>
      <c r="M571" s="260"/>
    </row>
    <row r="572" spans="1:13" ht="12.6" customHeight="1" x14ac:dyDescent="0.25">
      <c r="A572" s="180" t="s">
        <v>585</v>
      </c>
      <c r="B572" s="235">
        <f>'Prior Year'!CA71</f>
        <v>3953</v>
      </c>
      <c r="C572" s="235">
        <f>CA71</f>
        <v>5171</v>
      </c>
      <c r="D572" s="181" t="s">
        <v>529</v>
      </c>
      <c r="E572" s="181" t="s">
        <v>529</v>
      </c>
      <c r="F572" s="258"/>
      <c r="G572" s="258"/>
      <c r="H572" s="260"/>
      <c r="J572" s="199"/>
      <c r="M572" s="260"/>
    </row>
    <row r="573" spans="1:13" ht="12.6" customHeight="1" x14ac:dyDescent="0.25">
      <c r="A573" s="180" t="s">
        <v>586</v>
      </c>
      <c r="B573" s="235">
        <f>'Prior Year'!CB71</f>
        <v>-2285</v>
      </c>
      <c r="C573" s="235">
        <f>CB71</f>
        <v>-963</v>
      </c>
      <c r="D573" s="181" t="s">
        <v>529</v>
      </c>
      <c r="E573" s="181" t="s">
        <v>529</v>
      </c>
      <c r="F573" s="258"/>
      <c r="G573" s="258"/>
      <c r="H573" s="260"/>
      <c r="J573" s="199"/>
      <c r="M573" s="260"/>
    </row>
    <row r="574" spans="1:13" ht="12.6" customHeight="1" x14ac:dyDescent="0.25">
      <c r="A574" s="180" t="s">
        <v>587</v>
      </c>
      <c r="B574" s="235">
        <f>'Prior Year'!CC71</f>
        <v>30103</v>
      </c>
      <c r="C574" s="235">
        <f>CC71</f>
        <v>32012</v>
      </c>
      <c r="D574" s="181" t="s">
        <v>529</v>
      </c>
      <c r="E574" s="181" t="s">
        <v>529</v>
      </c>
      <c r="F574" s="258"/>
      <c r="G574" s="258"/>
      <c r="H574" s="260"/>
      <c r="J574" s="199"/>
      <c r="M574" s="260"/>
    </row>
    <row r="575" spans="1:13" ht="12.6" customHeight="1" x14ac:dyDescent="0.25">
      <c r="A575" s="180" t="s">
        <v>588</v>
      </c>
      <c r="B575" s="235">
        <f>'Prior Year'!CD71</f>
        <v>887737</v>
      </c>
      <c r="C575" s="235">
        <f>CD71</f>
        <v>951535.37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5">
      <c r="M576" s="260"/>
    </row>
    <row r="577" spans="13:13" ht="12.6" customHeight="1" x14ac:dyDescent="0.25">
      <c r="M577" s="260"/>
    </row>
    <row r="578" spans="13:13" ht="12.6" customHeight="1" x14ac:dyDescent="0.25">
      <c r="M578" s="260"/>
    </row>
    <row r="612" spans="1:14" ht="12.6" customHeight="1" x14ac:dyDescent="0.25">
      <c r="A612" s="196"/>
      <c r="C612" s="181" t="s">
        <v>589</v>
      </c>
      <c r="D612" s="180">
        <f>CE76-(BE76+CD76)</f>
        <v>135995</v>
      </c>
      <c r="E612" s="180">
        <f>SUM(C624:D647)+SUM(C668:D713)</f>
        <v>46476086.707243212</v>
      </c>
      <c r="F612" s="180">
        <f>CE64-(AX64+BD64+BE64+BG64+BJ64+BN64+BP64+BQ64+CB64+CC64+CD64)</f>
        <v>1880582</v>
      </c>
      <c r="G612" s="180">
        <f>CE77-(AX77+AY77+BD77+BE77+BG77+BJ77+BN77+BP77+BQ77+CB77+CC77+CD77)</f>
        <v>59439</v>
      </c>
      <c r="H612" s="197">
        <f>CE60-(AX60+AY60+AZ60+BD60+BE60+BG60+BJ60+BN60+BO60+BP60+BQ60+BR60+CB60+CC60+CD60)</f>
        <v>408.4</v>
      </c>
      <c r="I612" s="180">
        <f>CE78-(AX78+AY78+AZ78+BD78+BE78+BF78+BG78+BJ78+BN78+BO78+BP78+BQ78+BR78+CB78+CC78+CD78)</f>
        <v>114071</v>
      </c>
      <c r="J612" s="180">
        <f>CE79-(AX79+AY79+AZ79+BA79+BD79+BE79+BF79+BG79+BJ79+BN79+BO79+BP79+BQ79+BR79+CB79+CC79+CD79)</f>
        <v>175727</v>
      </c>
      <c r="K612" s="180">
        <f>CE75-(AW75+AX75+AY75+AZ75+BA75+BB75+BC75+BD75+BE75+BF75+BG75+BH75+BI75+BJ75+BK75+BL75+BM75+BN75+BO75+BP75+BQ75+BR75+BS75+BT75+BU75+BV75+BW75+BX75+CB75+CC75+CD75)</f>
        <v>116287802</v>
      </c>
      <c r="L612" s="197">
        <f>CE80-(AW80+AX80+AY80+AZ80+BA80+BB80+BC80+BD80+BE80+BF80+BG80+BH80+BI80+BJ80+BK80+BL80+BM80+BN80+BO80+BP80+BQ80+BR80+BS80+BT80+BU80+BV80+BW80+BX80+BY80+BZ80+CA80+CB80+CC80+CD80)</f>
        <v>67.03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2305595.21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951535.37</v>
      </c>
      <c r="D615" s="261">
        <f>SUM(C614:C615)</f>
        <v>3257130.58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151594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4552723.97</v>
      </c>
      <c r="D619" s="180">
        <f>(D615/D612)*BN76</f>
        <v>352836.85212368105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32012</v>
      </c>
      <c r="D620" s="180">
        <f>(D615/D612)*CC76</f>
        <v>9101.1406331115122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16365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-963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5113669.962756793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1896782</v>
      </c>
      <c r="D625" s="180">
        <f>(D615/D612)*AY76</f>
        <v>109429.24092812237</v>
      </c>
      <c r="E625" s="180">
        <f>(E623/E612)*SUM(C625:D625)</f>
        <v>220739.37133094101</v>
      </c>
      <c r="F625" s="180">
        <f>(F624/F612)*AY64</f>
        <v>0</v>
      </c>
      <c r="G625" s="180">
        <f>SUM(C625:F625)</f>
        <v>2226950.6122590634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2602</v>
      </c>
      <c r="D627" s="180">
        <f>(D615/D612)*BO76</f>
        <v>0</v>
      </c>
      <c r="E627" s="180">
        <f>(E623/E612)*SUM(C627:D627)</f>
        <v>286.29280530668035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-382506</v>
      </c>
      <c r="D628" s="180">
        <f>(D615/D612)*AZ76</f>
        <v>41314.388400308839</v>
      </c>
      <c r="E628" s="180">
        <f>(E623/E612)*SUM(C628:D628)</f>
        <v>-37540.623993844303</v>
      </c>
      <c r="F628" s="180">
        <f>(F624/F612)*AZ64</f>
        <v>0</v>
      </c>
      <c r="G628" s="180">
        <f>(G625/G612)*AZ77</f>
        <v>0</v>
      </c>
      <c r="H628" s="180">
        <f>SUM(C626:G628)</f>
        <v>-375843.9427882288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758376</v>
      </c>
      <c r="D629" s="180">
        <f>(D615/D612)*BF76</f>
        <v>12406.291705136218</v>
      </c>
      <c r="E629" s="180">
        <f>(E623/E612)*SUM(C629:D629)</f>
        <v>84807.618975009784</v>
      </c>
      <c r="F629" s="180">
        <f>(F624/F612)*BF64</f>
        <v>0</v>
      </c>
      <c r="G629" s="180">
        <f>(G625/G612)*BF77</f>
        <v>0</v>
      </c>
      <c r="H629" s="180">
        <f>(H628/H612)*BF60</f>
        <v>-14365.631603634309</v>
      </c>
      <c r="I629" s="180">
        <f>SUM(C629:H629)</f>
        <v>841224.27907651162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159313</v>
      </c>
      <c r="D630" s="180">
        <f>(D615/D612)*BA76</f>
        <v>24836.533780359572</v>
      </c>
      <c r="E630" s="180">
        <f>(E623/E612)*SUM(C630:D630)</f>
        <v>20261.601315102398</v>
      </c>
      <c r="F630" s="180">
        <f>(F624/F612)*BA64</f>
        <v>0</v>
      </c>
      <c r="G630" s="180">
        <f>(G625/G612)*BA77</f>
        <v>0</v>
      </c>
      <c r="H630" s="180">
        <f>(H628/H612)*BA60</f>
        <v>-855.86402250992376</v>
      </c>
      <c r="I630" s="180">
        <f>(I629/I612)*BA78</f>
        <v>7647.4264046281924</v>
      </c>
      <c r="J630" s="180">
        <f>SUM(C630:I630)</f>
        <v>211202.69747758025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160483</v>
      </c>
      <c r="D631" s="180">
        <f>(D615/D612)*AW76</f>
        <v>0</v>
      </c>
      <c r="E631" s="180">
        <f>(E623/E612)*SUM(C631:D631)</f>
        <v>17657.620397398918</v>
      </c>
      <c r="F631" s="180">
        <f>(F624/F612)*AW64</f>
        <v>0</v>
      </c>
      <c r="G631" s="180">
        <f>(G625/G612)*AW77</f>
        <v>0</v>
      </c>
      <c r="H631" s="180">
        <f>(H628/H612)*AW60</f>
        <v>-947.8924120271198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1059483</v>
      </c>
      <c r="D632" s="180">
        <f>(D615/D612)*BB76</f>
        <v>0</v>
      </c>
      <c r="E632" s="180">
        <f>(E623/E612)*SUM(C632:D632)</f>
        <v>116572.77488268164</v>
      </c>
      <c r="F632" s="180">
        <f>(F624/F612)*BB64</f>
        <v>0</v>
      </c>
      <c r="G632" s="180">
        <f>(G625/G612)*BB77</f>
        <v>0</v>
      </c>
      <c r="H632" s="180">
        <f>(H628/H612)*BB60</f>
        <v>-9129.2162401058522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104119</v>
      </c>
      <c r="D633" s="180">
        <f>(D615/D612)*BC76</f>
        <v>0</v>
      </c>
      <c r="E633" s="180">
        <f>(E623/E612)*SUM(C633:D633)</f>
        <v>11456.003303507398</v>
      </c>
      <c r="F633" s="180">
        <f>(F624/F612)*BC64</f>
        <v>0</v>
      </c>
      <c r="G633" s="180">
        <f>(G625/G612)*BC77</f>
        <v>0</v>
      </c>
      <c r="H633" s="180">
        <f>(H628/H612)*BC60</f>
        <v>-1343.6144869510629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707587</v>
      </c>
      <c r="D635" s="180">
        <f>(D615/D612)*BK76</f>
        <v>0</v>
      </c>
      <c r="E635" s="180">
        <f>(E623/E612)*SUM(C635:D635)</f>
        <v>77854.368650475793</v>
      </c>
      <c r="F635" s="180">
        <f>(F624/F612)*BK64</f>
        <v>0</v>
      </c>
      <c r="G635" s="180">
        <f>(G625/G612)*BK77</f>
        <v>0</v>
      </c>
      <c r="H635" s="180">
        <f>(H628/H612)*BK60</f>
        <v>-5954.2368017625868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1236372</v>
      </c>
      <c r="D637" s="180">
        <f>(D615/D612)*BL76</f>
        <v>0</v>
      </c>
      <c r="E637" s="180">
        <f>(E623/E612)*SUM(C637:D637)</f>
        <v>136035.51432845157</v>
      </c>
      <c r="F637" s="180">
        <f>(F624/F612)*BL64</f>
        <v>0</v>
      </c>
      <c r="G637" s="180">
        <f>(G625/G612)*BL77</f>
        <v>0</v>
      </c>
      <c r="H637" s="180">
        <f>(H628/H612)*BL60</f>
        <v>-23126.734285671377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14848</v>
      </c>
      <c r="D639" s="180">
        <f>(D615/D612)*BS76</f>
        <v>0</v>
      </c>
      <c r="E639" s="180">
        <f>(E623/E612)*SUM(C639:D639)</f>
        <v>1633.6954547246694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134545</v>
      </c>
      <c r="D640" s="180">
        <f>(D615/D612)*BT76</f>
        <v>0</v>
      </c>
      <c r="E640" s="180">
        <f>(E623/E612)*SUM(C640:D640)</f>
        <v>14803.714638734553</v>
      </c>
      <c r="F640" s="180">
        <f>(F624/F612)*BT64</f>
        <v>0</v>
      </c>
      <c r="G640" s="180">
        <f>(G625/G612)*BT77</f>
        <v>0</v>
      </c>
      <c r="H640" s="180">
        <f>(H628/H612)*BT60</f>
        <v>-1490.8599101785767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368356.18</v>
      </c>
      <c r="D642" s="180">
        <f>(D615/D612)*BV76</f>
        <v>33051.510720247068</v>
      </c>
      <c r="E642" s="180">
        <f>(E623/E612)*SUM(C642:D642)</f>
        <v>44166.077574164432</v>
      </c>
      <c r="F642" s="180">
        <f>(F624/F612)*BV64</f>
        <v>0</v>
      </c>
      <c r="G642" s="180">
        <f>(G625/G612)*BV77</f>
        <v>0</v>
      </c>
      <c r="H642" s="180">
        <f>(H628/H612)*BV60</f>
        <v>-5346.8494309490925</v>
      </c>
      <c r="I642" s="180">
        <f>(I629/I612)*BV78</f>
        <v>10176.903026409746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970053.3</v>
      </c>
      <c r="D643" s="180">
        <f>(D615/D612)*BW76</f>
        <v>224414.96771646017</v>
      </c>
      <c r="E643" s="180">
        <f>(E623/E612)*SUM(C643:D643)</f>
        <v>131424.93128914537</v>
      </c>
      <c r="F643" s="180">
        <f>(F624/F612)*BW64</f>
        <v>0</v>
      </c>
      <c r="G643" s="180">
        <f>(G625/G612)*BW77</f>
        <v>0</v>
      </c>
      <c r="H643" s="180">
        <f>(H628/H612)*BW60</f>
        <v>-2659.6204570469672</v>
      </c>
      <c r="I643" s="180">
        <f>(I629/I612)*BW78</f>
        <v>69099.696635840082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1505387</v>
      </c>
      <c r="D644" s="180">
        <f>(D615/D612)*BX76</f>
        <v>35805.803280267661</v>
      </c>
      <c r="E644" s="180">
        <f>(E623/E612)*SUM(C644:D644)</f>
        <v>169574.3317331186</v>
      </c>
      <c r="F644" s="180">
        <f>(F624/F612)*BX64</f>
        <v>0</v>
      </c>
      <c r="G644" s="180">
        <f>(G625/G612)*BX77</f>
        <v>0</v>
      </c>
      <c r="H644" s="180">
        <f>(H628/H612)*BX60</f>
        <v>-9221.2446296230482</v>
      </c>
      <c r="I644" s="180">
        <f>(I629/I612)*BX78</f>
        <v>11024.978278610557</v>
      </c>
      <c r="J644" s="180">
        <f>(J630/J612)*BX79</f>
        <v>0</v>
      </c>
      <c r="K644" s="180">
        <f>SUM(C631:J644)</f>
        <v>7306766.1032559238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66489</v>
      </c>
      <c r="D645" s="180">
        <f>(D615/D612)*BY76</f>
        <v>52762.665301959634</v>
      </c>
      <c r="E645" s="180">
        <f>(E623/E612)*SUM(C645:D645)</f>
        <v>13121.019906530108</v>
      </c>
      <c r="F645" s="180">
        <f>(F624/F612)*BY64</f>
        <v>0</v>
      </c>
      <c r="G645" s="180">
        <f>(G625/G612)*BY77</f>
        <v>0</v>
      </c>
      <c r="H645" s="180">
        <f>(H628/H612)*BY60</f>
        <v>-368.11355806878441</v>
      </c>
      <c r="I645" s="180">
        <f>(I629/I612)*BY78</f>
        <v>16246.172005203382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5171</v>
      </c>
      <c r="D647" s="180">
        <f>(D615/D612)*CA76</f>
        <v>0</v>
      </c>
      <c r="E647" s="180">
        <f>(E623/E612)*SUM(C647:D647)</f>
        <v>568.95468725628132</v>
      </c>
      <c r="F647" s="180">
        <f>(F624/F612)*CA64</f>
        <v>0</v>
      </c>
      <c r="G647" s="180">
        <f>(G625/G612)*CA77</f>
        <v>0</v>
      </c>
      <c r="H647" s="180">
        <f>(H628/H612)*CA60</f>
        <v>-36.811355806878439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153953.88698707373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16776323.030000001</v>
      </c>
      <c r="L648" s="26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13293480</v>
      </c>
      <c r="D672" s="180">
        <f>(D615/D612)*G76</f>
        <v>863865.89867289236</v>
      </c>
      <c r="E672" s="180">
        <f>(E623/E612)*SUM(C672:D672)</f>
        <v>1557704.1787194803</v>
      </c>
      <c r="F672" s="180">
        <f>(F624/F612)*G64</f>
        <v>0</v>
      </c>
      <c r="G672" s="180">
        <f>(G625/G612)*G77</f>
        <v>2226950.6122590634</v>
      </c>
      <c r="H672" s="180">
        <f>(H628/H612)*G60</f>
        <v>-128471.63176600574</v>
      </c>
      <c r="I672" s="180">
        <f>(I629/I612)*G78</f>
        <v>265993.27192722686</v>
      </c>
      <c r="J672" s="180">
        <f>(J630/J612)*G79</f>
        <v>135360.48871667412</v>
      </c>
      <c r="K672" s="180">
        <f>(K644/K612)*G75</f>
        <v>2359198.2398667545</v>
      </c>
      <c r="L672" s="180">
        <f>(L647/L612)*G80</f>
        <v>153953.88698707373</v>
      </c>
      <c r="M672" s="180">
        <f t="shared" si="20"/>
        <v>7434555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97379</v>
      </c>
      <c r="D684" s="180">
        <f>(D615/D612)*S76</f>
        <v>0</v>
      </c>
      <c r="E684" s="180">
        <f>(E623/E612)*SUM(C684:D684)</f>
        <v>10714.414714819071</v>
      </c>
      <c r="F684" s="180">
        <f>(F624/F612)*S64</f>
        <v>0</v>
      </c>
      <c r="G684" s="180">
        <f>(G625/G612)*S77</f>
        <v>0</v>
      </c>
      <c r="H684" s="180">
        <f>(H628/H612)*S60</f>
        <v>-1785.3507566336041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8929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162001</v>
      </c>
      <c r="D686" s="180">
        <f>(D615/D612)*U76</f>
        <v>0</v>
      </c>
      <c r="E686" s="180">
        <f>(E623/E612)*SUM(C686:D686)</f>
        <v>17824.642871824566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276360.19919686945</v>
      </c>
      <c r="L686" s="180">
        <f>(L647/L612)*U80</f>
        <v>0</v>
      </c>
      <c r="M686" s="180">
        <f t="shared" si="20"/>
        <v>294185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3332.7500753930963</v>
      </c>
      <c r="L688" s="180">
        <f>(L647/L612)*W80</f>
        <v>0</v>
      </c>
      <c r="M688" s="180">
        <f t="shared" si="20"/>
        <v>3333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13329.680798705107</v>
      </c>
      <c r="L689" s="180">
        <f>(L647/L612)*X80</f>
        <v>0</v>
      </c>
      <c r="M689" s="180">
        <f t="shared" si="20"/>
        <v>13330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33826</v>
      </c>
      <c r="D690" s="180">
        <f>(D615/D612)*Y76</f>
        <v>0</v>
      </c>
      <c r="E690" s="180">
        <f>(E623/E612)*SUM(C690:D690)</f>
        <v>3721.8064689868443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17011.470799227984</v>
      </c>
      <c r="L690" s="180">
        <f>(L647/L612)*Y80</f>
        <v>0</v>
      </c>
      <c r="M690" s="180">
        <f t="shared" si="20"/>
        <v>20733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80.929509193007448</v>
      </c>
      <c r="L692" s="180">
        <f>(L647/L612)*AA80</f>
        <v>0</v>
      </c>
      <c r="M692" s="180">
        <f t="shared" si="20"/>
        <v>81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1430198</v>
      </c>
      <c r="D693" s="180">
        <f>(D615/D612)*AB76</f>
        <v>25315.541182102283</v>
      </c>
      <c r="E693" s="180">
        <f>(E623/E612)*SUM(C693:D693)</f>
        <v>160147.21555222306</v>
      </c>
      <c r="F693" s="180">
        <f>(F624/F612)*AB64</f>
        <v>0</v>
      </c>
      <c r="G693" s="180">
        <f>(G625/G612)*AB77</f>
        <v>0</v>
      </c>
      <c r="H693" s="180">
        <f>(H628/H612)*AB60</f>
        <v>-6708.8695958035951</v>
      </c>
      <c r="I693" s="180">
        <f>(I629/I612)*AB78</f>
        <v>7794.9177528370292</v>
      </c>
      <c r="J693" s="180">
        <f>(J630/J612)*AB79</f>
        <v>0</v>
      </c>
      <c r="K693" s="180">
        <f>(K644/K612)*AB75</f>
        <v>259208.23275901139</v>
      </c>
      <c r="L693" s="180">
        <f>(L647/L612)*AB80</f>
        <v>0</v>
      </c>
      <c r="M693" s="180">
        <f t="shared" si="20"/>
        <v>445757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643589</v>
      </c>
      <c r="D694" s="180">
        <f>(D615/D612)*AC76</f>
        <v>13412.207248795912</v>
      </c>
      <c r="E694" s="180">
        <f>(E623/E612)*SUM(C694:D694)</f>
        <v>72288.516031181192</v>
      </c>
      <c r="F694" s="180">
        <f>(F624/F612)*AC64</f>
        <v>0</v>
      </c>
      <c r="G694" s="180">
        <f>(G625/G612)*AC77</f>
        <v>0</v>
      </c>
      <c r="H694" s="180">
        <f>(H628/H612)*AC60</f>
        <v>-5668.9487942592796</v>
      </c>
      <c r="I694" s="180">
        <f>(I629/I612)*AC78</f>
        <v>4129.7577498474329</v>
      </c>
      <c r="J694" s="180">
        <f>(J630/J612)*AC79</f>
        <v>0</v>
      </c>
      <c r="K694" s="180">
        <f>(K644/K612)*AC75</f>
        <v>121611.35342791321</v>
      </c>
      <c r="L694" s="180">
        <f>(L647/L612)*AC80</f>
        <v>0</v>
      </c>
      <c r="M694" s="180">
        <f t="shared" si="20"/>
        <v>205773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3084563</v>
      </c>
      <c r="D696" s="180">
        <f>(D615/D612)*AE76</f>
        <v>237228.4157130777</v>
      </c>
      <c r="E696" s="180">
        <f>(E623/E612)*SUM(C696:D696)</f>
        <v>365490.00117146282</v>
      </c>
      <c r="F696" s="180">
        <f>(F624/F612)*AE64</f>
        <v>0</v>
      </c>
      <c r="G696" s="180">
        <f>(G625/G612)*AE77</f>
        <v>0</v>
      </c>
      <c r="H696" s="180">
        <f>(H628/H612)*AE60</f>
        <v>-33075.003192480275</v>
      </c>
      <c r="I696" s="180">
        <f>(I629/I612)*AE78</f>
        <v>73045.090200426464</v>
      </c>
      <c r="J696" s="180">
        <f>(J630/J612)*AE79</f>
        <v>36315.994166989505</v>
      </c>
      <c r="K696" s="180">
        <f>(K644/K612)*AE75</f>
        <v>645982.67255248851</v>
      </c>
      <c r="L696" s="180">
        <f>(L647/L612)*AE80</f>
        <v>0</v>
      </c>
      <c r="M696" s="180">
        <f t="shared" si="20"/>
        <v>1324987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273452</v>
      </c>
      <c r="D697" s="180">
        <f>(D615/D612)*AF76</f>
        <v>0</v>
      </c>
      <c r="E697" s="180">
        <f>(E623/E612)*SUM(C697:D697)</f>
        <v>30087.371328486683</v>
      </c>
      <c r="F697" s="180">
        <f>(F624/F612)*AF64</f>
        <v>0</v>
      </c>
      <c r="G697" s="180">
        <f>(G625/G612)*AF77</f>
        <v>0</v>
      </c>
      <c r="H697" s="180">
        <f>(H628/H612)*AF60</f>
        <v>-1895.7848240542396</v>
      </c>
      <c r="I697" s="180">
        <f>(I629/I612)*AF78</f>
        <v>0</v>
      </c>
      <c r="J697" s="180">
        <f>(J630/J612)*AF79</f>
        <v>0</v>
      </c>
      <c r="K697" s="180">
        <f>(K644/K612)*AF75</f>
        <v>57914.614515017121</v>
      </c>
      <c r="L697" s="180">
        <f>(L647/L612)*AF80</f>
        <v>0</v>
      </c>
      <c r="M697" s="180">
        <f t="shared" si="20"/>
        <v>86106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8813546.2599999998</v>
      </c>
      <c r="D701" s="180">
        <f>(D615/D612)*AJ76</f>
        <v>462433.74564241333</v>
      </c>
      <c r="E701" s="180">
        <f>(E623/E612)*SUM(C701:D701)</f>
        <v>1020617.347342061</v>
      </c>
      <c r="F701" s="180">
        <f>(F624/F612)*AJ64</f>
        <v>0</v>
      </c>
      <c r="G701" s="180">
        <f>(G625/G612)*AJ77</f>
        <v>0</v>
      </c>
      <c r="H701" s="180">
        <f>(H628/H612)*AJ60</f>
        <v>-66877.030662146397</v>
      </c>
      <c r="I701" s="180">
        <f>(I629/I612)*AJ78</f>
        <v>142388.14756081114</v>
      </c>
      <c r="J701" s="180">
        <f>(J630/J612)*AJ79</f>
        <v>0</v>
      </c>
      <c r="K701" s="180">
        <f>(K644/K612)*AJ75</f>
        <v>1563052.1825095078</v>
      </c>
      <c r="L701" s="180">
        <f>(L647/L612)*AJ80</f>
        <v>0</v>
      </c>
      <c r="M701" s="180">
        <f t="shared" si="20"/>
        <v>3121614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1771438.5</v>
      </c>
      <c r="D702" s="180">
        <f>(D615/D612)*AK76</f>
        <v>0</v>
      </c>
      <c r="E702" s="180">
        <f>(E623/E612)*SUM(C702:D702)</f>
        <v>194907.80076604837</v>
      </c>
      <c r="F702" s="180">
        <f>(F624/F612)*AK64</f>
        <v>0</v>
      </c>
      <c r="G702" s="180">
        <f>(G625/G612)*AK77</f>
        <v>0</v>
      </c>
      <c r="H702" s="180">
        <f>(H628/H612)*AK60</f>
        <v>-17549.813880929294</v>
      </c>
      <c r="I702" s="180">
        <f>(I629/I612)*AK78</f>
        <v>0</v>
      </c>
      <c r="J702" s="180">
        <f>(J630/J612)*AK79</f>
        <v>0</v>
      </c>
      <c r="K702" s="180">
        <f>(K644/K612)*AK75</f>
        <v>724161.14393416257</v>
      </c>
      <c r="L702" s="180">
        <f>(L647/L612)*AK80</f>
        <v>0</v>
      </c>
      <c r="M702" s="180">
        <f t="shared" si="20"/>
        <v>901519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729363</v>
      </c>
      <c r="D703" s="180">
        <f>(D615/D612)*AL76</f>
        <v>0</v>
      </c>
      <c r="E703" s="180">
        <f>(E623/E612)*SUM(C703:D703)</f>
        <v>80250.337954226095</v>
      </c>
      <c r="F703" s="180">
        <f>(F624/F612)*AL64</f>
        <v>0</v>
      </c>
      <c r="G703" s="180">
        <f>(G625/G612)*AL77</f>
        <v>0</v>
      </c>
      <c r="H703" s="180">
        <f>(H628/H612)*AL60</f>
        <v>-6543.218494672642</v>
      </c>
      <c r="I703" s="180">
        <f>(I629/I612)*AL78</f>
        <v>0</v>
      </c>
      <c r="J703" s="180">
        <f>(J630/J612)*AL79</f>
        <v>0</v>
      </c>
      <c r="K703" s="180">
        <f>(K644/K612)*AL75</f>
        <v>140528.68903524856</v>
      </c>
      <c r="L703" s="180">
        <f>(L647/L612)*AL80</f>
        <v>0</v>
      </c>
      <c r="M703" s="180">
        <f t="shared" si="20"/>
        <v>214236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257228</v>
      </c>
      <c r="D704" s="180">
        <f>(D615/D612)*AM76</f>
        <v>0</v>
      </c>
      <c r="E704" s="180">
        <f>(E623/E612)*SUM(C704:D704)</f>
        <v>28302.277372569857</v>
      </c>
      <c r="F704" s="180">
        <f>(F624/F612)*AM64</f>
        <v>0</v>
      </c>
      <c r="G704" s="180">
        <f>(G625/G612)*AM77</f>
        <v>0</v>
      </c>
      <c r="H704" s="180">
        <f>(H628/H612)*AM60</f>
        <v>-3202.587955198424</v>
      </c>
      <c r="I704" s="180">
        <f>(I629/I612)*AM78</f>
        <v>0</v>
      </c>
      <c r="J704" s="180">
        <f>(J630/J612)*AM79</f>
        <v>0</v>
      </c>
      <c r="K704" s="180">
        <f>(K644/K612)*AM75</f>
        <v>92831.487889318523</v>
      </c>
      <c r="L704" s="180">
        <f>(L647/L612)*AM80</f>
        <v>0</v>
      </c>
      <c r="M704" s="180">
        <f t="shared" si="20"/>
        <v>117931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4071312.88</v>
      </c>
      <c r="D707" s="180">
        <f>(D615/D612)*AP76</f>
        <v>674226.86832295312</v>
      </c>
      <c r="E707" s="180">
        <f>(E623/E612)*SUM(C707:D707)</f>
        <v>522142.15497376473</v>
      </c>
      <c r="F707" s="180">
        <f>(F624/F612)*AP64</f>
        <v>0</v>
      </c>
      <c r="G707" s="180">
        <f>(G625/G612)*AP77</f>
        <v>0</v>
      </c>
      <c r="H707" s="180">
        <f>(H628/H612)*AP60</f>
        <v>-29219.013671709759</v>
      </c>
      <c r="I707" s="180">
        <f>(I629/I612)*AP78</f>
        <v>207601.44717134835</v>
      </c>
      <c r="J707" s="180">
        <f>(J630/J612)*AP79</f>
        <v>39526.214593916593</v>
      </c>
      <c r="K707" s="180">
        <f>(K644/K612)*AP75</f>
        <v>1016902.2172266413</v>
      </c>
      <c r="L707" s="180">
        <f>(L647/L612)*AP80</f>
        <v>0</v>
      </c>
      <c r="M707" s="180">
        <f t="shared" si="20"/>
        <v>2431180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152057</v>
      </c>
      <c r="D713" s="180">
        <f>(D615/D612)*AV76</f>
        <v>84688.508628111333</v>
      </c>
      <c r="E713" s="180">
        <f>(E623/E612)*SUM(C713:D713)</f>
        <v>26048.630210952684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26076.470363322362</v>
      </c>
      <c r="J713" s="180">
        <f>(J630/J612)*AV79</f>
        <v>0</v>
      </c>
      <c r="K713" s="180">
        <f>(K644/K612)*AV75</f>
        <v>15260.23916047153</v>
      </c>
      <c r="L713" s="180">
        <f>(L647/L612)*AV80</f>
        <v>0</v>
      </c>
      <c r="M713" s="180">
        <f t="shared" si="20"/>
        <v>152074</v>
      </c>
      <c r="N713" s="199" t="s">
        <v>741</v>
      </c>
    </row>
    <row r="715" spans="1:15" ht="12.6" customHeight="1" x14ac:dyDescent="0.25">
      <c r="C715" s="180">
        <f>SUM(C614:C647)+SUM(C668:C713)</f>
        <v>51589756.670000002</v>
      </c>
      <c r="D715" s="180">
        <f>SUM(D616:D647)+SUM(D668:D713)</f>
        <v>3257130.58</v>
      </c>
      <c r="E715" s="180">
        <f>SUM(E624:E647)+SUM(E668:E713)</f>
        <v>5113669.9627567921</v>
      </c>
      <c r="F715" s="180">
        <f>SUM(F625:F648)+SUM(F668:F713)</f>
        <v>0</v>
      </c>
      <c r="G715" s="180">
        <f>SUM(G626:G647)+SUM(G668:G713)</f>
        <v>2226950.6122590634</v>
      </c>
      <c r="H715" s="180">
        <f>SUM(H629:H647)+SUM(H668:H713)</f>
        <v>-375843.94278822886</v>
      </c>
      <c r="I715" s="180">
        <f>SUM(I630:I647)+SUM(I668:I713)</f>
        <v>841224.27907651162</v>
      </c>
      <c r="J715" s="180">
        <f>SUM(J631:J647)+SUM(J668:J713)</f>
        <v>211202.69747758022</v>
      </c>
      <c r="K715" s="180">
        <f>SUM(K668:K713)</f>
        <v>7306766.1032559238</v>
      </c>
      <c r="L715" s="180">
        <f>SUM(L668:L713)</f>
        <v>153953.88698707373</v>
      </c>
      <c r="M715" s="180">
        <f>SUM(M668:M713)</f>
        <v>16776323</v>
      </c>
      <c r="N715" s="198" t="s">
        <v>742</v>
      </c>
    </row>
    <row r="716" spans="1:15" ht="12.6" customHeight="1" x14ac:dyDescent="0.25">
      <c r="C716" s="180">
        <f>CE71</f>
        <v>51589756.670000002</v>
      </c>
      <c r="D716" s="180">
        <f>D615</f>
        <v>3257130.58</v>
      </c>
      <c r="E716" s="180">
        <f>E623</f>
        <v>5113669.962756793</v>
      </c>
      <c r="F716" s="180">
        <f>F624</f>
        <v>0</v>
      </c>
      <c r="G716" s="180">
        <f>G625</f>
        <v>2226950.6122590634</v>
      </c>
      <c r="H716" s="180">
        <f>H628</f>
        <v>-375843.9427882288</v>
      </c>
      <c r="I716" s="180">
        <f>I629</f>
        <v>841224.27907651162</v>
      </c>
      <c r="J716" s="180">
        <f>J630</f>
        <v>211202.69747758025</v>
      </c>
      <c r="K716" s="180">
        <f>K644</f>
        <v>7306766.1032559238</v>
      </c>
      <c r="L716" s="180">
        <f>L647</f>
        <v>153953.88698707373</v>
      </c>
      <c r="M716" s="180">
        <f>C648</f>
        <v>16776323.030000001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2" transitionEvaluation="1" transitionEntry="1" codeName="Sheet10">
    <pageSetUpPr autoPageBreaks="0" fitToPage="1"/>
  </sheetPr>
  <dimension ref="A1:CF718"/>
  <sheetViews>
    <sheetView showGridLines="0" topLeftCell="A42" zoomScale="75" workbookViewId="0">
      <selection activeCell="C4" sqref="C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8" t="s">
        <v>967</v>
      </c>
      <c r="B1" s="229"/>
      <c r="C1" s="229"/>
      <c r="D1" s="229"/>
      <c r="E1" s="229"/>
      <c r="F1" s="229"/>
    </row>
    <row r="2" spans="1:6" ht="12.75" customHeight="1" x14ac:dyDescent="0.25">
      <c r="A2" s="229" t="s">
        <v>968</v>
      </c>
      <c r="B2" s="229"/>
      <c r="C2" s="230"/>
      <c r="D2" s="229"/>
      <c r="E2" s="229"/>
      <c r="F2" s="229"/>
    </row>
    <row r="3" spans="1:6" ht="12.75" customHeight="1" x14ac:dyDescent="0.25">
      <c r="A3" s="199"/>
      <c r="C3" s="231"/>
    </row>
    <row r="4" spans="1:6" ht="12.75" customHeight="1" x14ac:dyDescent="0.25">
      <c r="C4" s="231"/>
    </row>
    <row r="5" spans="1:6" ht="12.75" customHeight="1" x14ac:dyDescent="0.25">
      <c r="A5" s="199" t="s">
        <v>992</v>
      </c>
      <c r="C5" s="231"/>
    </row>
    <row r="6" spans="1:6" ht="12.75" customHeight="1" x14ac:dyDescent="0.25">
      <c r="A6" s="199" t="s">
        <v>0</v>
      </c>
      <c r="C6" s="231"/>
    </row>
    <row r="7" spans="1:6" ht="12.75" customHeight="1" x14ac:dyDescent="0.25">
      <c r="A7" s="199" t="s">
        <v>1</v>
      </c>
      <c r="C7" s="231"/>
    </row>
    <row r="8" spans="1:6" ht="12.75" customHeight="1" x14ac:dyDescent="0.25">
      <c r="C8" s="231"/>
    </row>
    <row r="9" spans="1:6" ht="12.75" customHeight="1" x14ac:dyDescent="0.25">
      <c r="C9" s="231"/>
    </row>
    <row r="10" spans="1:6" ht="12.75" customHeight="1" x14ac:dyDescent="0.25">
      <c r="A10" s="198" t="s">
        <v>963</v>
      </c>
      <c r="C10" s="231"/>
    </row>
    <row r="11" spans="1:6" ht="12.75" customHeight="1" x14ac:dyDescent="0.25">
      <c r="A11" s="198" t="s">
        <v>966</v>
      </c>
      <c r="C11" s="231"/>
    </row>
    <row r="12" spans="1:6" ht="12.75" customHeight="1" x14ac:dyDescent="0.25">
      <c r="C12" s="231"/>
    </row>
    <row r="13" spans="1:6" ht="12.75" customHeight="1" x14ac:dyDescent="0.25">
      <c r="C13" s="231"/>
    </row>
    <row r="14" spans="1:6" ht="12.75" customHeight="1" x14ac:dyDescent="0.25">
      <c r="A14" s="199" t="s">
        <v>2</v>
      </c>
      <c r="C14" s="231"/>
    </row>
    <row r="15" spans="1:6" ht="12.75" customHeight="1" x14ac:dyDescent="0.25">
      <c r="A15" s="199"/>
      <c r="C15" s="231"/>
    </row>
    <row r="16" spans="1:6" ht="12.75" customHeight="1" x14ac:dyDescent="0.25">
      <c r="A16" s="180" t="s">
        <v>994</v>
      </c>
      <c r="C16" s="231"/>
      <c r="F16" s="272" t="s">
        <v>993</v>
      </c>
    </row>
    <row r="17" spans="1:6" ht="12.75" customHeight="1" x14ac:dyDescent="0.25">
      <c r="A17" s="180" t="s">
        <v>965</v>
      </c>
      <c r="C17" s="272" t="s">
        <v>993</v>
      </c>
    </row>
    <row r="18" spans="1:6" ht="12.75" customHeight="1" x14ac:dyDescent="0.25">
      <c r="A18" s="223"/>
      <c r="C18" s="231"/>
    </row>
    <row r="19" spans="1:6" ht="12.75" customHeight="1" x14ac:dyDescent="0.25">
      <c r="C19" s="231"/>
    </row>
    <row r="20" spans="1:6" ht="12.75" customHeight="1" x14ac:dyDescent="0.25">
      <c r="A20" s="268" t="s">
        <v>969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1"/>
    </row>
    <row r="22" spans="1:6" ht="12.6" customHeight="1" x14ac:dyDescent="0.25">
      <c r="A22" s="232" t="s">
        <v>989</v>
      </c>
      <c r="B22" s="233"/>
      <c r="C22" s="234"/>
      <c r="D22" s="232"/>
      <c r="E22" s="232"/>
    </row>
    <row r="23" spans="1:6" ht="12.6" customHeight="1" x14ac:dyDescent="0.25">
      <c r="B23" s="199"/>
      <c r="C23" s="231"/>
    </row>
    <row r="24" spans="1:6" ht="12.6" customHeight="1" x14ac:dyDescent="0.25">
      <c r="A24" s="235" t="s">
        <v>3</v>
      </c>
      <c r="C24" s="231"/>
    </row>
    <row r="25" spans="1:6" ht="12.6" customHeight="1" x14ac:dyDescent="0.25">
      <c r="A25" s="198" t="s">
        <v>970</v>
      </c>
      <c r="C25" s="231"/>
    </row>
    <row r="26" spans="1:6" ht="12.6" customHeight="1" x14ac:dyDescent="0.25">
      <c r="A26" s="199" t="s">
        <v>4</v>
      </c>
      <c r="C26" s="231"/>
    </row>
    <row r="27" spans="1:6" ht="12.6" customHeight="1" x14ac:dyDescent="0.25">
      <c r="A27" s="198" t="s">
        <v>971</v>
      </c>
      <c r="C27" s="231"/>
    </row>
    <row r="28" spans="1:6" ht="12.6" customHeight="1" x14ac:dyDescent="0.25">
      <c r="A28" s="199" t="s">
        <v>5</v>
      </c>
      <c r="C28" s="231"/>
    </row>
    <row r="29" spans="1:6" ht="12.6" customHeight="1" x14ac:dyDescent="0.25">
      <c r="A29" s="198"/>
      <c r="C29" s="231"/>
    </row>
    <row r="30" spans="1:6" ht="12.6" customHeight="1" x14ac:dyDescent="0.25">
      <c r="A30" s="180" t="s">
        <v>6</v>
      </c>
      <c r="C30" s="231"/>
    </row>
    <row r="31" spans="1:6" ht="12.6" customHeight="1" x14ac:dyDescent="0.25">
      <c r="A31" s="199" t="s">
        <v>7</v>
      </c>
      <c r="C31" s="231"/>
    </row>
    <row r="32" spans="1:6" ht="12.6" customHeight="1" x14ac:dyDescent="0.25">
      <c r="A32" s="199" t="s">
        <v>8</v>
      </c>
      <c r="C32" s="231"/>
    </row>
    <row r="33" spans="1:83" ht="12.6" customHeight="1" x14ac:dyDescent="0.25">
      <c r="A33" s="198" t="s">
        <v>972</v>
      </c>
      <c r="C33" s="231"/>
    </row>
    <row r="34" spans="1:83" ht="12.6" customHeight="1" x14ac:dyDescent="0.25">
      <c r="A34" s="199" t="s">
        <v>9</v>
      </c>
      <c r="C34" s="231"/>
    </row>
    <row r="35" spans="1:83" ht="12.6" customHeight="1" x14ac:dyDescent="0.25">
      <c r="A35" s="199"/>
      <c r="C35" s="231"/>
    </row>
    <row r="36" spans="1:83" ht="12.6" customHeight="1" x14ac:dyDescent="0.25">
      <c r="A36" s="198" t="s">
        <v>973</v>
      </c>
      <c r="C36" s="231"/>
    </row>
    <row r="37" spans="1:83" ht="12.6" customHeight="1" x14ac:dyDescent="0.25">
      <c r="A37" s="199" t="s">
        <v>964</v>
      </c>
      <c r="C37" s="231"/>
    </row>
    <row r="38" spans="1:83" ht="12" customHeight="1" x14ac:dyDescent="0.25">
      <c r="A38" s="198"/>
      <c r="C38" s="231"/>
    </row>
    <row r="39" spans="1:83" ht="12.6" customHeight="1" x14ac:dyDescent="0.25">
      <c r="A39" s="199"/>
      <c r="C39" s="231"/>
    </row>
    <row r="40" spans="1:83" ht="12" customHeight="1" x14ac:dyDescent="0.25">
      <c r="A40" s="199"/>
      <c r="C40" s="231"/>
    </row>
    <row r="41" spans="1:83" ht="12" customHeight="1" x14ac:dyDescent="0.25">
      <c r="A41" s="199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5">
      <c r="A42" s="199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5">
      <c r="A43" s="199"/>
      <c r="C43" s="23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7504595</v>
      </c>
      <c r="C48" s="240">
        <f>ROUND(((B48/CE61)*C61),0)</f>
        <v>0</v>
      </c>
      <c r="D48" s="240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2006934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17206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165204</v>
      </c>
      <c r="AC48" s="195">
        <f>ROUND(((B48/CE61)*AC61),0)</f>
        <v>109301</v>
      </c>
      <c r="AD48" s="195">
        <f>ROUND(((B48/CE61)*AD61),0)</f>
        <v>0</v>
      </c>
      <c r="AE48" s="195">
        <f>ROUND(((B48/CE61)*AE61),0)</f>
        <v>549460</v>
      </c>
      <c r="AF48" s="195">
        <f>ROUND(((B48/CE61)*AF61),0)</f>
        <v>51166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1758290</v>
      </c>
      <c r="AK48" s="195">
        <f>ROUND(((B48/CE61)*AK61),0)</f>
        <v>318746</v>
      </c>
      <c r="AL48" s="195">
        <f>ROUND(((B48/CE61)*AL61),0)</f>
        <v>126367</v>
      </c>
      <c r="AM48" s="195">
        <f>ROUND(((B48/CE61)*AM61),0)</f>
        <v>46996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575523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35821</v>
      </c>
      <c r="AX48" s="195">
        <f>ROUND(((B48/CE61)*AX61),0)</f>
        <v>0</v>
      </c>
      <c r="AY48" s="195">
        <f>ROUND(((B48/CE61)*AY61),0)</f>
        <v>249424</v>
      </c>
      <c r="AZ48" s="195">
        <f>ROUND(((B48/CE61)*AZ61),0)</f>
        <v>0</v>
      </c>
      <c r="BA48" s="195">
        <f>ROUND(((B48/CE61)*BA61),0)</f>
        <v>8259</v>
      </c>
      <c r="BB48" s="195">
        <f>ROUND(((B48/CE61)*BB61),0)</f>
        <v>138579</v>
      </c>
      <c r="BC48" s="195">
        <f>ROUND(((B48/CE61)*BC61),0)</f>
        <v>14503</v>
      </c>
      <c r="BD48" s="195">
        <f>ROUND(((B48/CE61)*BD61),0)</f>
        <v>0</v>
      </c>
      <c r="BE48" s="195">
        <f>ROUND(((B48/CE61)*BE61),0)</f>
        <v>202605</v>
      </c>
      <c r="BF48" s="195">
        <f>ROUND(((B48/CE61)*BF61),0)</f>
        <v>125261</v>
      </c>
      <c r="BG48" s="195">
        <f>ROUND(((B48/CE61)*BG61),0)</f>
        <v>15302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74994</v>
      </c>
      <c r="BL48" s="195">
        <f>ROUND(((B48/CE61)*BL61),0)</f>
        <v>208705</v>
      </c>
      <c r="BM48" s="195">
        <f>ROUND(((B48/CE61)*BM61),0)</f>
        <v>0</v>
      </c>
      <c r="BN48" s="195">
        <f>ROUND(((B48/CE61)*BN61),0)</f>
        <v>223729</v>
      </c>
      <c r="BO48" s="195">
        <f>ROUND(((B48/CE61)*BO61),0)</f>
        <v>0</v>
      </c>
      <c r="BP48" s="195">
        <f>ROUND(((B48/CE61)*BP61),0)</f>
        <v>12341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13941</v>
      </c>
      <c r="BU48" s="195">
        <f>ROUND(((B48/CE61)*BU61),0)</f>
        <v>0</v>
      </c>
      <c r="BV48" s="195">
        <f>ROUND(((B48/CE61)*BV61),0)</f>
        <v>104931</v>
      </c>
      <c r="BW48" s="195">
        <f>ROUND(((B48/CE61)*BW61),0)</f>
        <v>95065</v>
      </c>
      <c r="BX48" s="195">
        <f>ROUND(((B48/CE61)*BX61),0)</f>
        <v>214150</v>
      </c>
      <c r="BY48" s="195">
        <f>ROUND(((B48/CE61)*BY61),0)</f>
        <v>34545</v>
      </c>
      <c r="BZ48" s="195">
        <f>ROUND(((B48/CE61)*BZ61),0)</f>
        <v>0</v>
      </c>
      <c r="CA48" s="195">
        <f>ROUND(((B48/CE61)*CA61),0)</f>
        <v>703</v>
      </c>
      <c r="CB48" s="195">
        <f>ROUND(((B48/CE61)*CB61),0)</f>
        <v>1261</v>
      </c>
      <c r="CC48" s="195">
        <f>ROUND(((B48/CE61)*CC61),0)</f>
        <v>5281</v>
      </c>
      <c r="CD48" s="195"/>
      <c r="CE48" s="195">
        <f>SUM(C48:CD48)</f>
        <v>7504593</v>
      </c>
    </row>
    <row r="49" spans="1:84" ht="12.6" customHeight="1" x14ac:dyDescent="0.25">
      <c r="A49" s="175" t="s">
        <v>206</v>
      </c>
      <c r="B49" s="195">
        <f>B47+B48</f>
        <v>7504595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1164777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220921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6474</v>
      </c>
      <c r="AC52" s="195">
        <f>ROUND((B52/(CE76+CF76)*AC76),0)</f>
        <v>3430</v>
      </c>
      <c r="AD52" s="195">
        <f>ROUND((B52/(CE76+CF76)*AD76),0)</f>
        <v>0</v>
      </c>
      <c r="AE52" s="195">
        <f>ROUND((B52/(CE76+CF76)*AE76),0)</f>
        <v>60668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118261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172424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21658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27985</v>
      </c>
      <c r="AZ52" s="195">
        <f>ROUND((B52/(CE76+CF76)*AZ76),0)</f>
        <v>10566</v>
      </c>
      <c r="BA52" s="195">
        <f>ROUND((B52/(CE76+CF76)*BA76),0)</f>
        <v>6352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331813</v>
      </c>
      <c r="BF52" s="195">
        <f>ROUND((B52/(CE76+CF76)*BF76),0)</f>
        <v>3173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90233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8452</v>
      </c>
      <c r="BW52" s="195">
        <f>ROUND((B52/(CE76+CF76)*BW76),0)</f>
        <v>57391</v>
      </c>
      <c r="BX52" s="195">
        <f>ROUND((B52/(CE76+CF76)*BX76),0)</f>
        <v>9157</v>
      </c>
      <c r="BY52" s="195">
        <f>ROUND((B52/(CE76+CF76)*BY76),0)</f>
        <v>13493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2327</v>
      </c>
      <c r="CD52" s="195"/>
      <c r="CE52" s="195">
        <f>SUM(C52:CD52)</f>
        <v>1164778</v>
      </c>
    </row>
    <row r="53" spans="1:84" ht="12.6" customHeight="1" x14ac:dyDescent="0.25">
      <c r="A53" s="175" t="s">
        <v>206</v>
      </c>
      <c r="B53" s="195">
        <f>B51+B52</f>
        <v>1164777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>
        <v>20305</v>
      </c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3"/>
      <c r="T59" s="243"/>
      <c r="U59" s="220">
        <v>95016</v>
      </c>
      <c r="V59" s="185"/>
      <c r="W59" s="185">
        <v>44</v>
      </c>
      <c r="X59" s="185">
        <v>152</v>
      </c>
      <c r="Y59" s="185">
        <v>292</v>
      </c>
      <c r="Z59" s="185"/>
      <c r="AA59" s="185">
        <v>6</v>
      </c>
      <c r="AB59" s="243"/>
      <c r="AC59" s="185">
        <v>8580</v>
      </c>
      <c r="AD59" s="185"/>
      <c r="AE59" s="185">
        <v>104843</v>
      </c>
      <c r="AF59" s="185">
        <v>11149</v>
      </c>
      <c r="AG59" s="185"/>
      <c r="AH59" s="185"/>
      <c r="AI59" s="185"/>
      <c r="AJ59" s="185">
        <v>60733</v>
      </c>
      <c r="AK59" s="185">
        <v>103353</v>
      </c>
      <c r="AL59" s="185">
        <v>20496</v>
      </c>
      <c r="AM59" s="185">
        <v>16131</v>
      </c>
      <c r="AN59" s="185"/>
      <c r="AO59" s="185"/>
      <c r="AP59" s="185">
        <v>46622</v>
      </c>
      <c r="AQ59" s="185"/>
      <c r="AR59" s="185"/>
      <c r="AS59" s="185"/>
      <c r="AT59" s="185"/>
      <c r="AU59" s="185"/>
      <c r="AV59" s="243"/>
      <c r="AW59" s="243"/>
      <c r="AX59" s="243"/>
      <c r="AY59" s="185">
        <v>61071</v>
      </c>
      <c r="AZ59" s="185"/>
      <c r="BA59" s="243"/>
      <c r="BB59" s="243"/>
      <c r="BC59" s="243"/>
      <c r="BD59" s="243"/>
      <c r="BE59" s="185">
        <v>190169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5"/>
    </row>
    <row r="60" spans="1:84" ht="12.6" customHeight="1" x14ac:dyDescent="0.25">
      <c r="A60" s="245" t="s">
        <v>234</v>
      </c>
      <c r="B60" s="175"/>
      <c r="C60" s="186"/>
      <c r="D60" s="187"/>
      <c r="E60" s="187"/>
      <c r="F60" s="219"/>
      <c r="G60" s="187">
        <v>134.94999999999999</v>
      </c>
      <c r="H60" s="187"/>
      <c r="I60" s="187"/>
      <c r="J60" s="219"/>
      <c r="K60" s="187"/>
      <c r="L60" s="187"/>
      <c r="M60" s="187"/>
      <c r="N60" s="187"/>
      <c r="O60" s="187"/>
      <c r="P60" s="217"/>
      <c r="Q60" s="217"/>
      <c r="R60" s="217"/>
      <c r="S60" s="217">
        <v>1.92</v>
      </c>
      <c r="T60" s="217"/>
      <c r="U60" s="217"/>
      <c r="V60" s="217"/>
      <c r="W60" s="217"/>
      <c r="X60" s="217"/>
      <c r="Y60" s="217"/>
      <c r="Z60" s="217"/>
      <c r="AA60" s="217"/>
      <c r="AB60" s="217">
        <v>7.1</v>
      </c>
      <c r="AC60" s="217">
        <v>6.19</v>
      </c>
      <c r="AD60" s="217"/>
      <c r="AE60" s="217">
        <v>36.9</v>
      </c>
      <c r="AF60" s="217">
        <v>2.15</v>
      </c>
      <c r="AG60" s="217"/>
      <c r="AH60" s="217"/>
      <c r="AI60" s="217"/>
      <c r="AJ60" s="217">
        <v>68.03</v>
      </c>
      <c r="AK60" s="217">
        <v>18.97</v>
      </c>
      <c r="AL60" s="217">
        <v>6.93</v>
      </c>
      <c r="AM60" s="217">
        <v>3.53</v>
      </c>
      <c r="AN60" s="217"/>
      <c r="AO60" s="217"/>
      <c r="AP60" s="217">
        <v>30.57</v>
      </c>
      <c r="AQ60" s="217"/>
      <c r="AR60" s="217"/>
      <c r="AS60" s="217"/>
      <c r="AT60" s="217"/>
      <c r="AU60" s="217"/>
      <c r="AV60" s="217"/>
      <c r="AW60" s="217">
        <v>1.1000000000000001</v>
      </c>
      <c r="AX60" s="217"/>
      <c r="AY60" s="217">
        <v>25.3</v>
      </c>
      <c r="AZ60" s="217"/>
      <c r="BA60" s="217">
        <v>0.98</v>
      </c>
      <c r="BB60" s="217">
        <v>7.57</v>
      </c>
      <c r="BC60" s="217">
        <v>1.54</v>
      </c>
      <c r="BD60" s="217"/>
      <c r="BE60" s="217">
        <v>16.2</v>
      </c>
      <c r="BF60" s="217">
        <v>15.67</v>
      </c>
      <c r="BG60" s="217">
        <v>1.63</v>
      </c>
      <c r="BH60" s="217"/>
      <c r="BI60" s="217"/>
      <c r="BJ60" s="217"/>
      <c r="BK60" s="217">
        <v>5.38</v>
      </c>
      <c r="BL60" s="217">
        <v>23.53</v>
      </c>
      <c r="BM60" s="217"/>
      <c r="BN60" s="217">
        <v>8.9</v>
      </c>
      <c r="BO60" s="217"/>
      <c r="BP60" s="217">
        <v>0.79</v>
      </c>
      <c r="BQ60" s="217"/>
      <c r="BR60" s="217"/>
      <c r="BS60" s="217"/>
      <c r="BT60" s="217">
        <v>0.94</v>
      </c>
      <c r="BU60" s="217"/>
      <c r="BV60" s="217">
        <v>8.08</v>
      </c>
      <c r="BW60" s="217">
        <v>6.63</v>
      </c>
      <c r="BX60" s="217">
        <v>10.15</v>
      </c>
      <c r="BY60" s="217">
        <v>2.0099999999999998</v>
      </c>
      <c r="BZ60" s="217"/>
      <c r="CA60" s="217">
        <v>0.05</v>
      </c>
      <c r="CB60" s="217">
        <v>7.0000000000000007E-2</v>
      </c>
      <c r="CC60" s="217">
        <v>0.41</v>
      </c>
      <c r="CD60" s="244" t="s">
        <v>221</v>
      </c>
      <c r="CE60" s="246">
        <f t="shared" ref="CE60:CE70" si="0">SUM(C60:CD60)</f>
        <v>454.17000000000007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>
        <v>8549060</v>
      </c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>
        <v>73295</v>
      </c>
      <c r="T61" s="185"/>
      <c r="U61" s="185"/>
      <c r="V61" s="185"/>
      <c r="W61" s="185"/>
      <c r="X61" s="185"/>
      <c r="Y61" s="185"/>
      <c r="Z61" s="185"/>
      <c r="AA61" s="185"/>
      <c r="AB61" s="185">
        <v>703729</v>
      </c>
      <c r="AC61" s="185">
        <v>465598</v>
      </c>
      <c r="AD61" s="185"/>
      <c r="AE61" s="185">
        <v>2340570</v>
      </c>
      <c r="AF61" s="185">
        <v>217957</v>
      </c>
      <c r="AG61" s="185"/>
      <c r="AH61" s="185"/>
      <c r="AI61" s="185"/>
      <c r="AJ61" s="185">
        <v>7489897</v>
      </c>
      <c r="AK61" s="185">
        <v>1357783</v>
      </c>
      <c r="AL61" s="185">
        <v>538293</v>
      </c>
      <c r="AM61" s="185">
        <v>200191</v>
      </c>
      <c r="AN61" s="185"/>
      <c r="AO61" s="185"/>
      <c r="AP61" s="185">
        <v>2451591</v>
      </c>
      <c r="AQ61" s="185"/>
      <c r="AR61" s="185"/>
      <c r="AS61" s="185"/>
      <c r="AT61" s="185"/>
      <c r="AU61" s="185"/>
      <c r="AV61" s="185"/>
      <c r="AW61" s="185">
        <v>152587</v>
      </c>
      <c r="AX61" s="185"/>
      <c r="AY61" s="185">
        <v>1062487</v>
      </c>
      <c r="AZ61" s="185"/>
      <c r="BA61" s="185">
        <v>35183</v>
      </c>
      <c r="BB61" s="185">
        <v>590315</v>
      </c>
      <c r="BC61" s="185">
        <v>61780</v>
      </c>
      <c r="BD61" s="185"/>
      <c r="BE61" s="185">
        <v>863050</v>
      </c>
      <c r="BF61" s="185">
        <v>533583</v>
      </c>
      <c r="BG61" s="185">
        <v>65181</v>
      </c>
      <c r="BH61" s="185"/>
      <c r="BI61" s="185"/>
      <c r="BJ61" s="185"/>
      <c r="BK61" s="185">
        <v>319458</v>
      </c>
      <c r="BL61" s="185">
        <v>889035</v>
      </c>
      <c r="BM61" s="185"/>
      <c r="BN61" s="185">
        <v>953031</v>
      </c>
      <c r="BO61" s="185"/>
      <c r="BP61" s="185">
        <v>52571</v>
      </c>
      <c r="BQ61" s="185"/>
      <c r="BR61" s="185"/>
      <c r="BS61" s="185"/>
      <c r="BT61" s="185">
        <v>59384</v>
      </c>
      <c r="BU61" s="185"/>
      <c r="BV61" s="185">
        <v>446979</v>
      </c>
      <c r="BW61" s="185">
        <v>404953</v>
      </c>
      <c r="BX61" s="185">
        <v>912228</v>
      </c>
      <c r="BY61" s="185">
        <v>147153</v>
      </c>
      <c r="BZ61" s="185"/>
      <c r="CA61" s="185">
        <v>2995</v>
      </c>
      <c r="CB61" s="185">
        <v>5372</v>
      </c>
      <c r="CC61" s="185">
        <v>22495</v>
      </c>
      <c r="CD61" s="244" t="s">
        <v>221</v>
      </c>
      <c r="CE61" s="195">
        <f t="shared" si="0"/>
        <v>31967784</v>
      </c>
      <c r="CF61" s="247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2006934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17206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165204</v>
      </c>
      <c r="AC62" s="195">
        <f t="shared" si="1"/>
        <v>109301</v>
      </c>
      <c r="AD62" s="195">
        <f t="shared" si="1"/>
        <v>0</v>
      </c>
      <c r="AE62" s="195">
        <f t="shared" si="1"/>
        <v>549460</v>
      </c>
      <c r="AF62" s="195">
        <f t="shared" si="1"/>
        <v>51166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1758290</v>
      </c>
      <c r="AK62" s="195">
        <f t="shared" si="1"/>
        <v>318746</v>
      </c>
      <c r="AL62" s="195">
        <f t="shared" si="1"/>
        <v>126367</v>
      </c>
      <c r="AM62" s="195">
        <f t="shared" si="1"/>
        <v>46996</v>
      </c>
      <c r="AN62" s="195">
        <f t="shared" si="1"/>
        <v>0</v>
      </c>
      <c r="AO62" s="195">
        <f t="shared" si="1"/>
        <v>0</v>
      </c>
      <c r="AP62" s="195">
        <f t="shared" si="1"/>
        <v>575523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35821</v>
      </c>
      <c r="AX62" s="195">
        <f t="shared" si="1"/>
        <v>0</v>
      </c>
      <c r="AY62" s="195">
        <f>ROUND(AY47+AY48,0)</f>
        <v>249424</v>
      </c>
      <c r="AZ62" s="195">
        <f>ROUND(AZ47+AZ48,0)</f>
        <v>0</v>
      </c>
      <c r="BA62" s="195">
        <f>ROUND(BA47+BA48,0)</f>
        <v>8259</v>
      </c>
      <c r="BB62" s="195">
        <f t="shared" si="1"/>
        <v>138579</v>
      </c>
      <c r="BC62" s="195">
        <f t="shared" si="1"/>
        <v>14503</v>
      </c>
      <c r="BD62" s="195">
        <f t="shared" si="1"/>
        <v>0</v>
      </c>
      <c r="BE62" s="195">
        <f t="shared" si="1"/>
        <v>202605</v>
      </c>
      <c r="BF62" s="195">
        <f t="shared" si="1"/>
        <v>125261</v>
      </c>
      <c r="BG62" s="195">
        <f t="shared" si="1"/>
        <v>15302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74994</v>
      </c>
      <c r="BL62" s="195">
        <f t="shared" si="1"/>
        <v>208705</v>
      </c>
      <c r="BM62" s="195">
        <f t="shared" si="1"/>
        <v>0</v>
      </c>
      <c r="BN62" s="195">
        <f t="shared" si="1"/>
        <v>223729</v>
      </c>
      <c r="BO62" s="195">
        <f t="shared" ref="BO62:CC62" si="2">ROUND(BO47+BO48,0)</f>
        <v>0</v>
      </c>
      <c r="BP62" s="195">
        <f t="shared" si="2"/>
        <v>12341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13941</v>
      </c>
      <c r="BU62" s="195">
        <f t="shared" si="2"/>
        <v>0</v>
      </c>
      <c r="BV62" s="195">
        <f t="shared" si="2"/>
        <v>104931</v>
      </c>
      <c r="BW62" s="195">
        <f t="shared" si="2"/>
        <v>95065</v>
      </c>
      <c r="BX62" s="195">
        <f t="shared" si="2"/>
        <v>214150</v>
      </c>
      <c r="BY62" s="195">
        <f t="shared" si="2"/>
        <v>34545</v>
      </c>
      <c r="BZ62" s="195">
        <f t="shared" si="2"/>
        <v>0</v>
      </c>
      <c r="CA62" s="195">
        <f t="shared" si="2"/>
        <v>703</v>
      </c>
      <c r="CB62" s="195">
        <f t="shared" si="2"/>
        <v>1261</v>
      </c>
      <c r="CC62" s="195">
        <f t="shared" si="2"/>
        <v>5281</v>
      </c>
      <c r="CD62" s="244" t="s">
        <v>221</v>
      </c>
      <c r="CE62" s="195">
        <f t="shared" si="0"/>
        <v>7504593</v>
      </c>
      <c r="CF62" s="247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>
        <v>1093</v>
      </c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389797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38134</v>
      </c>
      <c r="BL63" s="185"/>
      <c r="BM63" s="185"/>
      <c r="BN63" s="185">
        <v>39499</v>
      </c>
      <c r="BO63" s="185"/>
      <c r="BP63" s="185"/>
      <c r="BQ63" s="185"/>
      <c r="BR63" s="185"/>
      <c r="BS63" s="185"/>
      <c r="BT63" s="185"/>
      <c r="BU63" s="185"/>
      <c r="BV63" s="185"/>
      <c r="BW63" s="185">
        <v>1781</v>
      </c>
      <c r="BX63" s="185"/>
      <c r="BY63" s="185"/>
      <c r="BZ63" s="185"/>
      <c r="CA63" s="185"/>
      <c r="CB63" s="185"/>
      <c r="CC63" s="185"/>
      <c r="CD63" s="244" t="s">
        <v>221</v>
      </c>
      <c r="CE63" s="195">
        <f t="shared" si="0"/>
        <v>470304</v>
      </c>
      <c r="CF63" s="247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>
        <v>426345</v>
      </c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515</v>
      </c>
      <c r="T64" s="185"/>
      <c r="U64" s="185"/>
      <c r="V64" s="185"/>
      <c r="W64" s="185"/>
      <c r="X64" s="185"/>
      <c r="Y64" s="185"/>
      <c r="Z64" s="185"/>
      <c r="AA64" s="185"/>
      <c r="AB64" s="185">
        <v>529168</v>
      </c>
      <c r="AC64" s="185">
        <v>46922</v>
      </c>
      <c r="AD64" s="185"/>
      <c r="AE64" s="185">
        <v>56969</v>
      </c>
      <c r="AF64" s="185">
        <v>4101</v>
      </c>
      <c r="AG64" s="185"/>
      <c r="AH64" s="185"/>
      <c r="AI64" s="185"/>
      <c r="AJ64" s="185">
        <v>114877</v>
      </c>
      <c r="AK64" s="185">
        <v>12828</v>
      </c>
      <c r="AL64" s="185">
        <v>6624</v>
      </c>
      <c r="AM64" s="185">
        <v>876</v>
      </c>
      <c r="AN64" s="185"/>
      <c r="AO64" s="185"/>
      <c r="AP64" s="185">
        <v>48865</v>
      </c>
      <c r="AQ64" s="185"/>
      <c r="AR64" s="185"/>
      <c r="AS64" s="185"/>
      <c r="AT64" s="185"/>
      <c r="AU64" s="185"/>
      <c r="AV64" s="185"/>
      <c r="AW64" s="185">
        <v>40</v>
      </c>
      <c r="AX64" s="185"/>
      <c r="AY64" s="185">
        <v>511093</v>
      </c>
      <c r="AZ64" s="185"/>
      <c r="BA64" s="185">
        <v>164</v>
      </c>
      <c r="BB64" s="185">
        <v>3572</v>
      </c>
      <c r="BC64" s="185">
        <v>3168</v>
      </c>
      <c r="BD64" s="185"/>
      <c r="BE64" s="185">
        <v>63884</v>
      </c>
      <c r="BF64" s="185">
        <v>85474</v>
      </c>
      <c r="BG64" s="185">
        <v>279</v>
      </c>
      <c r="BH64" s="185"/>
      <c r="BI64" s="185"/>
      <c r="BJ64" s="185"/>
      <c r="BK64" s="185">
        <v>1744</v>
      </c>
      <c r="BL64" s="185">
        <v>3658</v>
      </c>
      <c r="BM64" s="185"/>
      <c r="BN64" s="185">
        <v>100413</v>
      </c>
      <c r="BO64" s="185">
        <v>11050</v>
      </c>
      <c r="BP64" s="185">
        <v>10232</v>
      </c>
      <c r="BQ64" s="185"/>
      <c r="BR64" s="185"/>
      <c r="BS64" s="185">
        <v>3680</v>
      </c>
      <c r="BT64" s="185">
        <v>783</v>
      </c>
      <c r="BU64" s="185"/>
      <c r="BV64" s="185">
        <v>10498</v>
      </c>
      <c r="BW64" s="185">
        <v>49598</v>
      </c>
      <c r="BX64" s="185">
        <v>16085</v>
      </c>
      <c r="BY64" s="185">
        <v>182</v>
      </c>
      <c r="BZ64" s="185"/>
      <c r="CA64" s="185"/>
      <c r="CB64" s="185"/>
      <c r="CC64" s="185"/>
      <c r="CD64" s="244" t="s">
        <v>221</v>
      </c>
      <c r="CE64" s="195">
        <f t="shared" si="0"/>
        <v>2123687</v>
      </c>
      <c r="CF64" s="247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>
        <v>3465</v>
      </c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451</v>
      </c>
      <c r="T65" s="185"/>
      <c r="U65" s="185"/>
      <c r="V65" s="185"/>
      <c r="W65" s="185"/>
      <c r="X65" s="185"/>
      <c r="Y65" s="185"/>
      <c r="Z65" s="185"/>
      <c r="AA65" s="185"/>
      <c r="AB65" s="185">
        <v>706</v>
      </c>
      <c r="AC65" s="185">
        <v>972</v>
      </c>
      <c r="AD65" s="185"/>
      <c r="AE65" s="185">
        <v>2706</v>
      </c>
      <c r="AF65" s="185">
        <v>1414</v>
      </c>
      <c r="AG65" s="185"/>
      <c r="AH65" s="185"/>
      <c r="AI65" s="185"/>
      <c r="AJ65" s="185">
        <v>35888</v>
      </c>
      <c r="AK65" s="185"/>
      <c r="AL65" s="185"/>
      <c r="AM65" s="185"/>
      <c r="AN65" s="185"/>
      <c r="AO65" s="185"/>
      <c r="AP65" s="185">
        <v>48125</v>
      </c>
      <c r="AQ65" s="185"/>
      <c r="AR65" s="185"/>
      <c r="AS65" s="185"/>
      <c r="AT65" s="185"/>
      <c r="AU65" s="185"/>
      <c r="AV65" s="185"/>
      <c r="AW65" s="185"/>
      <c r="AX65" s="185"/>
      <c r="AY65" s="185">
        <v>480</v>
      </c>
      <c r="AZ65" s="185"/>
      <c r="BA65" s="185"/>
      <c r="BB65" s="185">
        <v>3815</v>
      </c>
      <c r="BC65" s="185">
        <v>1296</v>
      </c>
      <c r="BD65" s="185"/>
      <c r="BE65" s="185">
        <v>405628</v>
      </c>
      <c r="BF65" s="185">
        <v>2084</v>
      </c>
      <c r="BG65" s="185">
        <v>26285</v>
      </c>
      <c r="BH65" s="185"/>
      <c r="BI65" s="185"/>
      <c r="BJ65" s="185"/>
      <c r="BK65" s="185">
        <v>706</v>
      </c>
      <c r="BL65" s="185">
        <v>1710</v>
      </c>
      <c r="BM65" s="185"/>
      <c r="BN65" s="185">
        <v>36863</v>
      </c>
      <c r="BO65" s="185"/>
      <c r="BP65" s="185">
        <v>817</v>
      </c>
      <c r="BQ65" s="185"/>
      <c r="BR65" s="185"/>
      <c r="BS65" s="185"/>
      <c r="BT65" s="185"/>
      <c r="BU65" s="185"/>
      <c r="BV65" s="185">
        <v>155</v>
      </c>
      <c r="BW65" s="185">
        <v>11048</v>
      </c>
      <c r="BX65" s="185">
        <v>6753</v>
      </c>
      <c r="BY65" s="185">
        <v>2318</v>
      </c>
      <c r="BZ65" s="185"/>
      <c r="CA65" s="185"/>
      <c r="CB65" s="185"/>
      <c r="CC65" s="185"/>
      <c r="CD65" s="244" t="s">
        <v>221</v>
      </c>
      <c r="CE65" s="195">
        <f t="shared" si="0"/>
        <v>593685</v>
      </c>
      <c r="CF65" s="247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>
        <v>659085</v>
      </c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>
        <v>3705</v>
      </c>
      <c r="T66" s="184"/>
      <c r="U66" s="185">
        <v>221976</v>
      </c>
      <c r="V66" s="185"/>
      <c r="W66" s="185"/>
      <c r="X66" s="185"/>
      <c r="Y66" s="185"/>
      <c r="Z66" s="185"/>
      <c r="AA66" s="185"/>
      <c r="AB66" s="185">
        <v>2790</v>
      </c>
      <c r="AC66" s="185">
        <v>1467</v>
      </c>
      <c r="AD66" s="185"/>
      <c r="AE66" s="185">
        <v>17206</v>
      </c>
      <c r="AF66" s="185">
        <v>512</v>
      </c>
      <c r="AG66" s="185"/>
      <c r="AH66" s="185"/>
      <c r="AI66" s="185"/>
      <c r="AJ66" s="185">
        <v>64363</v>
      </c>
      <c r="AK66" s="185">
        <v>6308</v>
      </c>
      <c r="AL66" s="185">
        <v>100</v>
      </c>
      <c r="AM66" s="185">
        <v>758</v>
      </c>
      <c r="AN66" s="185"/>
      <c r="AO66" s="185"/>
      <c r="AP66" s="185">
        <v>14812</v>
      </c>
      <c r="AQ66" s="185"/>
      <c r="AR66" s="185"/>
      <c r="AS66" s="185"/>
      <c r="AT66" s="185"/>
      <c r="AU66" s="185"/>
      <c r="AV66" s="185"/>
      <c r="AW66" s="185">
        <v>4500</v>
      </c>
      <c r="AX66" s="185"/>
      <c r="AY66" s="185">
        <v>17076</v>
      </c>
      <c r="AZ66" s="185">
        <v>8722</v>
      </c>
      <c r="BA66" s="185">
        <v>111323</v>
      </c>
      <c r="BB66" s="185">
        <v>425</v>
      </c>
      <c r="BC66" s="185">
        <v>27336</v>
      </c>
      <c r="BD66" s="185"/>
      <c r="BE66" s="185">
        <v>781211</v>
      </c>
      <c r="BF66" s="185">
        <v>70586</v>
      </c>
      <c r="BG66" s="185">
        <v>50571</v>
      </c>
      <c r="BH66" s="185"/>
      <c r="BI66" s="185"/>
      <c r="BJ66" s="185"/>
      <c r="BK66" s="185">
        <v>51355</v>
      </c>
      <c r="BL66" s="185">
        <v>64</v>
      </c>
      <c r="BM66" s="185"/>
      <c r="BN66" s="185">
        <v>2749527</v>
      </c>
      <c r="BO66" s="185">
        <v>3245</v>
      </c>
      <c r="BP66" s="185">
        <v>12992</v>
      </c>
      <c r="BQ66" s="185"/>
      <c r="BR66" s="185"/>
      <c r="BS66" s="185">
        <v>2157</v>
      </c>
      <c r="BT66" s="185">
        <v>26739</v>
      </c>
      <c r="BU66" s="185"/>
      <c r="BV66" s="185">
        <v>43637</v>
      </c>
      <c r="BW66" s="185">
        <v>35921</v>
      </c>
      <c r="BX66" s="185">
        <v>615903</v>
      </c>
      <c r="BY66" s="185">
        <v>17797</v>
      </c>
      <c r="BZ66" s="185"/>
      <c r="CA66" s="185">
        <v>255</v>
      </c>
      <c r="CB66" s="185"/>
      <c r="CC66" s="185"/>
      <c r="CD66" s="244" t="s">
        <v>221</v>
      </c>
      <c r="CE66" s="195">
        <f t="shared" si="0"/>
        <v>5624424</v>
      </c>
      <c r="CF66" s="247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220921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6474</v>
      </c>
      <c r="AC67" s="195">
        <f t="shared" si="3"/>
        <v>3430</v>
      </c>
      <c r="AD67" s="195">
        <f t="shared" si="3"/>
        <v>0</v>
      </c>
      <c r="AE67" s="195">
        <f t="shared" si="3"/>
        <v>60668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118261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172424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21658</v>
      </c>
      <c r="AW67" s="195">
        <f t="shared" si="3"/>
        <v>0</v>
      </c>
      <c r="AX67" s="195">
        <f t="shared" si="3"/>
        <v>0</v>
      </c>
      <c r="AY67" s="195">
        <f t="shared" si="3"/>
        <v>27985</v>
      </c>
      <c r="AZ67" s="195">
        <f>ROUND(AZ51+AZ52,0)</f>
        <v>10566</v>
      </c>
      <c r="BA67" s="195">
        <f>ROUND(BA51+BA52,0)</f>
        <v>6352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331813</v>
      </c>
      <c r="BF67" s="195">
        <f t="shared" si="3"/>
        <v>3173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90233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8452</v>
      </c>
      <c r="BW67" s="195">
        <f t="shared" si="4"/>
        <v>57391</v>
      </c>
      <c r="BX67" s="195">
        <f t="shared" si="4"/>
        <v>9157</v>
      </c>
      <c r="BY67" s="195">
        <f t="shared" si="4"/>
        <v>13493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2327</v>
      </c>
      <c r="CD67" s="244" t="s">
        <v>221</v>
      </c>
      <c r="CE67" s="195">
        <f t="shared" si="0"/>
        <v>1164778</v>
      </c>
      <c r="CF67" s="247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>
        <v>217427</v>
      </c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>
        <v>14257</v>
      </c>
      <c r="AC68" s="185">
        <v>7781</v>
      </c>
      <c r="AD68" s="185"/>
      <c r="AE68" s="185">
        <v>5103</v>
      </c>
      <c r="AF68" s="185"/>
      <c r="AG68" s="185"/>
      <c r="AH68" s="185"/>
      <c r="AI68" s="185"/>
      <c r="AJ68" s="185">
        <v>46913</v>
      </c>
      <c r="AK68" s="185"/>
      <c r="AL68" s="185"/>
      <c r="AM68" s="185"/>
      <c r="AN68" s="185"/>
      <c r="AO68" s="185"/>
      <c r="AP68" s="185">
        <v>498040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>
        <v>4252</v>
      </c>
      <c r="BC68" s="185"/>
      <c r="BD68" s="185"/>
      <c r="BE68" s="185">
        <v>22483</v>
      </c>
      <c r="BF68" s="185">
        <v>151</v>
      </c>
      <c r="BG68" s="185"/>
      <c r="BH68" s="185"/>
      <c r="BI68" s="185"/>
      <c r="BJ68" s="185"/>
      <c r="BK68" s="185">
        <v>1415</v>
      </c>
      <c r="BL68" s="185"/>
      <c r="BM68" s="185"/>
      <c r="BN68" s="185">
        <v>55911</v>
      </c>
      <c r="BO68" s="185"/>
      <c r="BP68" s="185">
        <v>5423</v>
      </c>
      <c r="BQ68" s="185"/>
      <c r="BR68" s="185"/>
      <c r="BS68" s="185"/>
      <c r="BT68" s="185"/>
      <c r="BU68" s="185"/>
      <c r="BV68" s="185"/>
      <c r="BW68" s="185">
        <v>2925</v>
      </c>
      <c r="BX68" s="185"/>
      <c r="BY68" s="185"/>
      <c r="BZ68" s="185"/>
      <c r="CA68" s="185"/>
      <c r="CB68" s="185"/>
      <c r="CC68" s="185"/>
      <c r="CD68" s="244" t="s">
        <v>221</v>
      </c>
      <c r="CE68" s="195">
        <f t="shared" si="0"/>
        <v>882081</v>
      </c>
      <c r="CF68" s="247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>
        <v>14144</v>
      </c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0"/>
      <c r="S69" s="185">
        <v>-1036</v>
      </c>
      <c r="T69" s="184"/>
      <c r="U69" s="185"/>
      <c r="V69" s="185"/>
      <c r="W69" s="184"/>
      <c r="X69" s="185"/>
      <c r="Y69" s="185">
        <v>46949</v>
      </c>
      <c r="Z69" s="185"/>
      <c r="AA69" s="185"/>
      <c r="AB69" s="185">
        <v>758</v>
      </c>
      <c r="AC69" s="185">
        <v>54</v>
      </c>
      <c r="AD69" s="185"/>
      <c r="AE69" s="185">
        <v>27419</v>
      </c>
      <c r="AF69" s="185">
        <v>1628</v>
      </c>
      <c r="AG69" s="185"/>
      <c r="AH69" s="185"/>
      <c r="AI69" s="185"/>
      <c r="AJ69" s="185">
        <v>129050</v>
      </c>
      <c r="AK69" s="185">
        <v>6001</v>
      </c>
      <c r="AL69" s="185">
        <v>1486</v>
      </c>
      <c r="AM69" s="185">
        <v>2086</v>
      </c>
      <c r="AN69" s="185"/>
      <c r="AO69" s="184"/>
      <c r="AP69" s="185">
        <v>6670</v>
      </c>
      <c r="AQ69" s="184"/>
      <c r="AR69" s="184"/>
      <c r="AS69" s="184"/>
      <c r="AT69" s="184"/>
      <c r="AU69" s="185"/>
      <c r="AV69" s="185">
        <v>117425</v>
      </c>
      <c r="AW69" s="185">
        <v>2809</v>
      </c>
      <c r="AX69" s="185"/>
      <c r="AY69" s="185">
        <v>892</v>
      </c>
      <c r="AZ69" s="185"/>
      <c r="BA69" s="185"/>
      <c r="BB69" s="185">
        <v>131</v>
      </c>
      <c r="BC69" s="185"/>
      <c r="BD69" s="185"/>
      <c r="BE69" s="185">
        <v>5280</v>
      </c>
      <c r="BF69" s="185">
        <v>287</v>
      </c>
      <c r="BG69" s="185"/>
      <c r="BH69" s="220"/>
      <c r="BI69" s="185"/>
      <c r="BJ69" s="185"/>
      <c r="BK69" s="185">
        <v>15737</v>
      </c>
      <c r="BL69" s="185">
        <v>133</v>
      </c>
      <c r="BM69" s="185"/>
      <c r="BN69" s="185">
        <v>65721</v>
      </c>
      <c r="BO69" s="185"/>
      <c r="BP69" s="185">
        <v>14895</v>
      </c>
      <c r="BQ69" s="185"/>
      <c r="BR69" s="185"/>
      <c r="BS69" s="185">
        <v>1103</v>
      </c>
      <c r="BT69" s="185"/>
      <c r="BU69" s="185"/>
      <c r="BV69" s="185">
        <v>4401</v>
      </c>
      <c r="BW69" s="185">
        <v>3446</v>
      </c>
      <c r="BX69" s="185">
        <v>14587</v>
      </c>
      <c r="BY69" s="185">
        <v>522</v>
      </c>
      <c r="BZ69" s="185"/>
      <c r="CA69" s="185"/>
      <c r="CB69" s="185"/>
      <c r="CC69" s="185"/>
      <c r="CD69" s="188">
        <v>887737</v>
      </c>
      <c r="CE69" s="195">
        <f t="shared" si="0"/>
        <v>1370315</v>
      </c>
      <c r="CF69" s="247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>
        <v>39570</v>
      </c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223</v>
      </c>
      <c r="AC70" s="185"/>
      <c r="AD70" s="185"/>
      <c r="AE70" s="185">
        <v>8545</v>
      </c>
      <c r="AF70" s="185">
        <v>1400</v>
      </c>
      <c r="AG70" s="185"/>
      <c r="AH70" s="185"/>
      <c r="AI70" s="185"/>
      <c r="AJ70" s="185">
        <v>1950531</v>
      </c>
      <c r="AK70" s="185">
        <v>12511</v>
      </c>
      <c r="AL70" s="185"/>
      <c r="AM70" s="185"/>
      <c r="AN70" s="185"/>
      <c r="AO70" s="185"/>
      <c r="AP70" s="185">
        <v>4757</v>
      </c>
      <c r="AQ70" s="185"/>
      <c r="AR70" s="185"/>
      <c r="AS70" s="185"/>
      <c r="AT70" s="185"/>
      <c r="AU70" s="185"/>
      <c r="AV70" s="185"/>
      <c r="AW70" s="185">
        <v>51804</v>
      </c>
      <c r="AX70" s="185"/>
      <c r="AY70" s="185">
        <v>37986</v>
      </c>
      <c r="AZ70" s="185">
        <v>386119</v>
      </c>
      <c r="BA70" s="185"/>
      <c r="BB70" s="185"/>
      <c r="BC70" s="185"/>
      <c r="BD70" s="185"/>
      <c r="BE70" s="185">
        <v>31410</v>
      </c>
      <c r="BF70" s="185">
        <v>12000</v>
      </c>
      <c r="BG70" s="185"/>
      <c r="BH70" s="185"/>
      <c r="BI70" s="185"/>
      <c r="BJ70" s="185"/>
      <c r="BK70" s="185"/>
      <c r="BL70" s="185"/>
      <c r="BM70" s="185"/>
      <c r="BN70" s="185">
        <v>12497</v>
      </c>
      <c r="BO70" s="185"/>
      <c r="BP70" s="185">
        <v>91944</v>
      </c>
      <c r="BQ70" s="185"/>
      <c r="BR70" s="185"/>
      <c r="BS70" s="185"/>
      <c r="BT70" s="185"/>
      <c r="BU70" s="185"/>
      <c r="BV70" s="185">
        <v>26192</v>
      </c>
      <c r="BW70" s="185">
        <v>2475</v>
      </c>
      <c r="BX70" s="185"/>
      <c r="BY70" s="185"/>
      <c r="BZ70" s="185"/>
      <c r="CA70" s="185"/>
      <c r="CB70" s="185">
        <v>8918</v>
      </c>
      <c r="CC70" s="185"/>
      <c r="CD70" s="188"/>
      <c r="CE70" s="195">
        <f t="shared" si="0"/>
        <v>2678882</v>
      </c>
      <c r="CF70" s="247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12058904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94136</v>
      </c>
      <c r="T71" s="195">
        <f t="shared" si="5"/>
        <v>0</v>
      </c>
      <c r="U71" s="195">
        <f t="shared" si="5"/>
        <v>221976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46949</v>
      </c>
      <c r="Z71" s="195">
        <f t="shared" si="5"/>
        <v>0</v>
      </c>
      <c r="AA71" s="195">
        <f t="shared" si="5"/>
        <v>0</v>
      </c>
      <c r="AB71" s="195">
        <f t="shared" si="5"/>
        <v>1422863</v>
      </c>
      <c r="AC71" s="195">
        <f t="shared" si="5"/>
        <v>635525</v>
      </c>
      <c r="AD71" s="195">
        <f t="shared" si="5"/>
        <v>0</v>
      </c>
      <c r="AE71" s="195">
        <f t="shared" si="5"/>
        <v>3051556</v>
      </c>
      <c r="AF71" s="195">
        <f t="shared" si="5"/>
        <v>275378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8196805</v>
      </c>
      <c r="AK71" s="195">
        <f t="shared" si="6"/>
        <v>1689155</v>
      </c>
      <c r="AL71" s="195">
        <f t="shared" si="6"/>
        <v>672870</v>
      </c>
      <c r="AM71" s="195">
        <f t="shared" si="6"/>
        <v>250907</v>
      </c>
      <c r="AN71" s="195">
        <f t="shared" si="6"/>
        <v>0</v>
      </c>
      <c r="AO71" s="195">
        <f t="shared" si="6"/>
        <v>0</v>
      </c>
      <c r="AP71" s="195">
        <f t="shared" si="6"/>
        <v>3811293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139083</v>
      </c>
      <c r="AW71" s="195">
        <f t="shared" si="6"/>
        <v>143953</v>
      </c>
      <c r="AX71" s="195">
        <f t="shared" si="6"/>
        <v>0</v>
      </c>
      <c r="AY71" s="195">
        <f t="shared" si="6"/>
        <v>1831451</v>
      </c>
      <c r="AZ71" s="195">
        <f t="shared" si="6"/>
        <v>-366831</v>
      </c>
      <c r="BA71" s="195">
        <f t="shared" si="6"/>
        <v>161281</v>
      </c>
      <c r="BB71" s="195">
        <f t="shared" si="6"/>
        <v>741089</v>
      </c>
      <c r="BC71" s="195">
        <f t="shared" si="6"/>
        <v>108083</v>
      </c>
      <c r="BD71" s="195">
        <f t="shared" si="6"/>
        <v>0</v>
      </c>
      <c r="BE71" s="195">
        <f t="shared" si="6"/>
        <v>2644544</v>
      </c>
      <c r="BF71" s="195">
        <f t="shared" si="6"/>
        <v>808599</v>
      </c>
      <c r="BG71" s="195">
        <f t="shared" si="6"/>
        <v>157618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503543</v>
      </c>
      <c r="BL71" s="195">
        <f t="shared" si="6"/>
        <v>1103305</v>
      </c>
      <c r="BM71" s="195">
        <f t="shared" si="6"/>
        <v>0</v>
      </c>
      <c r="BN71" s="195">
        <f t="shared" si="6"/>
        <v>4302430</v>
      </c>
      <c r="BO71" s="195">
        <f t="shared" si="6"/>
        <v>14295</v>
      </c>
      <c r="BP71" s="195">
        <f t="shared" ref="BP71:CC71" si="7">SUM(BP61:BP69)-BP70</f>
        <v>17327</v>
      </c>
      <c r="BQ71" s="195">
        <f t="shared" si="7"/>
        <v>0</v>
      </c>
      <c r="BR71" s="195">
        <f t="shared" si="7"/>
        <v>0</v>
      </c>
      <c r="BS71" s="195">
        <f t="shared" si="7"/>
        <v>6940</v>
      </c>
      <c r="BT71" s="195">
        <f t="shared" si="7"/>
        <v>100847</v>
      </c>
      <c r="BU71" s="195">
        <f t="shared" si="7"/>
        <v>0</v>
      </c>
      <c r="BV71" s="195">
        <f t="shared" si="7"/>
        <v>592861</v>
      </c>
      <c r="BW71" s="195">
        <f t="shared" si="7"/>
        <v>659653</v>
      </c>
      <c r="BX71" s="195">
        <f t="shared" si="7"/>
        <v>1788863</v>
      </c>
      <c r="BY71" s="195">
        <f t="shared" si="7"/>
        <v>216010</v>
      </c>
      <c r="BZ71" s="195">
        <f t="shared" si="7"/>
        <v>0</v>
      </c>
      <c r="CA71" s="195">
        <f t="shared" si="7"/>
        <v>3953</v>
      </c>
      <c r="CB71" s="195">
        <f t="shared" si="7"/>
        <v>-2285</v>
      </c>
      <c r="CC71" s="195">
        <f t="shared" si="7"/>
        <v>30103</v>
      </c>
      <c r="CD71" s="240">
        <f>CD69-CD70</f>
        <v>887737</v>
      </c>
      <c r="CE71" s="195">
        <f>SUM(CE61:CE69)-CE70</f>
        <v>49022769</v>
      </c>
      <c r="CF71" s="247"/>
    </row>
    <row r="72" spans="1:84" ht="12.6" customHeight="1" x14ac:dyDescent="0.2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8"/>
      <c r="CF72" s="247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>
        <v>38408266</v>
      </c>
      <c r="H73" s="184"/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>
        <v>4305424</v>
      </c>
      <c r="V73" s="185"/>
      <c r="W73" s="185">
        <v>99244</v>
      </c>
      <c r="X73" s="185">
        <v>226653</v>
      </c>
      <c r="Y73" s="185">
        <v>353121</v>
      </c>
      <c r="Z73" s="185"/>
      <c r="AA73" s="185">
        <v>4648</v>
      </c>
      <c r="AB73" s="185">
        <v>4279193</v>
      </c>
      <c r="AC73" s="185">
        <v>2188390</v>
      </c>
      <c r="AD73" s="185"/>
      <c r="AE73" s="185">
        <v>11125045</v>
      </c>
      <c r="AF73" s="185">
        <v>1077627</v>
      </c>
      <c r="AG73" s="185"/>
      <c r="AH73" s="185"/>
      <c r="AI73" s="185"/>
      <c r="AJ73" s="185"/>
      <c r="AK73" s="185">
        <v>11356045</v>
      </c>
      <c r="AL73" s="185">
        <v>2226892</v>
      </c>
      <c r="AM73" s="185">
        <v>1477917</v>
      </c>
      <c r="AN73" s="185"/>
      <c r="AO73" s="185"/>
      <c r="AP73" s="185"/>
      <c r="AQ73" s="185"/>
      <c r="AR73" s="185"/>
      <c r="AS73" s="185"/>
      <c r="AT73" s="185"/>
      <c r="AU73" s="185"/>
      <c r="AV73" s="185">
        <v>204605</v>
      </c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5">
        <f t="shared" ref="CE73:CE80" si="8">SUM(C73:CD73)</f>
        <v>77333070</v>
      </c>
      <c r="CF73" s="247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24813155</v>
      </c>
      <c r="AK74" s="185"/>
      <c r="AL74" s="185"/>
      <c r="AM74" s="185"/>
      <c r="AN74" s="185"/>
      <c r="AO74" s="185"/>
      <c r="AP74" s="185">
        <v>15546608</v>
      </c>
      <c r="AQ74" s="185"/>
      <c r="AR74" s="185"/>
      <c r="AS74" s="185"/>
      <c r="AT74" s="185"/>
      <c r="AU74" s="185"/>
      <c r="AV74" s="185"/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5">
        <f t="shared" si="8"/>
        <v>40359763</v>
      </c>
      <c r="CF74" s="247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38408266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4305424</v>
      </c>
      <c r="V75" s="195">
        <f t="shared" si="9"/>
        <v>0</v>
      </c>
      <c r="W75" s="195">
        <f t="shared" si="9"/>
        <v>99244</v>
      </c>
      <c r="X75" s="195">
        <f t="shared" si="9"/>
        <v>226653</v>
      </c>
      <c r="Y75" s="195">
        <f t="shared" si="9"/>
        <v>353121</v>
      </c>
      <c r="Z75" s="195">
        <f t="shared" si="9"/>
        <v>0</v>
      </c>
      <c r="AA75" s="195">
        <f t="shared" si="9"/>
        <v>4648</v>
      </c>
      <c r="AB75" s="195">
        <f t="shared" si="9"/>
        <v>4279193</v>
      </c>
      <c r="AC75" s="195">
        <f t="shared" si="9"/>
        <v>2188390</v>
      </c>
      <c r="AD75" s="195">
        <f t="shared" si="9"/>
        <v>0</v>
      </c>
      <c r="AE75" s="195">
        <f t="shared" si="9"/>
        <v>11125045</v>
      </c>
      <c r="AF75" s="195">
        <f t="shared" si="9"/>
        <v>1077627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24813155</v>
      </c>
      <c r="AK75" s="195">
        <f t="shared" si="9"/>
        <v>11356045</v>
      </c>
      <c r="AL75" s="195">
        <f t="shared" si="9"/>
        <v>2226892</v>
      </c>
      <c r="AM75" s="195">
        <f t="shared" si="9"/>
        <v>1477917</v>
      </c>
      <c r="AN75" s="195">
        <f t="shared" si="9"/>
        <v>0</v>
      </c>
      <c r="AO75" s="195">
        <f t="shared" si="9"/>
        <v>0</v>
      </c>
      <c r="AP75" s="195">
        <f t="shared" si="9"/>
        <v>15546608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204605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5">
        <f t="shared" si="8"/>
        <v>117692833</v>
      </c>
      <c r="CF75" s="247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>
        <v>36069</v>
      </c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1057</v>
      </c>
      <c r="AC76" s="185">
        <v>560</v>
      </c>
      <c r="AD76" s="185"/>
      <c r="AE76" s="185">
        <v>9905</v>
      </c>
      <c r="AF76" s="185"/>
      <c r="AG76" s="185"/>
      <c r="AH76" s="185"/>
      <c r="AI76" s="185"/>
      <c r="AJ76" s="185">
        <v>19308</v>
      </c>
      <c r="AK76" s="185"/>
      <c r="AL76" s="185"/>
      <c r="AM76" s="185"/>
      <c r="AN76" s="185"/>
      <c r="AO76" s="185"/>
      <c r="AP76" s="185">
        <v>28151</v>
      </c>
      <c r="AQ76" s="185"/>
      <c r="AR76" s="185"/>
      <c r="AS76" s="185"/>
      <c r="AT76" s="185"/>
      <c r="AU76" s="185"/>
      <c r="AV76" s="185">
        <v>3536</v>
      </c>
      <c r="AW76" s="185"/>
      <c r="AX76" s="185"/>
      <c r="AY76" s="185">
        <v>4569</v>
      </c>
      <c r="AZ76" s="185">
        <v>1725</v>
      </c>
      <c r="BA76" s="185">
        <v>1037</v>
      </c>
      <c r="BB76" s="185"/>
      <c r="BC76" s="185"/>
      <c r="BD76" s="185"/>
      <c r="BE76" s="185">
        <v>54174</v>
      </c>
      <c r="BF76" s="185">
        <v>518</v>
      </c>
      <c r="BG76" s="185"/>
      <c r="BH76" s="185"/>
      <c r="BI76" s="185"/>
      <c r="BJ76" s="185"/>
      <c r="BK76" s="185"/>
      <c r="BL76" s="185"/>
      <c r="BM76" s="185"/>
      <c r="BN76" s="185">
        <v>14732</v>
      </c>
      <c r="BO76" s="185"/>
      <c r="BP76" s="185"/>
      <c r="BQ76" s="185"/>
      <c r="BR76" s="185"/>
      <c r="BS76" s="185"/>
      <c r="BT76" s="185"/>
      <c r="BU76" s="185"/>
      <c r="BV76" s="185">
        <v>1380</v>
      </c>
      <c r="BW76" s="185">
        <v>9370</v>
      </c>
      <c r="BX76" s="185">
        <v>1495</v>
      </c>
      <c r="BY76" s="185">
        <v>2203</v>
      </c>
      <c r="BZ76" s="185"/>
      <c r="CA76" s="185"/>
      <c r="CB76" s="185"/>
      <c r="CC76" s="185">
        <v>380</v>
      </c>
      <c r="CD76" s="244" t="s">
        <v>221</v>
      </c>
      <c r="CE76" s="195">
        <f t="shared" si="8"/>
        <v>190169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>
        <v>61071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4" t="s">
        <v>221</v>
      </c>
      <c r="AY77" s="244" t="s">
        <v>221</v>
      </c>
      <c r="AZ77" s="184"/>
      <c r="BA77" s="184"/>
      <c r="BB77" s="184"/>
      <c r="BC77" s="184"/>
      <c r="BD77" s="244" t="s">
        <v>221</v>
      </c>
      <c r="BE77" s="244" t="s">
        <v>221</v>
      </c>
      <c r="BF77" s="184"/>
      <c r="BG77" s="244" t="s">
        <v>221</v>
      </c>
      <c r="BH77" s="184"/>
      <c r="BI77" s="184"/>
      <c r="BJ77" s="244" t="s">
        <v>221</v>
      </c>
      <c r="BK77" s="184"/>
      <c r="BL77" s="184"/>
      <c r="BM77" s="184"/>
      <c r="BN77" s="244" t="s">
        <v>221</v>
      </c>
      <c r="BO77" s="244" t="s">
        <v>221</v>
      </c>
      <c r="BP77" s="244" t="s">
        <v>221</v>
      </c>
      <c r="BQ77" s="244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4" t="s">
        <v>221</v>
      </c>
      <c r="CD77" s="244" t="s">
        <v>221</v>
      </c>
      <c r="CE77" s="195">
        <f>SUM(C77:CD77)</f>
        <v>61071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>
        <v>36069</v>
      </c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>
        <v>1057</v>
      </c>
      <c r="AC78" s="184">
        <v>560</v>
      </c>
      <c r="AD78" s="184"/>
      <c r="AE78" s="184">
        <v>9905</v>
      </c>
      <c r="AF78" s="184"/>
      <c r="AG78" s="184"/>
      <c r="AH78" s="184"/>
      <c r="AI78" s="184"/>
      <c r="AJ78" s="184">
        <v>19308</v>
      </c>
      <c r="AK78" s="184"/>
      <c r="AL78" s="184"/>
      <c r="AM78" s="184"/>
      <c r="AN78" s="184"/>
      <c r="AO78" s="184"/>
      <c r="AP78" s="184">
        <v>28151</v>
      </c>
      <c r="AQ78" s="184"/>
      <c r="AR78" s="184"/>
      <c r="AS78" s="184"/>
      <c r="AT78" s="184"/>
      <c r="AU78" s="184"/>
      <c r="AV78" s="184">
        <v>3536</v>
      </c>
      <c r="AW78" s="184"/>
      <c r="AX78" s="244" t="s">
        <v>221</v>
      </c>
      <c r="AY78" s="244" t="s">
        <v>221</v>
      </c>
      <c r="AZ78" s="244" t="s">
        <v>221</v>
      </c>
      <c r="BA78" s="184">
        <v>1037</v>
      </c>
      <c r="BB78" s="184"/>
      <c r="BC78" s="184"/>
      <c r="BD78" s="244" t="s">
        <v>221</v>
      </c>
      <c r="BE78" s="244" t="s">
        <v>221</v>
      </c>
      <c r="BF78" s="244" t="s">
        <v>221</v>
      </c>
      <c r="BG78" s="244" t="s">
        <v>221</v>
      </c>
      <c r="BH78" s="184"/>
      <c r="BI78" s="184"/>
      <c r="BJ78" s="244" t="s">
        <v>221</v>
      </c>
      <c r="BK78" s="184"/>
      <c r="BL78" s="184"/>
      <c r="BM78" s="184"/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/>
      <c r="BT78" s="184"/>
      <c r="BU78" s="184"/>
      <c r="BV78" s="184">
        <v>1380</v>
      </c>
      <c r="BW78" s="184">
        <v>9370</v>
      </c>
      <c r="BX78" s="184">
        <v>1495</v>
      </c>
      <c r="BY78" s="184">
        <v>2203</v>
      </c>
      <c r="BZ78" s="184"/>
      <c r="CA78" s="184"/>
      <c r="CB78" s="184"/>
      <c r="CC78" s="244" t="s">
        <v>221</v>
      </c>
      <c r="CD78" s="244" t="s">
        <v>221</v>
      </c>
      <c r="CE78" s="195">
        <f t="shared" si="8"/>
        <v>114071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/>
      <c r="F79" s="184"/>
      <c r="G79" s="184">
        <v>150141</v>
      </c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34774</v>
      </c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>
        <v>32537</v>
      </c>
      <c r="AQ79" s="184"/>
      <c r="AR79" s="184"/>
      <c r="AS79" s="184"/>
      <c r="AT79" s="184"/>
      <c r="AU79" s="184"/>
      <c r="AV79" s="184"/>
      <c r="AW79" s="184"/>
      <c r="AX79" s="244" t="s">
        <v>221</v>
      </c>
      <c r="AY79" s="244" t="s">
        <v>221</v>
      </c>
      <c r="AZ79" s="244" t="s">
        <v>221</v>
      </c>
      <c r="BA79" s="244" t="s">
        <v>221</v>
      </c>
      <c r="BB79" s="184"/>
      <c r="BC79" s="184"/>
      <c r="BD79" s="244" t="s">
        <v>221</v>
      </c>
      <c r="BE79" s="244" t="s">
        <v>221</v>
      </c>
      <c r="BF79" s="244" t="s">
        <v>221</v>
      </c>
      <c r="BG79" s="244" t="s">
        <v>221</v>
      </c>
      <c r="BH79" s="184"/>
      <c r="BI79" s="184"/>
      <c r="BJ79" s="244" t="s">
        <v>221</v>
      </c>
      <c r="BK79" s="184"/>
      <c r="BL79" s="184"/>
      <c r="BM79" s="184"/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4" t="s">
        <v>221</v>
      </c>
      <c r="CD79" s="244" t="s">
        <v>221</v>
      </c>
      <c r="CE79" s="195">
        <f t="shared" si="8"/>
        <v>217452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>
        <v>64.09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64.09</v>
      </c>
      <c r="CF80" s="250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999</v>
      </c>
      <c r="D82" s="251"/>
      <c r="E82" s="175"/>
    </row>
    <row r="83" spans="1:5" ht="12.6" customHeight="1" x14ac:dyDescent="0.25">
      <c r="A83" s="173" t="s">
        <v>255</v>
      </c>
      <c r="B83" s="172" t="s">
        <v>256</v>
      </c>
      <c r="C83" s="222" t="s">
        <v>1002</v>
      </c>
      <c r="D83" s="251"/>
      <c r="E83" s="175"/>
    </row>
    <row r="84" spans="1:5" ht="12.6" customHeight="1" x14ac:dyDescent="0.25">
      <c r="A84" s="173" t="s">
        <v>257</v>
      </c>
      <c r="B84" s="172" t="s">
        <v>256</v>
      </c>
      <c r="C84" s="225" t="s">
        <v>1003</v>
      </c>
      <c r="D84" s="202"/>
      <c r="E84" s="201"/>
    </row>
    <row r="85" spans="1:5" ht="12.6" customHeight="1" x14ac:dyDescent="0.25">
      <c r="A85" s="173" t="s">
        <v>986</v>
      </c>
      <c r="B85" s="172"/>
      <c r="C85" s="266" t="s">
        <v>1004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26" t="s">
        <v>1004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5" t="s">
        <v>1005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5" t="s">
        <v>1006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5" t="s">
        <v>1007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5" t="s">
        <v>1008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5" t="s">
        <v>1009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65" t="s">
        <v>1010</v>
      </c>
      <c r="D92" s="251"/>
      <c r="E92" s="175"/>
    </row>
    <row r="93" spans="1:5" ht="12.6" customHeight="1" x14ac:dyDescent="0.25">
      <c r="A93" s="173" t="s">
        <v>264</v>
      </c>
      <c r="B93" s="172" t="s">
        <v>256</v>
      </c>
      <c r="C93" s="265" t="s">
        <v>1011</v>
      </c>
      <c r="D93" s="251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2" t="s">
        <v>266</v>
      </c>
      <c r="B96" s="252"/>
      <c r="C96" s="252"/>
      <c r="D96" s="252"/>
      <c r="E96" s="252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2" t="s">
        <v>269</v>
      </c>
      <c r="B100" s="252"/>
      <c r="C100" s="252"/>
      <c r="D100" s="252"/>
      <c r="E100" s="252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 t="s">
        <v>1012</v>
      </c>
      <c r="D102" s="175"/>
      <c r="E102" s="175"/>
    </row>
    <row r="103" spans="1:5" ht="12.6" customHeight="1" x14ac:dyDescent="0.25">
      <c r="A103" s="252" t="s">
        <v>271</v>
      </c>
      <c r="B103" s="252"/>
      <c r="C103" s="252"/>
      <c r="D103" s="252"/>
      <c r="E103" s="252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1304</v>
      </c>
      <c r="D111" s="174">
        <v>20305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72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72</v>
      </c>
    </row>
    <row r="128" spans="1:5" ht="12.6" customHeight="1" x14ac:dyDescent="0.25">
      <c r="A128" s="173" t="s">
        <v>292</v>
      </c>
      <c r="B128" s="172" t="s">
        <v>256</v>
      </c>
      <c r="C128" s="189">
        <v>102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3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813</v>
      </c>
      <c r="C138" s="189">
        <v>240</v>
      </c>
      <c r="D138" s="174">
        <v>251</v>
      </c>
      <c r="E138" s="175">
        <f>SUM(B138:D138)</f>
        <v>1304</v>
      </c>
    </row>
    <row r="139" spans="1:6" ht="12.6" customHeight="1" x14ac:dyDescent="0.25">
      <c r="A139" s="173" t="s">
        <v>215</v>
      </c>
      <c r="B139" s="174">
        <v>11933</v>
      </c>
      <c r="C139" s="189">
        <v>4272</v>
      </c>
      <c r="D139" s="174">
        <v>4100</v>
      </c>
      <c r="E139" s="175">
        <f>SUM(B139:D139)</f>
        <v>20305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44903496</v>
      </c>
      <c r="C141" s="189">
        <v>16471474</v>
      </c>
      <c r="D141" s="174">
        <v>15958100</v>
      </c>
      <c r="E141" s="175">
        <f>SUM(B141:D141)</f>
        <v>77333070</v>
      </c>
      <c r="F141" s="199"/>
    </row>
    <row r="142" spans="1:6" ht="12.6" customHeight="1" x14ac:dyDescent="0.25">
      <c r="A142" s="173" t="s">
        <v>246</v>
      </c>
      <c r="B142" s="174">
        <v>13145377</v>
      </c>
      <c r="C142" s="189">
        <v>8923453</v>
      </c>
      <c r="D142" s="174">
        <v>18290932</v>
      </c>
      <c r="E142" s="175">
        <f>SUM(B142:D142)</f>
        <v>40359762</v>
      </c>
      <c r="F142" s="199"/>
    </row>
    <row r="143" spans="1:6" ht="12.6" customHeight="1" x14ac:dyDescent="0.25">
      <c r="A143" s="253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3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3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2" t="s">
        <v>306</v>
      </c>
      <c r="B164" s="252"/>
      <c r="C164" s="252"/>
      <c r="D164" s="252"/>
      <c r="E164" s="252"/>
    </row>
    <row r="165" spans="1:5" ht="11.4" customHeight="1" x14ac:dyDescent="0.25">
      <c r="A165" s="173" t="s">
        <v>307</v>
      </c>
      <c r="B165" s="172" t="s">
        <v>256</v>
      </c>
      <c r="C165" s="189">
        <v>2245040.41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96014.36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-42950.41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1497407.89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3709082.47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7504594.7200000007</v>
      </c>
      <c r="E173" s="175"/>
    </row>
    <row r="174" spans="1:5" ht="11.4" customHeight="1" x14ac:dyDescent="0.25">
      <c r="A174" s="252" t="s">
        <v>314</v>
      </c>
      <c r="B174" s="252"/>
      <c r="C174" s="252"/>
      <c r="D174" s="252"/>
      <c r="E174" s="252"/>
    </row>
    <row r="175" spans="1:5" ht="11.4" customHeight="1" x14ac:dyDescent="0.25">
      <c r="A175" s="173" t="s">
        <v>315</v>
      </c>
      <c r="B175" s="172" t="s">
        <v>256</v>
      </c>
      <c r="C175" s="189">
        <v>550308.23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331772.7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882080.92999999993</v>
      </c>
      <c r="E177" s="175"/>
    </row>
    <row r="178" spans="1:5" ht="11.4" customHeight="1" x14ac:dyDescent="0.25">
      <c r="A178" s="252" t="s">
        <v>317</v>
      </c>
      <c r="B178" s="252"/>
      <c r="C178" s="252"/>
      <c r="D178" s="252"/>
      <c r="E178" s="252"/>
    </row>
    <row r="179" spans="1:5" ht="11.4" customHeight="1" x14ac:dyDescent="0.25">
      <c r="A179" s="173" t="s">
        <v>318</v>
      </c>
      <c r="B179" s="172" t="s">
        <v>256</v>
      </c>
      <c r="C179" s="189"/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13364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13364</v>
      </c>
      <c r="E181" s="175"/>
    </row>
    <row r="182" spans="1:5" ht="11.4" customHeight="1" x14ac:dyDescent="0.25">
      <c r="A182" s="252" t="s">
        <v>320</v>
      </c>
      <c r="B182" s="252"/>
      <c r="C182" s="252"/>
      <c r="D182" s="252"/>
      <c r="E182" s="252"/>
    </row>
    <row r="183" spans="1:5" ht="11.4" customHeight="1" x14ac:dyDescent="0.25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863044.39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863044.39</v>
      </c>
      <c r="E186" s="175"/>
    </row>
    <row r="187" spans="1:5" ht="11.4" customHeight="1" x14ac:dyDescent="0.25">
      <c r="A187" s="252" t="s">
        <v>323</v>
      </c>
      <c r="B187" s="252"/>
      <c r="C187" s="252"/>
      <c r="D187" s="252"/>
      <c r="E187" s="252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11329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11329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622796.51</v>
      </c>
      <c r="C195" s="189"/>
      <c r="D195" s="174"/>
      <c r="E195" s="175">
        <f t="shared" ref="E195:E203" si="10">SUM(B195:C195)-D195</f>
        <v>622796.51</v>
      </c>
    </row>
    <row r="196" spans="1:8" ht="12.6" customHeight="1" x14ac:dyDescent="0.25">
      <c r="A196" s="173" t="s">
        <v>333</v>
      </c>
      <c r="B196" s="174">
        <v>587456</v>
      </c>
      <c r="C196" s="189"/>
      <c r="D196" s="174"/>
      <c r="E196" s="175">
        <f t="shared" si="10"/>
        <v>587456</v>
      </c>
    </row>
    <row r="197" spans="1:8" ht="12.6" customHeight="1" x14ac:dyDescent="0.25">
      <c r="A197" s="173" t="s">
        <v>334</v>
      </c>
      <c r="B197" s="174">
        <v>21162488</v>
      </c>
      <c r="C197" s="189"/>
      <c r="D197" s="174"/>
      <c r="E197" s="175">
        <f t="shared" si="10"/>
        <v>21162488</v>
      </c>
    </row>
    <row r="198" spans="1:8" ht="12.6" customHeight="1" x14ac:dyDescent="0.25">
      <c r="A198" s="173" t="s">
        <v>335</v>
      </c>
      <c r="B198" s="174">
        <v>6340258.3600000003</v>
      </c>
      <c r="C198" s="189"/>
      <c r="D198" s="174">
        <v>4026</v>
      </c>
      <c r="E198" s="175">
        <f t="shared" si="10"/>
        <v>6336232.3600000003</v>
      </c>
    </row>
    <row r="199" spans="1:8" ht="12.6" customHeight="1" x14ac:dyDescent="0.25">
      <c r="A199" s="173" t="s">
        <v>336</v>
      </c>
      <c r="B199" s="174">
        <v>979108</v>
      </c>
      <c r="C199" s="189"/>
      <c r="D199" s="174"/>
      <c r="E199" s="175">
        <f t="shared" si="10"/>
        <v>979108</v>
      </c>
    </row>
    <row r="200" spans="1:8" ht="12.6" customHeight="1" x14ac:dyDescent="0.25">
      <c r="A200" s="173" t="s">
        <v>337</v>
      </c>
      <c r="B200" s="174">
        <v>5033834.97</v>
      </c>
      <c r="C200" s="189">
        <v>82816</v>
      </c>
      <c r="D200" s="174"/>
      <c r="E200" s="175">
        <f t="shared" si="10"/>
        <v>5116650.97</v>
      </c>
    </row>
    <row r="201" spans="1:8" ht="12.6" customHeight="1" x14ac:dyDescent="0.25">
      <c r="A201" s="173" t="s">
        <v>338</v>
      </c>
      <c r="B201" s="174">
        <v>686414</v>
      </c>
      <c r="C201" s="189"/>
      <c r="D201" s="174"/>
      <c r="E201" s="175">
        <f t="shared" si="10"/>
        <v>686414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0.25</v>
      </c>
      <c r="C203" s="189">
        <v>20719</v>
      </c>
      <c r="D203" s="174"/>
      <c r="E203" s="175">
        <f t="shared" si="10"/>
        <v>20719.25</v>
      </c>
    </row>
    <row r="204" spans="1:8" ht="12.6" customHeight="1" x14ac:dyDescent="0.25">
      <c r="A204" s="173" t="s">
        <v>203</v>
      </c>
      <c r="B204" s="175">
        <f>SUM(B195:B203)</f>
        <v>35412356.090000004</v>
      </c>
      <c r="C204" s="191">
        <f>SUM(C195:C203)</f>
        <v>103535</v>
      </c>
      <c r="D204" s="175">
        <f>SUM(D195:D203)</f>
        <v>4026</v>
      </c>
      <c r="E204" s="175">
        <f>SUM(E195:E203)</f>
        <v>35511865.090000004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4"/>
    </row>
    <row r="209" spans="1:8" ht="12.6" customHeight="1" x14ac:dyDescent="0.25">
      <c r="A209" s="173" t="s">
        <v>333</v>
      </c>
      <c r="B209" s="174">
        <v>578317.81000000006</v>
      </c>
      <c r="C209" s="189">
        <v>4449</v>
      </c>
      <c r="D209" s="174"/>
      <c r="E209" s="175">
        <f t="shared" ref="E209:E216" si="11">SUM(B209:C209)-D209</f>
        <v>582766.81000000006</v>
      </c>
      <c r="H209" s="254"/>
    </row>
    <row r="210" spans="1:8" ht="12.6" customHeight="1" x14ac:dyDescent="0.25">
      <c r="A210" s="173" t="s">
        <v>334</v>
      </c>
      <c r="B210" s="174">
        <v>12096619.23</v>
      </c>
      <c r="C210" s="189">
        <v>761329</v>
      </c>
      <c r="D210" s="174"/>
      <c r="E210" s="175">
        <f t="shared" si="11"/>
        <v>12857948.23</v>
      </c>
      <c r="H210" s="254"/>
    </row>
    <row r="211" spans="1:8" ht="12.6" customHeight="1" x14ac:dyDescent="0.25">
      <c r="A211" s="173" t="s">
        <v>335</v>
      </c>
      <c r="B211" s="174">
        <v>4366810.91</v>
      </c>
      <c r="C211" s="189">
        <v>132371</v>
      </c>
      <c r="D211" s="174"/>
      <c r="E211" s="175">
        <f t="shared" si="11"/>
        <v>4499181.91</v>
      </c>
      <c r="H211" s="254"/>
    </row>
    <row r="212" spans="1:8" ht="12.6" customHeight="1" x14ac:dyDescent="0.25">
      <c r="A212" s="173" t="s">
        <v>336</v>
      </c>
      <c r="B212" s="174">
        <v>953283.86</v>
      </c>
      <c r="C212" s="189">
        <v>9193</v>
      </c>
      <c r="D212" s="174"/>
      <c r="E212" s="175">
        <f t="shared" si="11"/>
        <v>962476.86</v>
      </c>
      <c r="H212" s="254"/>
    </row>
    <row r="213" spans="1:8" ht="12.6" customHeight="1" x14ac:dyDescent="0.25">
      <c r="A213" s="173" t="s">
        <v>337</v>
      </c>
      <c r="B213" s="174">
        <v>3737939.4600000004</v>
      </c>
      <c r="C213" s="189">
        <f>282252-24816</f>
        <v>257436</v>
      </c>
      <c r="D213" s="174">
        <v>-24816</v>
      </c>
      <c r="E213" s="175">
        <f t="shared" si="11"/>
        <v>4020191.4600000004</v>
      </c>
      <c r="H213" s="254"/>
    </row>
    <row r="214" spans="1:8" ht="12.6" customHeight="1" x14ac:dyDescent="0.25">
      <c r="A214" s="173" t="s">
        <v>338</v>
      </c>
      <c r="B214" s="174">
        <v>686413.89</v>
      </c>
      <c r="C214" s="189"/>
      <c r="D214" s="174"/>
      <c r="E214" s="175">
        <f t="shared" si="11"/>
        <v>686413.89</v>
      </c>
      <c r="H214" s="254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4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4"/>
    </row>
    <row r="217" spans="1:8" ht="12.6" customHeight="1" x14ac:dyDescent="0.25">
      <c r="A217" s="173" t="s">
        <v>203</v>
      </c>
      <c r="B217" s="175">
        <f>SUM(B208:B216)</f>
        <v>22419385.160000004</v>
      </c>
      <c r="C217" s="191">
        <f>SUM(C208:C216)</f>
        <v>1164778</v>
      </c>
      <c r="D217" s="175">
        <f>SUM(D208:D216)</f>
        <v>-24816</v>
      </c>
      <c r="E217" s="175">
        <f>SUM(E208:E216)</f>
        <v>23608979.160000004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88" t="s">
        <v>990</v>
      </c>
      <c r="C220" s="288"/>
      <c r="D220" s="205"/>
      <c r="E220" s="205"/>
    </row>
    <row r="221" spans="1:8" ht="12.6" customHeight="1" x14ac:dyDescent="0.25">
      <c r="A221" s="267" t="s">
        <v>990</v>
      </c>
      <c r="B221" s="205"/>
      <c r="C221" s="189">
        <v>2348863</v>
      </c>
      <c r="D221" s="172">
        <f>C221</f>
        <v>2348863</v>
      </c>
      <c r="E221" s="205"/>
    </row>
    <row r="222" spans="1:8" ht="12.6" customHeight="1" x14ac:dyDescent="0.25">
      <c r="A222" s="252" t="s">
        <v>343</v>
      </c>
      <c r="B222" s="252"/>
      <c r="C222" s="252"/>
      <c r="D222" s="252"/>
      <c r="E222" s="252"/>
    </row>
    <row r="223" spans="1:8" ht="12.6" customHeight="1" x14ac:dyDescent="0.25">
      <c r="A223" s="173" t="s">
        <v>344</v>
      </c>
      <c r="B223" s="172" t="s">
        <v>256</v>
      </c>
      <c r="C223" s="189">
        <v>33221261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17294873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18857157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69373291</v>
      </c>
      <c r="E229" s="175"/>
    </row>
    <row r="230" spans="1:5" ht="12.6" customHeight="1" x14ac:dyDescent="0.25">
      <c r="A230" s="252" t="s">
        <v>351</v>
      </c>
      <c r="B230" s="252"/>
      <c r="C230" s="252"/>
      <c r="D230" s="252"/>
      <c r="E230" s="252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916085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916085</v>
      </c>
      <c r="E236" s="175"/>
    </row>
    <row r="237" spans="1:5" ht="12.6" customHeight="1" x14ac:dyDescent="0.25">
      <c r="A237" s="252" t="s">
        <v>356</v>
      </c>
      <c r="B237" s="252"/>
      <c r="C237" s="252"/>
      <c r="D237" s="252"/>
      <c r="E237" s="252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72638239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2" t="s">
        <v>361</v>
      </c>
      <c r="B249" s="252"/>
      <c r="C249" s="252"/>
      <c r="D249" s="252"/>
      <c r="E249" s="252"/>
    </row>
    <row r="250" spans="1:5" ht="12.45" customHeight="1" x14ac:dyDescent="0.25">
      <c r="A250" s="173" t="s">
        <v>362</v>
      </c>
      <c r="B250" s="172" t="s">
        <v>256</v>
      </c>
      <c r="C250" s="189">
        <v>925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27038071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17825251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308584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161958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39828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9724115</v>
      </c>
      <c r="E260" s="175"/>
    </row>
    <row r="261" spans="1:5" ht="11.25" customHeight="1" x14ac:dyDescent="0.25">
      <c r="A261" s="252" t="s">
        <v>372</v>
      </c>
      <c r="B261" s="252"/>
      <c r="C261" s="252"/>
      <c r="D261" s="252"/>
      <c r="E261" s="252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2" t="s">
        <v>375</v>
      </c>
      <c r="B266" s="252"/>
      <c r="C266" s="252"/>
      <c r="D266" s="252"/>
      <c r="E266" s="252"/>
    </row>
    <row r="267" spans="1:5" ht="12.45" customHeight="1" x14ac:dyDescent="0.25">
      <c r="A267" s="173" t="s">
        <v>332</v>
      </c>
      <c r="B267" s="172" t="s">
        <v>256</v>
      </c>
      <c r="C267" s="189">
        <v>622797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587456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21162488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6336232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979108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5803065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20719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35511865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23608979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11902886</v>
      </c>
      <c r="E277" s="175"/>
    </row>
    <row r="278" spans="1:5" ht="12.6" customHeight="1" x14ac:dyDescent="0.25">
      <c r="A278" s="252" t="s">
        <v>382</v>
      </c>
      <c r="B278" s="252"/>
      <c r="C278" s="252"/>
      <c r="D278" s="252"/>
      <c r="E278" s="252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400621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400621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2" t="s">
        <v>387</v>
      </c>
      <c r="B285" s="252"/>
      <c r="C285" s="252"/>
      <c r="D285" s="252"/>
      <c r="E285" s="252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22027622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2" t="s">
        <v>395</v>
      </c>
      <c r="B303" s="252"/>
      <c r="C303" s="252"/>
      <c r="D303" s="252"/>
      <c r="E303" s="252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985602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3157280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189">
        <v>444694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18903+20348691+925</f>
        <v>20368519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24956095</v>
      </c>
      <c r="E314" s="175"/>
    </row>
    <row r="315" spans="1:5" ht="12.6" customHeight="1" x14ac:dyDescent="0.25">
      <c r="A315" s="252" t="s">
        <v>406</v>
      </c>
      <c r="B315" s="252"/>
      <c r="C315" s="252"/>
      <c r="D315" s="252"/>
      <c r="E315" s="252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2" t="s">
        <v>411</v>
      </c>
      <c r="B320" s="252"/>
      <c r="C320" s="252"/>
      <c r="D320" s="252"/>
      <c r="E320" s="252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148000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148000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148000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f>847576-3924049</f>
        <v>-3076473</v>
      </c>
      <c r="D332" s="175"/>
      <c r="E332" s="175"/>
    </row>
    <row r="333" spans="1:5" ht="12.6" customHeight="1" x14ac:dyDescent="0.25">
      <c r="A333" s="173"/>
      <c r="B333" s="172"/>
      <c r="C333" s="227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22027622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22027622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2" t="s">
        <v>427</v>
      </c>
      <c r="B358" s="252"/>
      <c r="C358" s="252"/>
      <c r="D358" s="252"/>
      <c r="E358" s="252"/>
    </row>
    <row r="359" spans="1:5" ht="12.6" customHeight="1" x14ac:dyDescent="0.25">
      <c r="A359" s="173" t="s">
        <v>428</v>
      </c>
      <c r="B359" s="172" t="s">
        <v>256</v>
      </c>
      <c r="C359" s="189">
        <v>77333071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40359763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117692834</v>
      </c>
      <c r="E361" s="175"/>
    </row>
    <row r="362" spans="1:5" ht="12.6" customHeight="1" x14ac:dyDescent="0.25">
      <c r="A362" s="252" t="s">
        <v>431</v>
      </c>
      <c r="B362" s="252"/>
      <c r="C362" s="252"/>
      <c r="D362" s="252"/>
      <c r="E362" s="252"/>
    </row>
    <row r="363" spans="1:5" ht="12.6" customHeight="1" x14ac:dyDescent="0.25">
      <c r="A363" s="173" t="s">
        <v>990</v>
      </c>
      <c r="B363" s="252"/>
      <c r="C363" s="189">
        <v>2348863</v>
      </c>
      <c r="D363" s="175"/>
      <c r="E363" s="252"/>
    </row>
    <row r="364" spans="1:5" ht="12.6" customHeight="1" x14ac:dyDescent="0.25">
      <c r="A364" s="173" t="s">
        <v>432</v>
      </c>
      <c r="B364" s="172" t="s">
        <v>256</v>
      </c>
      <c r="C364" s="189">
        <v>69373291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916085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72638239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45054595</v>
      </c>
      <c r="E368" s="175"/>
    </row>
    <row r="369" spans="1:5" ht="12.6" customHeight="1" x14ac:dyDescent="0.25">
      <c r="A369" s="252" t="s">
        <v>436</v>
      </c>
      <c r="B369" s="252"/>
      <c r="C369" s="252"/>
      <c r="D369" s="252"/>
      <c r="E369" s="252"/>
    </row>
    <row r="370" spans="1:5" ht="12.6" customHeight="1" x14ac:dyDescent="0.25">
      <c r="A370" s="173" t="s">
        <v>437</v>
      </c>
      <c r="B370" s="172" t="s">
        <v>256</v>
      </c>
      <c r="C370" s="189">
        <v>2678882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2678882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47733477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2" t="s">
        <v>441</v>
      </c>
      <c r="B377" s="252"/>
      <c r="C377" s="252"/>
      <c r="D377" s="252"/>
      <c r="E377" s="252"/>
    </row>
    <row r="378" spans="1:5" ht="12.6" customHeight="1" x14ac:dyDescent="0.25">
      <c r="A378" s="173" t="s">
        <v>442</v>
      </c>
      <c r="B378" s="172" t="s">
        <v>256</v>
      </c>
      <c r="C378" s="189">
        <v>31967786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7504595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470303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2123685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593687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5624423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1164777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882081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13364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863044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11328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482580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51701653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-3968176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44127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-3924049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-3924049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5"/>
    </row>
    <row r="412" spans="1:5" ht="12.6" customHeight="1" x14ac:dyDescent="0.25">
      <c r="A412" s="179" t="str">
        <f>C84&amp;"   "&amp;"H-"&amp;FIXED(C83,0,TRUE)&amp;"     FYE "&amp;C82</f>
        <v>St. Luke's Rehabilitation Institute   H-0     FYE 12/31/2018</v>
      </c>
      <c r="B412" s="179"/>
      <c r="C412" s="179"/>
      <c r="D412" s="179"/>
      <c r="E412" s="255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1304</v>
      </c>
      <c r="C414" s="194">
        <f>E138</f>
        <v>1304</v>
      </c>
      <c r="D414" s="179"/>
    </row>
    <row r="415" spans="1:5" ht="12.6" customHeight="1" x14ac:dyDescent="0.25">
      <c r="A415" s="179" t="s">
        <v>464</v>
      </c>
      <c r="B415" s="179">
        <f>D111</f>
        <v>20305</v>
      </c>
      <c r="C415" s="179">
        <f>E139</f>
        <v>20305</v>
      </c>
      <c r="D415" s="194">
        <f>SUM(C59:H59)+N59</f>
        <v>20305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31967786</v>
      </c>
      <c r="C427" s="179">
        <f t="shared" ref="C427:C434" si="13">CE61</f>
        <v>31967784</v>
      </c>
      <c r="D427" s="179"/>
    </row>
    <row r="428" spans="1:7" ht="12.6" customHeight="1" x14ac:dyDescent="0.25">
      <c r="A428" s="179" t="s">
        <v>3</v>
      </c>
      <c r="B428" s="179">
        <f t="shared" si="12"/>
        <v>7504595</v>
      </c>
      <c r="C428" s="179">
        <f t="shared" si="13"/>
        <v>7504593</v>
      </c>
      <c r="D428" s="179">
        <f>D173</f>
        <v>7504594.7200000007</v>
      </c>
    </row>
    <row r="429" spans="1:7" ht="12.6" customHeight="1" x14ac:dyDescent="0.25">
      <c r="A429" s="179" t="s">
        <v>236</v>
      </c>
      <c r="B429" s="179">
        <f t="shared" si="12"/>
        <v>470303</v>
      </c>
      <c r="C429" s="179">
        <f t="shared" si="13"/>
        <v>470304</v>
      </c>
      <c r="D429" s="179"/>
    </row>
    <row r="430" spans="1:7" ht="12.6" customHeight="1" x14ac:dyDescent="0.25">
      <c r="A430" s="179" t="s">
        <v>237</v>
      </c>
      <c r="B430" s="179">
        <f t="shared" si="12"/>
        <v>2123685</v>
      </c>
      <c r="C430" s="179">
        <f t="shared" si="13"/>
        <v>2123687</v>
      </c>
      <c r="D430" s="179"/>
    </row>
    <row r="431" spans="1:7" ht="12.6" customHeight="1" x14ac:dyDescent="0.25">
      <c r="A431" s="179" t="s">
        <v>444</v>
      </c>
      <c r="B431" s="179">
        <f t="shared" si="12"/>
        <v>593687</v>
      </c>
      <c r="C431" s="179">
        <f t="shared" si="13"/>
        <v>593685</v>
      </c>
      <c r="D431" s="179"/>
    </row>
    <row r="432" spans="1:7" ht="12.6" customHeight="1" x14ac:dyDescent="0.25">
      <c r="A432" s="179" t="s">
        <v>445</v>
      </c>
      <c r="B432" s="179">
        <f t="shared" si="12"/>
        <v>5624423</v>
      </c>
      <c r="C432" s="179">
        <f t="shared" si="13"/>
        <v>5624424</v>
      </c>
      <c r="D432" s="179"/>
    </row>
    <row r="433" spans="1:7" ht="12.6" customHeight="1" x14ac:dyDescent="0.25">
      <c r="A433" s="179" t="s">
        <v>6</v>
      </c>
      <c r="B433" s="179">
        <f t="shared" si="12"/>
        <v>1164777</v>
      </c>
      <c r="C433" s="179">
        <f t="shared" si="13"/>
        <v>1164778</v>
      </c>
      <c r="D433" s="179">
        <f>C217</f>
        <v>1164778</v>
      </c>
    </row>
    <row r="434" spans="1:7" ht="12.6" customHeight="1" x14ac:dyDescent="0.25">
      <c r="A434" s="179" t="s">
        <v>474</v>
      </c>
      <c r="B434" s="179">
        <f t="shared" si="12"/>
        <v>882081</v>
      </c>
      <c r="C434" s="179">
        <f t="shared" si="13"/>
        <v>882081</v>
      </c>
      <c r="D434" s="179">
        <f>D177</f>
        <v>882080.92999999993</v>
      </c>
    </row>
    <row r="435" spans="1:7" ht="12.6" customHeight="1" x14ac:dyDescent="0.25">
      <c r="A435" s="179" t="s">
        <v>447</v>
      </c>
      <c r="B435" s="179">
        <f t="shared" si="12"/>
        <v>13364</v>
      </c>
      <c r="C435" s="179"/>
      <c r="D435" s="179">
        <f>D181</f>
        <v>13364</v>
      </c>
    </row>
    <row r="436" spans="1:7" ht="12.6" customHeight="1" x14ac:dyDescent="0.25">
      <c r="A436" s="179" t="s">
        <v>475</v>
      </c>
      <c r="B436" s="179">
        <f t="shared" si="12"/>
        <v>863044</v>
      </c>
      <c r="C436" s="179"/>
      <c r="D436" s="179">
        <f>D186</f>
        <v>863044.39</v>
      </c>
    </row>
    <row r="437" spans="1:7" ht="12.6" customHeight="1" x14ac:dyDescent="0.25">
      <c r="A437" s="194" t="s">
        <v>449</v>
      </c>
      <c r="B437" s="194">
        <f t="shared" si="12"/>
        <v>11328</v>
      </c>
      <c r="C437" s="194"/>
      <c r="D437" s="194">
        <f>D190</f>
        <v>11329</v>
      </c>
    </row>
    <row r="438" spans="1:7" ht="12.6" customHeight="1" x14ac:dyDescent="0.25">
      <c r="A438" s="194" t="s">
        <v>476</v>
      </c>
      <c r="B438" s="194">
        <f>C386+C387+C388</f>
        <v>887736</v>
      </c>
      <c r="C438" s="194">
        <f>CD69</f>
        <v>887737</v>
      </c>
      <c r="D438" s="194">
        <f>D181+D186+D190</f>
        <v>887737.39</v>
      </c>
    </row>
    <row r="439" spans="1:7" ht="12.6" customHeight="1" x14ac:dyDescent="0.25">
      <c r="A439" s="179" t="s">
        <v>451</v>
      </c>
      <c r="B439" s="194">
        <f>C389</f>
        <v>482580</v>
      </c>
      <c r="C439" s="194">
        <f>SUM(C69:CC69)</f>
        <v>482578</v>
      </c>
      <c r="D439" s="179"/>
    </row>
    <row r="440" spans="1:7" ht="12.6" customHeight="1" x14ac:dyDescent="0.25">
      <c r="A440" s="179" t="s">
        <v>477</v>
      </c>
      <c r="B440" s="194">
        <f>B438+B439</f>
        <v>1370316</v>
      </c>
      <c r="C440" s="194">
        <f>CE69</f>
        <v>1370315</v>
      </c>
      <c r="D440" s="179"/>
    </row>
    <row r="441" spans="1:7" ht="12.6" customHeight="1" x14ac:dyDescent="0.25">
      <c r="A441" s="179" t="s">
        <v>478</v>
      </c>
      <c r="B441" s="179">
        <f>D390</f>
        <v>51701653</v>
      </c>
      <c r="C441" s="179">
        <f>SUM(C427:C437)+C440</f>
        <v>51701651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2348863</v>
      </c>
      <c r="C444" s="179">
        <f>C363</f>
        <v>2348863</v>
      </c>
      <c r="D444" s="179"/>
    </row>
    <row r="445" spans="1:7" ht="12.6" customHeight="1" x14ac:dyDescent="0.25">
      <c r="A445" s="179" t="s">
        <v>343</v>
      </c>
      <c r="B445" s="179">
        <f>D229</f>
        <v>69373291</v>
      </c>
      <c r="C445" s="179">
        <f>C364</f>
        <v>69373291</v>
      </c>
      <c r="D445" s="179"/>
    </row>
    <row r="446" spans="1:7" ht="12.6" customHeight="1" x14ac:dyDescent="0.25">
      <c r="A446" s="179" t="s">
        <v>351</v>
      </c>
      <c r="B446" s="179">
        <f>D236</f>
        <v>916085</v>
      </c>
      <c r="C446" s="179">
        <f>C365</f>
        <v>916085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72638239</v>
      </c>
      <c r="C448" s="179">
        <f>D367</f>
        <v>72638239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916085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2678882</v>
      </c>
      <c r="C458" s="194">
        <f>CE70</f>
        <v>2678882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77333071</v>
      </c>
      <c r="C463" s="194">
        <f>CE73</f>
        <v>77333070</v>
      </c>
      <c r="D463" s="194">
        <f>E141+E147+E153</f>
        <v>77333070</v>
      </c>
    </row>
    <row r="464" spans="1:7" ht="12.6" customHeight="1" x14ac:dyDescent="0.25">
      <c r="A464" s="179" t="s">
        <v>246</v>
      </c>
      <c r="B464" s="194">
        <f>C360</f>
        <v>40359763</v>
      </c>
      <c r="C464" s="194">
        <f>CE74</f>
        <v>40359763</v>
      </c>
      <c r="D464" s="194">
        <f>E142+E148+E154</f>
        <v>40359762</v>
      </c>
    </row>
    <row r="465" spans="1:7" ht="12.6" customHeight="1" x14ac:dyDescent="0.25">
      <c r="A465" s="179" t="s">
        <v>247</v>
      </c>
      <c r="B465" s="194">
        <f>D361</f>
        <v>117692834</v>
      </c>
      <c r="C465" s="194">
        <f>CE75</f>
        <v>117692833</v>
      </c>
      <c r="D465" s="194">
        <f>D463+D464</f>
        <v>117692832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622797</v>
      </c>
      <c r="C468" s="179">
        <f>E195</f>
        <v>622796.51</v>
      </c>
      <c r="D468" s="179"/>
    </row>
    <row r="469" spans="1:7" ht="12.6" customHeight="1" x14ac:dyDescent="0.25">
      <c r="A469" s="179" t="s">
        <v>333</v>
      </c>
      <c r="B469" s="179">
        <f t="shared" si="14"/>
        <v>587456</v>
      </c>
      <c r="C469" s="179">
        <f>E196</f>
        <v>587456</v>
      </c>
      <c r="D469" s="179"/>
    </row>
    <row r="470" spans="1:7" ht="12.6" customHeight="1" x14ac:dyDescent="0.25">
      <c r="A470" s="179" t="s">
        <v>334</v>
      </c>
      <c r="B470" s="179">
        <f t="shared" si="14"/>
        <v>21162488</v>
      </c>
      <c r="C470" s="179">
        <f>E197</f>
        <v>21162488</v>
      </c>
      <c r="D470" s="179"/>
    </row>
    <row r="471" spans="1:7" ht="12.6" customHeight="1" x14ac:dyDescent="0.25">
      <c r="A471" s="179" t="s">
        <v>494</v>
      </c>
      <c r="B471" s="179">
        <f t="shared" si="14"/>
        <v>6336232</v>
      </c>
      <c r="C471" s="179">
        <f>E198</f>
        <v>6336232.3600000003</v>
      </c>
      <c r="D471" s="179"/>
    </row>
    <row r="472" spans="1:7" ht="12.6" customHeight="1" x14ac:dyDescent="0.25">
      <c r="A472" s="179" t="s">
        <v>377</v>
      </c>
      <c r="B472" s="179">
        <f t="shared" si="14"/>
        <v>979108</v>
      </c>
      <c r="C472" s="179">
        <f>E199</f>
        <v>979108</v>
      </c>
      <c r="D472" s="179"/>
    </row>
    <row r="473" spans="1:7" ht="12.6" customHeight="1" x14ac:dyDescent="0.25">
      <c r="A473" s="179" t="s">
        <v>495</v>
      </c>
      <c r="B473" s="179">
        <f t="shared" si="14"/>
        <v>5803065</v>
      </c>
      <c r="C473" s="179">
        <f>SUM(E200:E201)</f>
        <v>5803064.9699999997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20719</v>
      </c>
      <c r="C475" s="179">
        <f>E203</f>
        <v>20719.25</v>
      </c>
      <c r="D475" s="179"/>
    </row>
    <row r="476" spans="1:7" ht="12.6" customHeight="1" x14ac:dyDescent="0.25">
      <c r="A476" s="179" t="s">
        <v>203</v>
      </c>
      <c r="B476" s="179">
        <f>D275</f>
        <v>35511865</v>
      </c>
      <c r="C476" s="179">
        <f>E204</f>
        <v>35511865.090000004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23608979</v>
      </c>
      <c r="C478" s="179">
        <f>E217</f>
        <v>23608979.160000004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22027622</v>
      </c>
    </row>
    <row r="482" spans="1:12" ht="12.6" customHeight="1" x14ac:dyDescent="0.25">
      <c r="A482" s="180" t="s">
        <v>499</v>
      </c>
      <c r="C482" s="180">
        <f>D339</f>
        <v>22027622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157</v>
      </c>
      <c r="B493" s="256" t="s">
        <v>1001</v>
      </c>
      <c r="C493" s="256" t="str">
        <f>RIGHT(C82,4)</f>
        <v>2018</v>
      </c>
      <c r="D493" s="256" t="s">
        <v>1001</v>
      </c>
      <c r="E493" s="256" t="str">
        <f>RIGHT(C82,4)</f>
        <v>2018</v>
      </c>
      <c r="F493" s="256" t="s">
        <v>1001</v>
      </c>
      <c r="G493" s="256" t="str">
        <f>RIGHT(C82,4)</f>
        <v>2018</v>
      </c>
      <c r="H493" s="256"/>
      <c r="K493" s="256"/>
      <c r="L493" s="256"/>
    </row>
    <row r="494" spans="1:12" ht="12.6" customHeight="1" x14ac:dyDescent="0.25">
      <c r="A494" s="198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5">
      <c r="A496" s="180" t="s">
        <v>512</v>
      </c>
      <c r="B496" s="235">
        <v>0</v>
      </c>
      <c r="C496" s="235">
        <f>C71</f>
        <v>0</v>
      </c>
      <c r="D496" s="235">
        <v>0</v>
      </c>
      <c r="E496" s="180">
        <f>C59</f>
        <v>0</v>
      </c>
      <c r="F496" s="258" t="str">
        <f t="shared" ref="F496:G511" si="15">IF(B496=0,"",IF(D496=0,"",B496/D496))</f>
        <v/>
      </c>
      <c r="G496" s="259" t="str">
        <f t="shared" si="15"/>
        <v/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5">
      <c r="A497" s="180" t="s">
        <v>513</v>
      </c>
      <c r="B497" s="235">
        <v>0</v>
      </c>
      <c r="C497" s="235">
        <f>D71</f>
        <v>0</v>
      </c>
      <c r="D497" s="235"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5">
      <c r="A498" s="180" t="s">
        <v>514</v>
      </c>
      <c r="B498" s="235">
        <v>0</v>
      </c>
      <c r="C498" s="235">
        <f>E71</f>
        <v>0</v>
      </c>
      <c r="D498" s="235">
        <v>0</v>
      </c>
      <c r="E498" s="180">
        <f>E59</f>
        <v>0</v>
      </c>
      <c r="F498" s="258" t="str">
        <f t="shared" si="15"/>
        <v/>
      </c>
      <c r="G498" s="258" t="str">
        <f t="shared" si="15"/>
        <v/>
      </c>
      <c r="H498" s="260" t="str">
        <f t="shared" si="16"/>
        <v/>
      </c>
      <c r="I498" s="262"/>
      <c r="K498" s="256"/>
      <c r="L498" s="256"/>
    </row>
    <row r="499" spans="1:12" ht="12.6" customHeight="1" x14ac:dyDescent="0.25">
      <c r="A499" s="180" t="s">
        <v>515</v>
      </c>
      <c r="B499" s="235">
        <v>0</v>
      </c>
      <c r="C499" s="235">
        <f>F71</f>
        <v>0</v>
      </c>
      <c r="D499" s="235"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5">
      <c r="A500" s="180" t="s">
        <v>516</v>
      </c>
      <c r="B500" s="235">
        <v>10783627</v>
      </c>
      <c r="C500" s="235">
        <f>G71</f>
        <v>12058904</v>
      </c>
      <c r="D500" s="235">
        <v>19354</v>
      </c>
      <c r="E500" s="180">
        <f>G59</f>
        <v>20305</v>
      </c>
      <c r="F500" s="258">
        <f t="shared" si="15"/>
        <v>557.17820605559575</v>
      </c>
      <c r="G500" s="258">
        <f t="shared" si="15"/>
        <v>593.88840187146025</v>
      </c>
      <c r="H500" s="260" t="str">
        <f t="shared" si="16"/>
        <v/>
      </c>
      <c r="I500" s="262"/>
      <c r="K500" s="256"/>
      <c r="L500" s="256"/>
    </row>
    <row r="501" spans="1:12" ht="12.6" customHeight="1" x14ac:dyDescent="0.25">
      <c r="A501" s="180" t="s">
        <v>517</v>
      </c>
      <c r="B501" s="235">
        <v>0</v>
      </c>
      <c r="C501" s="235">
        <f>H71</f>
        <v>0</v>
      </c>
      <c r="D501" s="235"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5">
      <c r="A502" s="180" t="s">
        <v>518</v>
      </c>
      <c r="B502" s="235">
        <v>0</v>
      </c>
      <c r="C502" s="235">
        <f>I71</f>
        <v>0</v>
      </c>
      <c r="D502" s="235"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5">
      <c r="A503" s="180" t="s">
        <v>519</v>
      </c>
      <c r="B503" s="235">
        <v>0</v>
      </c>
      <c r="C503" s="235">
        <f>J71</f>
        <v>0</v>
      </c>
      <c r="D503" s="235">
        <v>0</v>
      </c>
      <c r="E503" s="180">
        <f>J59</f>
        <v>0</v>
      </c>
      <c r="F503" s="258" t="str">
        <f t="shared" si="15"/>
        <v/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5">
      <c r="A504" s="180" t="s">
        <v>520</v>
      </c>
      <c r="B504" s="235">
        <v>0</v>
      </c>
      <c r="C504" s="235">
        <f>K71</f>
        <v>0</v>
      </c>
      <c r="D504" s="235">
        <v>0</v>
      </c>
      <c r="E504" s="180">
        <f>K59</f>
        <v>0</v>
      </c>
      <c r="F504" s="258" t="str">
        <f t="shared" si="15"/>
        <v/>
      </c>
      <c r="G504" s="258" t="str">
        <f t="shared" si="15"/>
        <v/>
      </c>
      <c r="H504" s="260" t="str">
        <f t="shared" si="16"/>
        <v/>
      </c>
      <c r="I504" s="262"/>
      <c r="K504" s="256"/>
      <c r="L504" s="256"/>
    </row>
    <row r="505" spans="1:12" ht="12.6" customHeight="1" x14ac:dyDescent="0.25">
      <c r="A505" s="180" t="s">
        <v>521</v>
      </c>
      <c r="B505" s="235">
        <v>0</v>
      </c>
      <c r="C505" s="235">
        <f>L71</f>
        <v>0</v>
      </c>
      <c r="D505" s="235">
        <v>0</v>
      </c>
      <c r="E505" s="180">
        <f>L59</f>
        <v>0</v>
      </c>
      <c r="F505" s="258" t="str">
        <f t="shared" si="15"/>
        <v/>
      </c>
      <c r="G505" s="258" t="str">
        <f t="shared" si="15"/>
        <v/>
      </c>
      <c r="H505" s="260" t="str">
        <f t="shared" si="16"/>
        <v/>
      </c>
      <c r="I505" s="262"/>
      <c r="K505" s="256"/>
      <c r="L505" s="256"/>
    </row>
    <row r="506" spans="1:12" ht="12.6" customHeight="1" x14ac:dyDescent="0.25">
      <c r="A506" s="180" t="s">
        <v>522</v>
      </c>
      <c r="B506" s="235">
        <v>0</v>
      </c>
      <c r="C506" s="235">
        <f>M71</f>
        <v>0</v>
      </c>
      <c r="D506" s="235"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5">
      <c r="A507" s="180" t="s">
        <v>523</v>
      </c>
      <c r="B507" s="235">
        <v>0</v>
      </c>
      <c r="C507" s="235">
        <f>N71</f>
        <v>0</v>
      </c>
      <c r="D507" s="235"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5">
      <c r="A508" s="180" t="s">
        <v>524</v>
      </c>
      <c r="B508" s="235">
        <v>0</v>
      </c>
      <c r="C508" s="235">
        <f>O71</f>
        <v>0</v>
      </c>
      <c r="D508" s="235">
        <v>0</v>
      </c>
      <c r="E508" s="180">
        <f>O59</f>
        <v>0</v>
      </c>
      <c r="F508" s="258" t="str">
        <f t="shared" si="15"/>
        <v/>
      </c>
      <c r="G508" s="258" t="str">
        <f t="shared" si="15"/>
        <v/>
      </c>
      <c r="H508" s="260" t="str">
        <f t="shared" si="16"/>
        <v/>
      </c>
      <c r="I508" s="262"/>
      <c r="K508" s="256"/>
      <c r="L508" s="256"/>
    </row>
    <row r="509" spans="1:12" ht="12.6" customHeight="1" x14ac:dyDescent="0.25">
      <c r="A509" s="180" t="s">
        <v>525</v>
      </c>
      <c r="B509" s="235">
        <v>0</v>
      </c>
      <c r="C509" s="235">
        <f>P71</f>
        <v>0</v>
      </c>
      <c r="D509" s="235">
        <v>0</v>
      </c>
      <c r="E509" s="180">
        <f>P59</f>
        <v>0</v>
      </c>
      <c r="F509" s="258" t="str">
        <f t="shared" si="15"/>
        <v/>
      </c>
      <c r="G509" s="258" t="str">
        <f t="shared" si="15"/>
        <v/>
      </c>
      <c r="H509" s="260" t="str">
        <f t="shared" si="16"/>
        <v/>
      </c>
      <c r="I509" s="262"/>
      <c r="K509" s="256"/>
      <c r="L509" s="256"/>
    </row>
    <row r="510" spans="1:12" ht="12.6" customHeight="1" x14ac:dyDescent="0.25">
      <c r="A510" s="180" t="s">
        <v>526</v>
      </c>
      <c r="B510" s="235">
        <v>0</v>
      </c>
      <c r="C510" s="235">
        <f>Q71</f>
        <v>0</v>
      </c>
      <c r="D510" s="235">
        <v>0</v>
      </c>
      <c r="E510" s="180">
        <f>Q59</f>
        <v>0</v>
      </c>
      <c r="F510" s="258" t="str">
        <f t="shared" si="15"/>
        <v/>
      </c>
      <c r="G510" s="258" t="str">
        <f t="shared" si="15"/>
        <v/>
      </c>
      <c r="H510" s="260" t="str">
        <f t="shared" si="16"/>
        <v/>
      </c>
      <c r="I510" s="262"/>
      <c r="K510" s="256"/>
      <c r="L510" s="256"/>
    </row>
    <row r="511" spans="1:12" ht="12.6" customHeight="1" x14ac:dyDescent="0.25">
      <c r="A511" s="180" t="s">
        <v>527</v>
      </c>
      <c r="B511" s="235">
        <v>0</v>
      </c>
      <c r="C511" s="235">
        <f>R71</f>
        <v>0</v>
      </c>
      <c r="D511" s="235">
        <v>0</v>
      </c>
      <c r="E511" s="180">
        <f>R59</f>
        <v>0</v>
      </c>
      <c r="F511" s="258" t="str">
        <f t="shared" si="15"/>
        <v/>
      </c>
      <c r="G511" s="258" t="str">
        <f t="shared" si="15"/>
        <v/>
      </c>
      <c r="H511" s="260" t="str">
        <f t="shared" si="16"/>
        <v/>
      </c>
      <c r="I511" s="262"/>
      <c r="K511" s="256"/>
      <c r="L511" s="256"/>
    </row>
    <row r="512" spans="1:12" ht="12.6" customHeight="1" x14ac:dyDescent="0.25">
      <c r="A512" s="180" t="s">
        <v>528</v>
      </c>
      <c r="B512" s="235">
        <v>96263</v>
      </c>
      <c r="C512" s="235">
        <f>S71</f>
        <v>94136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5">
      <c r="A513" s="180" t="s">
        <v>981</v>
      </c>
      <c r="B513" s="235"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3">
      <c r="A514" s="180" t="s">
        <v>530</v>
      </c>
      <c r="B514" s="235">
        <v>320947</v>
      </c>
      <c r="C514" s="235">
        <f>U71</f>
        <v>221976</v>
      </c>
      <c r="D514" s="235">
        <v>89658</v>
      </c>
      <c r="E514" s="180">
        <f>U59</f>
        <v>95016</v>
      </c>
      <c r="F514" s="258">
        <f t="shared" si="17"/>
        <v>3.5796805639206761</v>
      </c>
      <c r="G514" s="258">
        <f t="shared" si="17"/>
        <v>2.3361960090932055</v>
      </c>
      <c r="H514" s="260">
        <f t="shared" si="16"/>
        <v>-0.34737304980797878</v>
      </c>
      <c r="I514" s="275" t="s">
        <v>1013</v>
      </c>
      <c r="K514" s="256"/>
      <c r="L514" s="256"/>
    </row>
    <row r="515" spans="1:12" ht="12.6" customHeight="1" x14ac:dyDescent="0.25">
      <c r="A515" s="180" t="s">
        <v>531</v>
      </c>
      <c r="B515" s="235">
        <v>0</v>
      </c>
      <c r="C515" s="235">
        <f>V71</f>
        <v>0</v>
      </c>
      <c r="D515" s="235">
        <v>0</v>
      </c>
      <c r="E515" s="180">
        <f>V59</f>
        <v>0</v>
      </c>
      <c r="F515" s="258" t="str">
        <f t="shared" si="17"/>
        <v/>
      </c>
      <c r="G515" s="258" t="str">
        <f t="shared" si="17"/>
        <v/>
      </c>
      <c r="H515" s="260" t="str">
        <f t="shared" si="16"/>
        <v/>
      </c>
      <c r="I515" s="262"/>
      <c r="K515" s="256"/>
      <c r="L515" s="256"/>
    </row>
    <row r="516" spans="1:12" ht="12.6" customHeight="1" x14ac:dyDescent="0.25">
      <c r="A516" s="180" t="s">
        <v>532</v>
      </c>
      <c r="B516" s="235">
        <v>0</v>
      </c>
      <c r="C516" s="235">
        <f>W71</f>
        <v>0</v>
      </c>
      <c r="D516" s="235">
        <v>48</v>
      </c>
      <c r="E516" s="180">
        <f>W59</f>
        <v>44</v>
      </c>
      <c r="F516" s="258" t="str">
        <f t="shared" si="17"/>
        <v/>
      </c>
      <c r="G516" s="258" t="str">
        <f t="shared" si="17"/>
        <v/>
      </c>
      <c r="H516" s="260" t="str">
        <f t="shared" si="16"/>
        <v/>
      </c>
      <c r="I516" s="262"/>
      <c r="K516" s="256"/>
      <c r="L516" s="256"/>
    </row>
    <row r="517" spans="1:12" ht="12.6" customHeight="1" x14ac:dyDescent="0.25">
      <c r="A517" s="180" t="s">
        <v>533</v>
      </c>
      <c r="B517" s="235">
        <v>0</v>
      </c>
      <c r="C517" s="235">
        <f>X71</f>
        <v>0</v>
      </c>
      <c r="D517" s="235">
        <v>131</v>
      </c>
      <c r="E517" s="180">
        <f>X59</f>
        <v>152</v>
      </c>
      <c r="F517" s="258" t="str">
        <f t="shared" si="17"/>
        <v/>
      </c>
      <c r="G517" s="258" t="str">
        <f t="shared" si="17"/>
        <v/>
      </c>
      <c r="H517" s="260" t="str">
        <f t="shared" si="16"/>
        <v/>
      </c>
      <c r="I517" s="262"/>
      <c r="K517" s="256"/>
      <c r="L517" s="256"/>
    </row>
    <row r="518" spans="1:12" ht="12.6" customHeight="1" x14ac:dyDescent="0.3">
      <c r="A518" s="180" t="s">
        <v>534</v>
      </c>
      <c r="B518" s="235">
        <v>16947</v>
      </c>
      <c r="C518" s="235">
        <f>Y71</f>
        <v>46949</v>
      </c>
      <c r="D518" s="235">
        <v>200</v>
      </c>
      <c r="E518" s="180">
        <f>Y59</f>
        <v>292</v>
      </c>
      <c r="F518" s="258">
        <f t="shared" si="17"/>
        <v>84.734999999999999</v>
      </c>
      <c r="G518" s="258">
        <f t="shared" si="17"/>
        <v>160.78424657534248</v>
      </c>
      <c r="H518" s="260">
        <f t="shared" si="16"/>
        <v>0.89749509146565742</v>
      </c>
      <c r="I518" s="275" t="s">
        <v>1014</v>
      </c>
      <c r="K518" s="256"/>
      <c r="L518" s="256"/>
    </row>
    <row r="519" spans="1:12" ht="12.6" customHeight="1" x14ac:dyDescent="0.25">
      <c r="A519" s="180" t="s">
        <v>535</v>
      </c>
      <c r="B519" s="235">
        <v>0</v>
      </c>
      <c r="C519" s="235">
        <f>Z71</f>
        <v>0</v>
      </c>
      <c r="D519" s="235">
        <v>0</v>
      </c>
      <c r="E519" s="180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" customHeight="1" x14ac:dyDescent="0.25">
      <c r="A520" s="180" t="s">
        <v>536</v>
      </c>
      <c r="B520" s="235">
        <v>0</v>
      </c>
      <c r="C520" s="235">
        <f>AA71</f>
        <v>0</v>
      </c>
      <c r="D520" s="235">
        <v>1</v>
      </c>
      <c r="E520" s="180">
        <f>AA59</f>
        <v>6</v>
      </c>
      <c r="F520" s="258" t="str">
        <f t="shared" si="17"/>
        <v/>
      </c>
      <c r="G520" s="258" t="str">
        <f t="shared" si="17"/>
        <v/>
      </c>
      <c r="H520" s="260" t="str">
        <f t="shared" si="16"/>
        <v/>
      </c>
      <c r="I520" s="262"/>
      <c r="K520" s="256"/>
      <c r="L520" s="256"/>
    </row>
    <row r="521" spans="1:12" ht="12.6" customHeight="1" x14ac:dyDescent="0.25">
      <c r="A521" s="180" t="s">
        <v>537</v>
      </c>
      <c r="B521" s="235">
        <v>1375618</v>
      </c>
      <c r="C521" s="235">
        <f>AB71</f>
        <v>1422863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5">
      <c r="A522" s="180" t="s">
        <v>538</v>
      </c>
      <c r="B522" s="235">
        <v>555004</v>
      </c>
      <c r="C522" s="235">
        <f>AC71</f>
        <v>635525</v>
      </c>
      <c r="D522" s="235">
        <v>7729</v>
      </c>
      <c r="E522" s="180">
        <f>AC59</f>
        <v>8580</v>
      </c>
      <c r="F522" s="258">
        <f t="shared" si="17"/>
        <v>71.807995859748999</v>
      </c>
      <c r="G522" s="258">
        <f t="shared" si="17"/>
        <v>74.070512820512818</v>
      </c>
      <c r="H522" s="260" t="str">
        <f t="shared" si="16"/>
        <v/>
      </c>
      <c r="I522" s="262"/>
      <c r="K522" s="256"/>
      <c r="L522" s="256"/>
    </row>
    <row r="523" spans="1:12" ht="12.6" customHeight="1" x14ac:dyDescent="0.25">
      <c r="A523" s="180" t="s">
        <v>539</v>
      </c>
      <c r="B523" s="235">
        <v>0</v>
      </c>
      <c r="C523" s="235">
        <f>AD71</f>
        <v>0</v>
      </c>
      <c r="D523" s="235"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5">
      <c r="A524" s="180" t="s">
        <v>540</v>
      </c>
      <c r="B524" s="235">
        <v>2753564</v>
      </c>
      <c r="C524" s="235">
        <f>AE71</f>
        <v>3051556</v>
      </c>
      <c r="D524" s="235">
        <v>98597</v>
      </c>
      <c r="E524" s="180">
        <f>AE59</f>
        <v>104843</v>
      </c>
      <c r="F524" s="258">
        <f t="shared" si="17"/>
        <v>27.927462296013065</v>
      </c>
      <c r="G524" s="258">
        <f t="shared" si="17"/>
        <v>29.105958433085661</v>
      </c>
      <c r="H524" s="260" t="str">
        <f t="shared" si="16"/>
        <v/>
      </c>
      <c r="I524" s="262"/>
      <c r="K524" s="256"/>
      <c r="L524" s="256"/>
    </row>
    <row r="525" spans="1:12" ht="12.6" customHeight="1" x14ac:dyDescent="0.25">
      <c r="A525" s="180" t="s">
        <v>541</v>
      </c>
      <c r="B525" s="235">
        <v>200293</v>
      </c>
      <c r="C525" s="235">
        <f>AF71</f>
        <v>275378</v>
      </c>
      <c r="D525" s="235">
        <v>7125</v>
      </c>
      <c r="E525" s="180">
        <f>AF59</f>
        <v>11149</v>
      </c>
      <c r="F525" s="258">
        <f t="shared" si="17"/>
        <v>28.111298245614034</v>
      </c>
      <c r="G525" s="258">
        <f t="shared" si="17"/>
        <v>24.699793703471162</v>
      </c>
      <c r="H525" s="260" t="str">
        <f t="shared" si="16"/>
        <v/>
      </c>
      <c r="I525" s="262"/>
      <c r="K525" s="256"/>
      <c r="L525" s="256"/>
    </row>
    <row r="526" spans="1:12" ht="12.6" customHeight="1" x14ac:dyDescent="0.25">
      <c r="A526" s="180" t="s">
        <v>542</v>
      </c>
      <c r="B526" s="235">
        <v>0</v>
      </c>
      <c r="C526" s="235">
        <f>AG71</f>
        <v>0</v>
      </c>
      <c r="D526" s="235">
        <v>0</v>
      </c>
      <c r="E526" s="180">
        <f>AG59</f>
        <v>0</v>
      </c>
      <c r="F526" s="258" t="str">
        <f t="shared" si="17"/>
        <v/>
      </c>
      <c r="G526" s="258" t="str">
        <f t="shared" si="17"/>
        <v/>
      </c>
      <c r="H526" s="260" t="str">
        <f t="shared" si="16"/>
        <v/>
      </c>
      <c r="I526" s="262"/>
      <c r="K526" s="256"/>
      <c r="L526" s="256"/>
    </row>
    <row r="527" spans="1:12" ht="12.6" customHeight="1" x14ac:dyDescent="0.25">
      <c r="A527" s="180" t="s">
        <v>543</v>
      </c>
      <c r="B527" s="235">
        <v>0</v>
      </c>
      <c r="C527" s="235">
        <f>AH71</f>
        <v>0</v>
      </c>
      <c r="D527" s="235"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5">
      <c r="A528" s="180" t="s">
        <v>544</v>
      </c>
      <c r="B528" s="235">
        <v>0</v>
      </c>
      <c r="C528" s="235">
        <f>AI71</f>
        <v>0</v>
      </c>
      <c r="D528" s="235"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5">
      <c r="A529" s="180" t="s">
        <v>545</v>
      </c>
      <c r="B529" s="235">
        <v>7709517</v>
      </c>
      <c r="C529" s="235">
        <f>AJ71</f>
        <v>8196805</v>
      </c>
      <c r="D529" s="235">
        <v>64323</v>
      </c>
      <c r="E529" s="180">
        <f>AJ59</f>
        <v>60733</v>
      </c>
      <c r="F529" s="258">
        <f t="shared" si="18"/>
        <v>119.85630334406045</v>
      </c>
      <c r="G529" s="258">
        <f t="shared" si="18"/>
        <v>134.96459914708643</v>
      </c>
      <c r="H529" s="260" t="str">
        <f t="shared" si="16"/>
        <v/>
      </c>
      <c r="I529" s="262"/>
      <c r="K529" s="256"/>
      <c r="L529" s="256"/>
    </row>
    <row r="530" spans="1:12" ht="12.6" customHeight="1" x14ac:dyDescent="0.25">
      <c r="A530" s="180" t="s">
        <v>546</v>
      </c>
      <c r="B530" s="235">
        <v>1513878</v>
      </c>
      <c r="C530" s="235">
        <f>AK71</f>
        <v>1689155</v>
      </c>
      <c r="D530" s="235">
        <v>93895</v>
      </c>
      <c r="E530" s="180">
        <f>AK59</f>
        <v>103353</v>
      </c>
      <c r="F530" s="258">
        <f t="shared" si="18"/>
        <v>16.123094946482773</v>
      </c>
      <c r="G530" s="258">
        <f t="shared" si="18"/>
        <v>16.343550743568159</v>
      </c>
      <c r="H530" s="260" t="str">
        <f t="shared" si="16"/>
        <v/>
      </c>
      <c r="I530" s="262"/>
      <c r="K530" s="256"/>
      <c r="L530" s="256"/>
    </row>
    <row r="531" spans="1:12" ht="12.6" customHeight="1" x14ac:dyDescent="0.3">
      <c r="A531" s="180" t="s">
        <v>547</v>
      </c>
      <c r="B531" s="235">
        <v>592583</v>
      </c>
      <c r="C531" s="235">
        <f>AL71</f>
        <v>672870</v>
      </c>
      <c r="D531" s="235">
        <v>36147</v>
      </c>
      <c r="E531" s="180">
        <f>AL59</f>
        <v>20496</v>
      </c>
      <c r="F531" s="258">
        <f t="shared" si="18"/>
        <v>16.39369795557031</v>
      </c>
      <c r="G531" s="258">
        <f t="shared" si="18"/>
        <v>32.829332552693209</v>
      </c>
      <c r="H531" s="260">
        <f t="shared" si="16"/>
        <v>1.0025580952916324</v>
      </c>
      <c r="I531" s="275" t="s">
        <v>1015</v>
      </c>
      <c r="K531" s="256"/>
      <c r="L531" s="256"/>
    </row>
    <row r="532" spans="1:12" ht="12.6" customHeight="1" x14ac:dyDescent="0.25">
      <c r="A532" s="180" t="s">
        <v>548</v>
      </c>
      <c r="B532" s="235">
        <v>248564</v>
      </c>
      <c r="C532" s="235">
        <f>AM71</f>
        <v>250907</v>
      </c>
      <c r="D532" s="235">
        <v>16980</v>
      </c>
      <c r="E532" s="180">
        <f>AM59</f>
        <v>16131</v>
      </c>
      <c r="F532" s="258">
        <f t="shared" si="18"/>
        <v>14.638633686690223</v>
      </c>
      <c r="G532" s="258">
        <f t="shared" si="18"/>
        <v>15.554336370962742</v>
      </c>
      <c r="H532" s="260" t="str">
        <f t="shared" si="16"/>
        <v/>
      </c>
      <c r="I532" s="262"/>
      <c r="K532" s="256"/>
      <c r="L532" s="256"/>
    </row>
    <row r="533" spans="1:12" ht="12.6" customHeight="1" x14ac:dyDescent="0.25">
      <c r="A533" s="180" t="s">
        <v>982</v>
      </c>
      <c r="B533" s="235">
        <v>0</v>
      </c>
      <c r="C533" s="235">
        <f>AN71</f>
        <v>0</v>
      </c>
      <c r="D533" s="235"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5">
      <c r="A534" s="180" t="s">
        <v>549</v>
      </c>
      <c r="B534" s="235">
        <v>0</v>
      </c>
      <c r="C534" s="235">
        <f>AO71</f>
        <v>0</v>
      </c>
      <c r="D534" s="235">
        <v>0</v>
      </c>
      <c r="E534" s="180">
        <f>AO59</f>
        <v>0</v>
      </c>
      <c r="F534" s="258" t="str">
        <f t="shared" si="18"/>
        <v/>
      </c>
      <c r="G534" s="258" t="str">
        <f t="shared" si="18"/>
        <v/>
      </c>
      <c r="H534" s="260" t="str">
        <f t="shared" si="16"/>
        <v/>
      </c>
      <c r="I534" s="262"/>
      <c r="K534" s="256"/>
      <c r="L534" s="256"/>
    </row>
    <row r="535" spans="1:12" ht="12.6" customHeight="1" x14ac:dyDescent="0.25">
      <c r="A535" s="180" t="s">
        <v>550</v>
      </c>
      <c r="B535" s="235">
        <v>3290839</v>
      </c>
      <c r="C535" s="235">
        <f>AP71</f>
        <v>3811293</v>
      </c>
      <c r="D535" s="235">
        <v>30681</v>
      </c>
      <c r="E535" s="180">
        <f>AP59</f>
        <v>46622</v>
      </c>
      <c r="F535" s="258">
        <f t="shared" si="18"/>
        <v>107.25983507708354</v>
      </c>
      <c r="G535" s="258">
        <f t="shared" si="18"/>
        <v>81.748809574878806</v>
      </c>
      <c r="H535" s="260" t="str">
        <f t="shared" si="16"/>
        <v/>
      </c>
      <c r="I535" s="262"/>
      <c r="K535" s="256"/>
      <c r="L535" s="256"/>
    </row>
    <row r="536" spans="1:12" ht="12.6" customHeight="1" x14ac:dyDescent="0.25">
      <c r="A536" s="180" t="s">
        <v>551</v>
      </c>
      <c r="B536" s="235">
        <v>0</v>
      </c>
      <c r="C536" s="235">
        <f>AQ71</f>
        <v>0</v>
      </c>
      <c r="D536" s="235"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5">
      <c r="A537" s="180" t="s">
        <v>552</v>
      </c>
      <c r="B537" s="235">
        <v>0</v>
      </c>
      <c r="C537" s="235">
        <f>AR71</f>
        <v>0</v>
      </c>
      <c r="D537" s="235"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5">
      <c r="A538" s="180" t="s">
        <v>553</v>
      </c>
      <c r="B538" s="235">
        <v>0</v>
      </c>
      <c r="C538" s="235">
        <f>AS71</f>
        <v>0</v>
      </c>
      <c r="D538" s="235"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5">
      <c r="A539" s="180" t="s">
        <v>554</v>
      </c>
      <c r="B539" s="235">
        <v>0</v>
      </c>
      <c r="C539" s="235">
        <f>AT71</f>
        <v>0</v>
      </c>
      <c r="D539" s="235"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5">
      <c r="A540" s="180" t="s">
        <v>555</v>
      </c>
      <c r="B540" s="235">
        <v>0</v>
      </c>
      <c r="C540" s="235">
        <f>AU71</f>
        <v>0</v>
      </c>
      <c r="D540" s="235"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5">
      <c r="A541" s="180" t="s">
        <v>556</v>
      </c>
      <c r="B541" s="235">
        <v>105353</v>
      </c>
      <c r="C541" s="235">
        <f>AV71</f>
        <v>139083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5">
      <c r="A542" s="180" t="s">
        <v>983</v>
      </c>
      <c r="B542" s="235">
        <v>68912</v>
      </c>
      <c r="C542" s="235">
        <f>AW71</f>
        <v>143953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5">
      <c r="A543" s="180" t="s">
        <v>557</v>
      </c>
      <c r="B543" s="235"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5">
      <c r="A544" s="180" t="s">
        <v>558</v>
      </c>
      <c r="B544" s="235">
        <v>1769463</v>
      </c>
      <c r="C544" s="235">
        <f>AY71</f>
        <v>1831451</v>
      </c>
      <c r="D544" s="235">
        <v>58414</v>
      </c>
      <c r="E544" s="180">
        <f>AY59</f>
        <v>61071</v>
      </c>
      <c r="F544" s="258">
        <f t="shared" ref="F544:G550" si="19">IF(B544=0,"",IF(D544=0,"",B544/D544))</f>
        <v>30.291762248775978</v>
      </c>
      <c r="G544" s="258">
        <f t="shared" si="19"/>
        <v>29.988881793322527</v>
      </c>
      <c r="H544" s="260" t="str">
        <f t="shared" si="16"/>
        <v/>
      </c>
      <c r="I544" s="262"/>
      <c r="K544" s="256"/>
      <c r="L544" s="256"/>
    </row>
    <row r="545" spans="1:13" ht="12.6" customHeight="1" x14ac:dyDescent="0.25">
      <c r="A545" s="180" t="s">
        <v>559</v>
      </c>
      <c r="B545" s="235">
        <v>-345053</v>
      </c>
      <c r="C545" s="235">
        <f>AZ71</f>
        <v>-366831</v>
      </c>
      <c r="D545" s="235">
        <v>0</v>
      </c>
      <c r="E545" s="180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5">
      <c r="A546" s="180" t="s">
        <v>560</v>
      </c>
      <c r="B546" s="235">
        <v>174002</v>
      </c>
      <c r="C546" s="235">
        <f>BA71</f>
        <v>161281</v>
      </c>
      <c r="D546" s="235"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5">
      <c r="A547" s="180" t="s">
        <v>561</v>
      </c>
      <c r="B547" s="235">
        <v>862102</v>
      </c>
      <c r="C547" s="235">
        <f>BB71</f>
        <v>741089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5">
      <c r="A548" s="180" t="s">
        <v>562</v>
      </c>
      <c r="B548" s="235">
        <v>115637</v>
      </c>
      <c r="C548" s="235">
        <f>BC71</f>
        <v>108083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5">
      <c r="A549" s="180" t="s">
        <v>563</v>
      </c>
      <c r="B549" s="235">
        <v>0</v>
      </c>
      <c r="C549" s="235">
        <f>BD71</f>
        <v>0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5">
      <c r="A550" s="180" t="s">
        <v>564</v>
      </c>
      <c r="B550" s="235">
        <v>2356683</v>
      </c>
      <c r="C550" s="235">
        <f>BE71</f>
        <v>2644544</v>
      </c>
      <c r="D550" s="235">
        <v>199573</v>
      </c>
      <c r="E550" s="180">
        <f>BE59</f>
        <v>190169</v>
      </c>
      <c r="F550" s="258">
        <f t="shared" si="19"/>
        <v>11.808626417401152</v>
      </c>
      <c r="G550" s="258">
        <f t="shared" si="19"/>
        <v>13.906283358486398</v>
      </c>
      <c r="H550" s="260" t="str">
        <f t="shared" si="16"/>
        <v/>
      </c>
      <c r="I550" s="262"/>
      <c r="K550" s="256"/>
      <c r="L550" s="256"/>
    </row>
    <row r="551" spans="1:13" ht="12.6" customHeight="1" x14ac:dyDescent="0.25">
      <c r="A551" s="180" t="s">
        <v>565</v>
      </c>
      <c r="B551" s="235">
        <v>755350</v>
      </c>
      <c r="C551" s="235">
        <f>BF71</f>
        <v>808599</v>
      </c>
      <c r="D551" s="181" t="s">
        <v>529</v>
      </c>
      <c r="E551" s="181" t="s">
        <v>529</v>
      </c>
      <c r="F551" s="258"/>
      <c r="G551" s="258"/>
      <c r="H551" s="260"/>
      <c r="I551" s="262"/>
      <c r="J551" s="199"/>
      <c r="M551" s="260"/>
    </row>
    <row r="552" spans="1:13" ht="12.6" customHeight="1" x14ac:dyDescent="0.25">
      <c r="A552" s="180" t="s">
        <v>566</v>
      </c>
      <c r="B552" s="235">
        <v>161644</v>
      </c>
      <c r="C552" s="235">
        <f>BG71</f>
        <v>157618</v>
      </c>
      <c r="D552" s="181" t="s">
        <v>529</v>
      </c>
      <c r="E552" s="181" t="s">
        <v>529</v>
      </c>
      <c r="F552" s="258"/>
      <c r="G552" s="258"/>
      <c r="H552" s="260"/>
      <c r="J552" s="199"/>
      <c r="M552" s="260"/>
    </row>
    <row r="553" spans="1:13" ht="12.6" customHeight="1" x14ac:dyDescent="0.25">
      <c r="A553" s="180" t="s">
        <v>567</v>
      </c>
      <c r="B553" s="235">
        <v>0</v>
      </c>
      <c r="C553" s="235">
        <f>BH71</f>
        <v>0</v>
      </c>
      <c r="D553" s="181" t="s">
        <v>529</v>
      </c>
      <c r="E553" s="181" t="s">
        <v>529</v>
      </c>
      <c r="F553" s="258"/>
      <c r="G553" s="258"/>
      <c r="H553" s="260"/>
      <c r="J553" s="199"/>
      <c r="M553" s="260"/>
    </row>
    <row r="554" spans="1:13" ht="12.6" customHeight="1" x14ac:dyDescent="0.25">
      <c r="A554" s="180" t="s">
        <v>568</v>
      </c>
      <c r="B554" s="235"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9"/>
      <c r="M554" s="260"/>
    </row>
    <row r="555" spans="1:13" ht="12.6" customHeight="1" x14ac:dyDescent="0.25">
      <c r="A555" s="180" t="s">
        <v>569</v>
      </c>
      <c r="B555" s="235">
        <v>0</v>
      </c>
      <c r="C555" s="235">
        <f>BJ71</f>
        <v>0</v>
      </c>
      <c r="D555" s="181" t="s">
        <v>529</v>
      </c>
      <c r="E555" s="181" t="s">
        <v>529</v>
      </c>
      <c r="F555" s="258"/>
      <c r="G555" s="258"/>
      <c r="H555" s="260"/>
      <c r="J555" s="199"/>
      <c r="M555" s="260"/>
    </row>
    <row r="556" spans="1:13" ht="12.6" customHeight="1" x14ac:dyDescent="0.25">
      <c r="A556" s="180" t="s">
        <v>570</v>
      </c>
      <c r="B556" s="235">
        <v>501315</v>
      </c>
      <c r="C556" s="235">
        <f>BK71</f>
        <v>503543</v>
      </c>
      <c r="D556" s="181" t="s">
        <v>529</v>
      </c>
      <c r="E556" s="181" t="s">
        <v>529</v>
      </c>
      <c r="F556" s="258"/>
      <c r="G556" s="258"/>
      <c r="H556" s="260"/>
      <c r="J556" s="199"/>
      <c r="M556" s="260"/>
    </row>
    <row r="557" spans="1:13" ht="12.6" customHeight="1" x14ac:dyDescent="0.25">
      <c r="A557" s="180" t="s">
        <v>571</v>
      </c>
      <c r="B557" s="235">
        <v>1007690</v>
      </c>
      <c r="C557" s="235">
        <f>BL71</f>
        <v>1103305</v>
      </c>
      <c r="D557" s="181" t="s">
        <v>529</v>
      </c>
      <c r="E557" s="181" t="s">
        <v>529</v>
      </c>
      <c r="F557" s="258"/>
      <c r="G557" s="258"/>
      <c r="H557" s="260"/>
      <c r="J557" s="199"/>
      <c r="M557" s="260"/>
    </row>
    <row r="558" spans="1:13" ht="12.6" customHeight="1" x14ac:dyDescent="0.25">
      <c r="A558" s="180" t="s">
        <v>572</v>
      </c>
      <c r="B558" s="235"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9"/>
      <c r="M558" s="260"/>
    </row>
    <row r="559" spans="1:13" ht="12.6" customHeight="1" x14ac:dyDescent="0.25">
      <c r="A559" s="180" t="s">
        <v>573</v>
      </c>
      <c r="B559" s="235">
        <v>4707812</v>
      </c>
      <c r="C559" s="235">
        <f>BN71</f>
        <v>4302430</v>
      </c>
      <c r="D559" s="181" t="s">
        <v>529</v>
      </c>
      <c r="E559" s="181" t="s">
        <v>529</v>
      </c>
      <c r="F559" s="258"/>
      <c r="G559" s="258"/>
      <c r="H559" s="260"/>
      <c r="J559" s="199"/>
      <c r="M559" s="260"/>
    </row>
    <row r="560" spans="1:13" ht="12.6" customHeight="1" x14ac:dyDescent="0.25">
      <c r="A560" s="180" t="s">
        <v>574</v>
      </c>
      <c r="B560" s="235">
        <v>43406</v>
      </c>
      <c r="C560" s="235">
        <f>BO71</f>
        <v>14295</v>
      </c>
      <c r="D560" s="181" t="s">
        <v>529</v>
      </c>
      <c r="E560" s="181" t="s">
        <v>529</v>
      </c>
      <c r="F560" s="258"/>
      <c r="G560" s="258"/>
      <c r="H560" s="260"/>
      <c r="J560" s="199"/>
      <c r="M560" s="260"/>
    </row>
    <row r="561" spans="1:13" ht="12.6" customHeight="1" x14ac:dyDescent="0.25">
      <c r="A561" s="180" t="s">
        <v>575</v>
      </c>
      <c r="B561" s="235">
        <v>-44324</v>
      </c>
      <c r="C561" s="235">
        <f>BP71</f>
        <v>17327</v>
      </c>
      <c r="D561" s="181" t="s">
        <v>529</v>
      </c>
      <c r="E561" s="181" t="s">
        <v>529</v>
      </c>
      <c r="F561" s="258"/>
      <c r="G561" s="258"/>
      <c r="H561" s="260"/>
      <c r="J561" s="199"/>
      <c r="M561" s="260"/>
    </row>
    <row r="562" spans="1:13" ht="12.6" customHeight="1" x14ac:dyDescent="0.25">
      <c r="A562" s="180" t="s">
        <v>576</v>
      </c>
      <c r="B562" s="235"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9"/>
      <c r="M562" s="260"/>
    </row>
    <row r="563" spans="1:13" ht="12.6" customHeight="1" x14ac:dyDescent="0.25">
      <c r="A563" s="180" t="s">
        <v>577</v>
      </c>
      <c r="B563" s="235">
        <v>0</v>
      </c>
      <c r="C563" s="235">
        <f>BR71</f>
        <v>0</v>
      </c>
      <c r="D563" s="181" t="s">
        <v>529</v>
      </c>
      <c r="E563" s="181" t="s">
        <v>529</v>
      </c>
      <c r="F563" s="258"/>
      <c r="G563" s="258"/>
      <c r="H563" s="260"/>
      <c r="J563" s="199"/>
      <c r="M563" s="260"/>
    </row>
    <row r="564" spans="1:13" ht="12.6" customHeight="1" x14ac:dyDescent="0.25">
      <c r="A564" s="180" t="s">
        <v>984</v>
      </c>
      <c r="B564" s="235">
        <v>4659</v>
      </c>
      <c r="C564" s="235">
        <f>BS71</f>
        <v>6940</v>
      </c>
      <c r="D564" s="181" t="s">
        <v>529</v>
      </c>
      <c r="E564" s="181" t="s">
        <v>529</v>
      </c>
      <c r="F564" s="258"/>
      <c r="G564" s="258"/>
      <c r="H564" s="260"/>
      <c r="J564" s="199"/>
      <c r="M564" s="260"/>
    </row>
    <row r="565" spans="1:13" ht="12.6" customHeight="1" x14ac:dyDescent="0.25">
      <c r="A565" s="180" t="s">
        <v>578</v>
      </c>
      <c r="B565" s="235">
        <v>54927</v>
      </c>
      <c r="C565" s="235">
        <f>BT71</f>
        <v>100847</v>
      </c>
      <c r="D565" s="181" t="s">
        <v>529</v>
      </c>
      <c r="E565" s="181" t="s">
        <v>529</v>
      </c>
      <c r="F565" s="258"/>
      <c r="G565" s="258"/>
      <c r="H565" s="260"/>
      <c r="J565" s="199"/>
      <c r="M565" s="260"/>
    </row>
    <row r="566" spans="1:13" ht="12.6" customHeight="1" x14ac:dyDescent="0.25">
      <c r="A566" s="180" t="s">
        <v>579</v>
      </c>
      <c r="B566" s="235"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9"/>
      <c r="M566" s="260"/>
    </row>
    <row r="567" spans="1:13" ht="12.6" customHeight="1" x14ac:dyDescent="0.25">
      <c r="A567" s="180" t="s">
        <v>580</v>
      </c>
      <c r="B567" s="235">
        <v>434237</v>
      </c>
      <c r="C567" s="235">
        <f>BV71</f>
        <v>592861</v>
      </c>
      <c r="D567" s="181" t="s">
        <v>529</v>
      </c>
      <c r="E567" s="181" t="s">
        <v>529</v>
      </c>
      <c r="F567" s="258"/>
      <c r="G567" s="258"/>
      <c r="H567" s="260"/>
      <c r="J567" s="199"/>
      <c r="M567" s="260"/>
    </row>
    <row r="568" spans="1:13" ht="12.6" customHeight="1" x14ac:dyDescent="0.25">
      <c r="A568" s="180" t="s">
        <v>581</v>
      </c>
      <c r="B568" s="235">
        <v>664395</v>
      </c>
      <c r="C568" s="235">
        <f>BW71</f>
        <v>659653</v>
      </c>
      <c r="D568" s="181" t="s">
        <v>529</v>
      </c>
      <c r="E568" s="181" t="s">
        <v>529</v>
      </c>
      <c r="F568" s="258"/>
      <c r="G568" s="258"/>
      <c r="H568" s="260"/>
      <c r="J568" s="199"/>
      <c r="M568" s="260"/>
    </row>
    <row r="569" spans="1:13" ht="12.6" customHeight="1" x14ac:dyDescent="0.25">
      <c r="A569" s="180" t="s">
        <v>582</v>
      </c>
      <c r="B569" s="235">
        <v>1691133</v>
      </c>
      <c r="C569" s="235">
        <f>BX71</f>
        <v>1788863</v>
      </c>
      <c r="D569" s="181" t="s">
        <v>529</v>
      </c>
      <c r="E569" s="181" t="s">
        <v>529</v>
      </c>
      <c r="F569" s="258"/>
      <c r="G569" s="258"/>
      <c r="H569" s="260"/>
      <c r="J569" s="199"/>
      <c r="M569" s="260"/>
    </row>
    <row r="570" spans="1:13" ht="12.6" customHeight="1" x14ac:dyDescent="0.25">
      <c r="A570" s="180" t="s">
        <v>583</v>
      </c>
      <c r="B570" s="235">
        <v>191091</v>
      </c>
      <c r="C570" s="235">
        <f>BY71</f>
        <v>216010</v>
      </c>
      <c r="D570" s="181" t="s">
        <v>529</v>
      </c>
      <c r="E570" s="181" t="s">
        <v>529</v>
      </c>
      <c r="F570" s="258"/>
      <c r="G570" s="258"/>
      <c r="H570" s="260"/>
      <c r="J570" s="199"/>
      <c r="M570" s="260"/>
    </row>
    <row r="571" spans="1:13" ht="12.6" customHeight="1" x14ac:dyDescent="0.25">
      <c r="A571" s="180" t="s">
        <v>584</v>
      </c>
      <c r="B571" s="235"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9"/>
      <c r="M571" s="260"/>
    </row>
    <row r="572" spans="1:13" ht="12.6" customHeight="1" x14ac:dyDescent="0.25">
      <c r="A572" s="180" t="s">
        <v>585</v>
      </c>
      <c r="B572" s="235">
        <v>6830</v>
      </c>
      <c r="C572" s="235">
        <f>CA71</f>
        <v>3953</v>
      </c>
      <c r="D572" s="181" t="s">
        <v>529</v>
      </c>
      <c r="E572" s="181" t="s">
        <v>529</v>
      </c>
      <c r="F572" s="258"/>
      <c r="G572" s="258"/>
      <c r="H572" s="260"/>
      <c r="J572" s="199"/>
      <c r="M572" s="260"/>
    </row>
    <row r="573" spans="1:13" ht="12.6" customHeight="1" x14ac:dyDescent="0.25">
      <c r="A573" s="180" t="s">
        <v>586</v>
      </c>
      <c r="B573" s="235">
        <v>-4202</v>
      </c>
      <c r="C573" s="235">
        <f>CB71</f>
        <v>-2285</v>
      </c>
      <c r="D573" s="181" t="s">
        <v>529</v>
      </c>
      <c r="E573" s="181" t="s">
        <v>529</v>
      </c>
      <c r="F573" s="258"/>
      <c r="G573" s="258"/>
      <c r="H573" s="260"/>
      <c r="J573" s="199"/>
      <c r="M573" s="260"/>
    </row>
    <row r="574" spans="1:13" ht="12.6" customHeight="1" x14ac:dyDescent="0.25">
      <c r="A574" s="180" t="s">
        <v>587</v>
      </c>
      <c r="B574" s="235">
        <v>55080</v>
      </c>
      <c r="C574" s="235">
        <f>CC71</f>
        <v>30103</v>
      </c>
      <c r="D574" s="181" t="s">
        <v>529</v>
      </c>
      <c r="E574" s="181" t="s">
        <v>529</v>
      </c>
      <c r="F574" s="258"/>
      <c r="G574" s="258"/>
      <c r="H574" s="260"/>
      <c r="J574" s="199"/>
      <c r="M574" s="260"/>
    </row>
    <row r="575" spans="1:13" ht="12.6" customHeight="1" x14ac:dyDescent="0.25">
      <c r="A575" s="180" t="s">
        <v>588</v>
      </c>
      <c r="B575" s="235">
        <v>829629</v>
      </c>
      <c r="C575" s="235">
        <f>CD71</f>
        <v>887737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5">
      <c r="M576" s="260"/>
    </row>
    <row r="577" spans="13:13" ht="12.6" customHeight="1" x14ac:dyDescent="0.25">
      <c r="M577" s="260"/>
    </row>
    <row r="578" spans="13:13" ht="12.6" customHeight="1" x14ac:dyDescent="0.25">
      <c r="M578" s="260"/>
    </row>
    <row r="612" spans="1:14" ht="12.6" customHeight="1" x14ac:dyDescent="0.25">
      <c r="A612" s="196"/>
      <c r="C612" s="181" t="s">
        <v>589</v>
      </c>
      <c r="D612" s="180">
        <f>CE76-(BE76+CD76)</f>
        <v>135995</v>
      </c>
      <c r="E612" s="180">
        <f>SUM(C624:D647)+SUM(C668:D713)</f>
        <v>44125062.815897644</v>
      </c>
      <c r="F612" s="180">
        <f>CE64-(AX64+BD64+BE64+BG64+BJ64+BN64+BP64+BQ64+CB64+CC64+CD64)</f>
        <v>1948879</v>
      </c>
      <c r="G612" s="180">
        <f>CE77-(AX77+AY77+BD77+BE77+BG77+BJ77+BN77+BP77+BQ77+CB77+CC77+CD77)</f>
        <v>61071</v>
      </c>
      <c r="H612" s="197">
        <f>CE60-(AX60+AY60+AZ60+BD60+BE60+BG60+BJ60+BN60+BO60+BP60+BQ60+BR60+CB60+CC60+CD60)</f>
        <v>400.87000000000006</v>
      </c>
      <c r="I612" s="180">
        <f>CE78-(AX78+AY78+AZ78+BD78+BE78+BF78+BG78+BJ78+BN78+BO78+BP78+BQ78+BR78+CB78+CC78+CD78)</f>
        <v>114071</v>
      </c>
      <c r="J612" s="180">
        <f>CE79-(AX79+AY79+AZ79+BA79+BD79+BE79+BF79+BG79+BJ79+BN79+BO79+BP79+BQ79+BR79+CB79+CC79+CD79)</f>
        <v>217452</v>
      </c>
      <c r="K612" s="180">
        <f>CE75-(AW75+AX75+AY75+AZ75+BA75+BB75+BC75+BD75+BE75+BF75+BG75+BH75+BI75+BJ75+BK75+BL75+BM75+BN75+BO75+BP75+BQ75+BR75+BS75+BT75+BU75+BV75+BW75+BX75+CB75+CC75+CD75)</f>
        <v>117692833</v>
      </c>
      <c r="L612" s="197">
        <f>CE80-(AW80+AX80+AY80+AZ80+BA80+BB80+BC80+BD80+BE80+BF80+BG80+BH80+BI80+BJ80+BK80+BL80+BM80+BN80+BO80+BP80+BQ80+BR80+BS80+BT80+BU80+BV80+BW80+BX80+BY80+BZ80+CA80+CB80+CC80+CD80)</f>
        <v>64.09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2644544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887737</v>
      </c>
      <c r="D615" s="261">
        <f>SUM(C614:C615)</f>
        <v>3532281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157618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4302430</v>
      </c>
      <c r="D619" s="180">
        <f>(D615/D612)*BN76</f>
        <v>382643.21255928522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30103</v>
      </c>
      <c r="D620" s="180">
        <f>(D615/D612)*CC76</f>
        <v>9869.9715430714368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17327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-2285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4897706.1841023574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1831451</v>
      </c>
      <c r="D625" s="180">
        <f>(D615/D612)*AY76</f>
        <v>118673.42100077208</v>
      </c>
      <c r="E625" s="180">
        <f>(E623/E612)*SUM(C625:D625)</f>
        <v>216456.04169119438</v>
      </c>
      <c r="F625" s="180">
        <f>(F624/F612)*AY64</f>
        <v>0</v>
      </c>
      <c r="G625" s="180">
        <f>SUM(C625:F625)</f>
        <v>2166580.4626919664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14295</v>
      </c>
      <c r="D627" s="180">
        <f>(D615/D612)*BO76</f>
        <v>0</v>
      </c>
      <c r="E627" s="180">
        <f>(E623/E612)*SUM(C627:D627)</f>
        <v>1586.6880505951053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-366831</v>
      </c>
      <c r="D628" s="180">
        <f>(D615/D612)*AZ76</f>
        <v>44804.476083679547</v>
      </c>
      <c r="E628" s="180">
        <f>(E623/E612)*SUM(C628:D628)</f>
        <v>-35743.661243281189</v>
      </c>
      <c r="F628" s="180">
        <f>(F624/F612)*AZ64</f>
        <v>0</v>
      </c>
      <c r="G628" s="180">
        <f>(G625/G612)*AZ77</f>
        <v>0</v>
      </c>
      <c r="H628" s="180">
        <f>SUM(C626:G628)</f>
        <v>-341888.49710900657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808599</v>
      </c>
      <c r="D629" s="180">
        <f>(D615/D612)*BF76</f>
        <v>13454.3296297658</v>
      </c>
      <c r="E629" s="180">
        <f>(E623/E612)*SUM(C629:D629)</f>
        <v>91244.644636269222</v>
      </c>
      <c r="F629" s="180">
        <f>(F624/F612)*BF64</f>
        <v>0</v>
      </c>
      <c r="G629" s="180">
        <f>(G625/G612)*BF77</f>
        <v>0</v>
      </c>
      <c r="H629" s="180">
        <f>(H628/H612)*BF60</f>
        <v>-13364.414273201119</v>
      </c>
      <c r="I629" s="180">
        <f>SUM(C629:H629)</f>
        <v>899933.55999283388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161281</v>
      </c>
      <c r="D630" s="180">
        <f>(D615/D612)*BA76</f>
        <v>26934.632868855471</v>
      </c>
      <c r="E630" s="180">
        <f>(E623/E612)*SUM(C630:D630)</f>
        <v>20891.185422050246</v>
      </c>
      <c r="F630" s="180">
        <f>(F624/F612)*BA64</f>
        <v>0</v>
      </c>
      <c r="G630" s="180">
        <f>(G625/G612)*BA77</f>
        <v>0</v>
      </c>
      <c r="H630" s="180">
        <f>(H628/H612)*BA60</f>
        <v>-835.80893348673237</v>
      </c>
      <c r="I630" s="180">
        <f>(I629/I612)*BA78</f>
        <v>8181.1424613843019</v>
      </c>
      <c r="J630" s="180">
        <f>SUM(C630:I630)</f>
        <v>216452.15181880328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143953</v>
      </c>
      <c r="D631" s="180">
        <f>(D615/D612)*AW76</f>
        <v>0</v>
      </c>
      <c r="E631" s="180">
        <f>(E623/E612)*SUM(C631:D631)</f>
        <v>15978.209510130619</v>
      </c>
      <c r="F631" s="180">
        <f>(F624/F612)*AW64</f>
        <v>0</v>
      </c>
      <c r="G631" s="180">
        <f>(G625/G612)*AW77</f>
        <v>0</v>
      </c>
      <c r="H631" s="180">
        <f>(H628/H612)*AW60</f>
        <v>-938.15288452592415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741089</v>
      </c>
      <c r="D632" s="180">
        <f>(D615/D612)*BB76</f>
        <v>0</v>
      </c>
      <c r="E632" s="180">
        <f>(E623/E612)*SUM(C632:D632)</f>
        <v>82257.926598634207</v>
      </c>
      <c r="F632" s="180">
        <f>(F624/F612)*BB64</f>
        <v>0</v>
      </c>
      <c r="G632" s="180">
        <f>(G625/G612)*BB77</f>
        <v>0</v>
      </c>
      <c r="H632" s="180">
        <f>(H628/H612)*BB60</f>
        <v>-6456.1975780556777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108083</v>
      </c>
      <c r="D633" s="180">
        <f>(D615/D612)*BC76</f>
        <v>0</v>
      </c>
      <c r="E633" s="180">
        <f>(E623/E612)*SUM(C633:D633)</f>
        <v>11996.782411505474</v>
      </c>
      <c r="F633" s="180">
        <f>(F624/F612)*BC64</f>
        <v>0</v>
      </c>
      <c r="G633" s="180">
        <f>(G625/G612)*BC77</f>
        <v>0</v>
      </c>
      <c r="H633" s="180">
        <f>(H628/H612)*BC60</f>
        <v>-1313.4140383362937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503543</v>
      </c>
      <c r="D635" s="180">
        <f>(D615/D612)*BK76</f>
        <v>0</v>
      </c>
      <c r="E635" s="180">
        <f>(E623/E612)*SUM(C635:D635)</f>
        <v>55891.266950738798</v>
      </c>
      <c r="F635" s="180">
        <f>(F624/F612)*BK64</f>
        <v>0</v>
      </c>
      <c r="G635" s="180">
        <f>(G625/G612)*BK77</f>
        <v>0</v>
      </c>
      <c r="H635" s="180">
        <f>(H628/H612)*BK60</f>
        <v>-4588.4204715904289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1103305</v>
      </c>
      <c r="D637" s="180">
        <f>(D615/D612)*BL76</f>
        <v>0</v>
      </c>
      <c r="E637" s="180">
        <f>(E623/E612)*SUM(C637:D637)</f>
        <v>122462.45957760284</v>
      </c>
      <c r="F637" s="180">
        <f>(F624/F612)*BL64</f>
        <v>0</v>
      </c>
      <c r="G637" s="180">
        <f>(G625/G612)*BL77</f>
        <v>0</v>
      </c>
      <c r="H637" s="180">
        <f>(H628/H612)*BL60</f>
        <v>-20067.943066268177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6940</v>
      </c>
      <c r="D639" s="180">
        <f>(D615/D612)*BS76</f>
        <v>0</v>
      </c>
      <c r="E639" s="180">
        <f>(E623/E612)*SUM(C639:D639)</f>
        <v>770.31235195033435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100847</v>
      </c>
      <c r="D640" s="180">
        <f>(D615/D612)*BT76</f>
        <v>0</v>
      </c>
      <c r="E640" s="180">
        <f>(E623/E612)*SUM(C640:D640)</f>
        <v>11193.615238780314</v>
      </c>
      <c r="F640" s="180">
        <f>(F624/F612)*BT64</f>
        <v>0</v>
      </c>
      <c r="G640" s="180">
        <f>(G625/G612)*BT77</f>
        <v>0</v>
      </c>
      <c r="H640" s="180">
        <f>(H628/H612)*BT60</f>
        <v>-801.69428314033507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592861</v>
      </c>
      <c r="D642" s="180">
        <f>(D615/D612)*BV76</f>
        <v>35843.580866943637</v>
      </c>
      <c r="E642" s="180">
        <f>(E623/E612)*SUM(C642:D642)</f>
        <v>69783.703799649069</v>
      </c>
      <c r="F642" s="180">
        <f>(F624/F612)*BV64</f>
        <v>0</v>
      </c>
      <c r="G642" s="180">
        <f>(G625/G612)*BV77</f>
        <v>0</v>
      </c>
      <c r="H642" s="180">
        <f>(H628/H612)*BV60</f>
        <v>-6891.1593699722425</v>
      </c>
      <c r="I642" s="180">
        <f>(I629/I612)*BV78</f>
        <v>10887.151973684027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659653</v>
      </c>
      <c r="D643" s="180">
        <f>(D615/D612)*BW76</f>
        <v>243372.7193646825</v>
      </c>
      <c r="E643" s="180">
        <f>(E623/E612)*SUM(C643:D643)</f>
        <v>100232.25731346558</v>
      </c>
      <c r="F643" s="180">
        <f>(F624/F612)*BW64</f>
        <v>0</v>
      </c>
      <c r="G643" s="180">
        <f>(G625/G612)*BW77</f>
        <v>0</v>
      </c>
      <c r="H643" s="180">
        <f>(H628/H612)*BW60</f>
        <v>-5654.5032949153419</v>
      </c>
      <c r="I643" s="180">
        <f>(I629/I612)*BW78</f>
        <v>73922.184053202422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1788863</v>
      </c>
      <c r="D644" s="180">
        <f>(D615/D612)*BX76</f>
        <v>38830.545939188938</v>
      </c>
      <c r="E644" s="180">
        <f>(E623/E612)*SUM(C644:D644)</f>
        <v>202866.70230790536</v>
      </c>
      <c r="F644" s="180">
        <f>(F624/F612)*BX64</f>
        <v>0</v>
      </c>
      <c r="G644" s="180">
        <f>(G625/G612)*BX77</f>
        <v>0</v>
      </c>
      <c r="H644" s="180">
        <f>(H628/H612)*BX60</f>
        <v>-8656.5925253982987</v>
      </c>
      <c r="I644" s="180">
        <f>(I629/I612)*BX78</f>
        <v>11794.414638157697</v>
      </c>
      <c r="J644" s="180">
        <f>(J630/J612)*BX79</f>
        <v>0</v>
      </c>
      <c r="K644" s="180">
        <f>SUM(C631:J644)</f>
        <v>6781852.7553840196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216010</v>
      </c>
      <c r="D645" s="180">
        <f>(D615/D612)*BY76</f>
        <v>57219.861340490454</v>
      </c>
      <c r="E645" s="180">
        <f>(E623/E612)*SUM(C645:D645)</f>
        <v>30327.426096866995</v>
      </c>
      <c r="F645" s="180">
        <f>(F624/F612)*BY64</f>
        <v>0</v>
      </c>
      <c r="G645" s="180">
        <f>(G625/G612)*BY77</f>
        <v>0</v>
      </c>
      <c r="H645" s="180">
        <f>(H628/H612)*BY60</f>
        <v>-1714.2611799064612</v>
      </c>
      <c r="I645" s="180">
        <f>(I629/I612)*BY78</f>
        <v>17379.996955091243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3953</v>
      </c>
      <c r="D647" s="180">
        <f>(D615/D612)*CA76</f>
        <v>0</v>
      </c>
      <c r="E647" s="180">
        <f>(E623/E612)*SUM(C647:D647)</f>
        <v>438.76725176652332</v>
      </c>
      <c r="F647" s="180">
        <f>(F624/F612)*CA64</f>
        <v>0</v>
      </c>
      <c r="G647" s="180">
        <f>(G625/G612)*CA77</f>
        <v>0</v>
      </c>
      <c r="H647" s="180">
        <f>(H628/H612)*CA60</f>
        <v>-42.643312932996551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323572.14715137583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16455369</v>
      </c>
      <c r="L648" s="26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12058904</v>
      </c>
      <c r="D672" s="180">
        <f>(D615/D612)*G76</f>
        <v>936842.11470274639</v>
      </c>
      <c r="E672" s="180">
        <f>(E623/E612)*SUM(C672:D672)</f>
        <v>1442476.0453841633</v>
      </c>
      <c r="F672" s="180">
        <f>(F624/F612)*G64</f>
        <v>0</v>
      </c>
      <c r="G672" s="180">
        <f>(G625/G612)*G77</f>
        <v>2166580.4626919664</v>
      </c>
      <c r="H672" s="180">
        <f>(H628/H612)*G60</f>
        <v>-115094.30160615768</v>
      </c>
      <c r="I672" s="180">
        <f>(I629/I612)*G78</f>
        <v>284557.01778174582</v>
      </c>
      <c r="J672" s="180">
        <f>(J630/J612)*G79</f>
        <v>149450.64899944328</v>
      </c>
      <c r="K672" s="180">
        <f>(K644/K612)*G75</f>
        <v>2213212.1214349759</v>
      </c>
      <c r="L672" s="180">
        <f>(L647/L612)*G80</f>
        <v>323572.14715137583</v>
      </c>
      <c r="M672" s="180">
        <f t="shared" si="20"/>
        <v>7401596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94136</v>
      </c>
      <c r="D684" s="180">
        <f>(D615/D612)*S76</f>
        <v>0</v>
      </c>
      <c r="E684" s="180">
        <f>(E623/E612)*SUM(C684:D684)</f>
        <v>10448.720974524018</v>
      </c>
      <c r="F684" s="180">
        <f>(F624/F612)*S64</f>
        <v>0</v>
      </c>
      <c r="G684" s="180">
        <f>(G625/G612)*S77</f>
        <v>0</v>
      </c>
      <c r="H684" s="180">
        <f>(H628/H612)*S60</f>
        <v>-1637.5032166270673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8811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221976</v>
      </c>
      <c r="D686" s="180">
        <f>(D615/D612)*U76</f>
        <v>0</v>
      </c>
      <c r="E686" s="180">
        <f>(E623/E612)*SUM(C686:D686)</f>
        <v>24638.451676733061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248092.86065445028</v>
      </c>
      <c r="L686" s="180">
        <f>(L647/L612)*U80</f>
        <v>0</v>
      </c>
      <c r="M686" s="180">
        <f t="shared" si="20"/>
        <v>272731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5718.7695945370915</v>
      </c>
      <c r="L688" s="180">
        <f>(L647/L612)*W80</f>
        <v>0</v>
      </c>
      <c r="M688" s="180">
        <f t="shared" si="20"/>
        <v>5719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13060.50023085139</v>
      </c>
      <c r="L689" s="180">
        <f>(L647/L612)*X80</f>
        <v>0</v>
      </c>
      <c r="M689" s="180">
        <f t="shared" si="20"/>
        <v>13061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46949</v>
      </c>
      <c r="D690" s="180">
        <f>(D615/D612)*Y76</f>
        <v>0</v>
      </c>
      <c r="E690" s="180">
        <f>(E623/E612)*SUM(C690:D690)</f>
        <v>5211.1519613423989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20348.007315228449</v>
      </c>
      <c r="L690" s="180">
        <f>(L647/L612)*Y80</f>
        <v>0</v>
      </c>
      <c r="M690" s="180">
        <f t="shared" si="20"/>
        <v>25559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267.83322997267749</v>
      </c>
      <c r="L692" s="180">
        <f>(L647/L612)*AA80</f>
        <v>0</v>
      </c>
      <c r="M692" s="180">
        <f t="shared" si="20"/>
        <v>268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1422863</v>
      </c>
      <c r="D693" s="180">
        <f>(D615/D612)*AB76</f>
        <v>27454.105055332915</v>
      </c>
      <c r="E693" s="180">
        <f>(E623/E612)*SUM(C693:D693)</f>
        <v>160979.42078803654</v>
      </c>
      <c r="F693" s="180">
        <f>(F624/F612)*AB64</f>
        <v>0</v>
      </c>
      <c r="G693" s="180">
        <f>(G625/G612)*AB77</f>
        <v>0</v>
      </c>
      <c r="H693" s="180">
        <f>(H628/H612)*AB60</f>
        <v>-6055.3504364855098</v>
      </c>
      <c r="I693" s="180">
        <f>(I629/I612)*AB78</f>
        <v>8338.9272725971132</v>
      </c>
      <c r="J693" s="180">
        <f>(J630/J612)*AB79</f>
        <v>0</v>
      </c>
      <c r="K693" s="180">
        <f>(K644/K612)*AB75</f>
        <v>246581.34312961952</v>
      </c>
      <c r="L693" s="180">
        <f>(L647/L612)*AB80</f>
        <v>0</v>
      </c>
      <c r="M693" s="180">
        <f t="shared" si="20"/>
        <v>437298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635525</v>
      </c>
      <c r="D694" s="180">
        <f>(D615/D612)*AC76</f>
        <v>14545.221221368432</v>
      </c>
      <c r="E694" s="180">
        <f>(E623/E612)*SUM(C694:D694)</f>
        <v>72155.204761081623</v>
      </c>
      <c r="F694" s="180">
        <f>(F624/F612)*AC64</f>
        <v>0</v>
      </c>
      <c r="G694" s="180">
        <f>(G625/G612)*AC77</f>
        <v>0</v>
      </c>
      <c r="H694" s="180">
        <f>(H628/H612)*AC60</f>
        <v>-5279.2421411049727</v>
      </c>
      <c r="I694" s="180">
        <f>(I629/I612)*AC78</f>
        <v>4417.9747139587362</v>
      </c>
      <c r="J694" s="180">
        <f>(J630/J612)*AC79</f>
        <v>0</v>
      </c>
      <c r="K694" s="180">
        <f>(K644/K612)*AC75</f>
        <v>126102.31543457565</v>
      </c>
      <c r="L694" s="180">
        <f>(L647/L612)*AC80</f>
        <v>0</v>
      </c>
      <c r="M694" s="180">
        <f t="shared" si="20"/>
        <v>211941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3051556</v>
      </c>
      <c r="D696" s="180">
        <f>(D615/D612)*AE76</f>
        <v>257268.60035295415</v>
      </c>
      <c r="E696" s="180">
        <f>(E623/E612)*SUM(C696:D696)</f>
        <v>367266.34871599561</v>
      </c>
      <c r="F696" s="180">
        <f>(F624/F612)*AE64</f>
        <v>0</v>
      </c>
      <c r="G696" s="180">
        <f>(G625/G612)*AE77</f>
        <v>0</v>
      </c>
      <c r="H696" s="180">
        <f>(H628/H612)*AE60</f>
        <v>-31470.764944551451</v>
      </c>
      <c r="I696" s="180">
        <f>(I629/I612)*AE78</f>
        <v>78142.927753145137</v>
      </c>
      <c r="J696" s="180">
        <f>(J630/J612)*AE79</f>
        <v>34614.108526695847</v>
      </c>
      <c r="K696" s="180">
        <f>(K644/K612)*AE75</f>
        <v>641062.12046931707</v>
      </c>
      <c r="L696" s="180">
        <f>(L647/L612)*AE80</f>
        <v>0</v>
      </c>
      <c r="M696" s="180">
        <f t="shared" si="20"/>
        <v>1346883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275378</v>
      </c>
      <c r="D697" s="180">
        <f>(D615/D612)*AF76</f>
        <v>0</v>
      </c>
      <c r="E697" s="180">
        <f>(E623/E612)*SUM(C697:D697)</f>
        <v>30565.860930169911</v>
      </c>
      <c r="F697" s="180">
        <f>(F624/F612)*AF64</f>
        <v>0</v>
      </c>
      <c r="G697" s="180">
        <f>(G625/G612)*AF77</f>
        <v>0</v>
      </c>
      <c r="H697" s="180">
        <f>(H628/H612)*AF60</f>
        <v>-1833.6624561188514</v>
      </c>
      <c r="I697" s="180">
        <f>(I629/I612)*AF78</f>
        <v>0</v>
      </c>
      <c r="J697" s="180">
        <f>(J630/J612)*AF79</f>
        <v>0</v>
      </c>
      <c r="K697" s="180">
        <f>(K644/K612)*AF75</f>
        <v>62096.454413891239</v>
      </c>
      <c r="L697" s="180">
        <f>(L647/L612)*AF80</f>
        <v>0</v>
      </c>
      <c r="M697" s="180">
        <f t="shared" si="20"/>
        <v>90829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8196805</v>
      </c>
      <c r="D701" s="180">
        <f>(D615/D612)*AJ76</f>
        <v>501498.44882532442</v>
      </c>
      <c r="E701" s="180">
        <f>(E623/E612)*SUM(C701:D701)</f>
        <v>965477.02991964563</v>
      </c>
      <c r="F701" s="180">
        <f>(F624/F612)*AJ64</f>
        <v>0</v>
      </c>
      <c r="G701" s="180">
        <f>(G625/G612)*AJ77</f>
        <v>0</v>
      </c>
      <c r="H701" s="180">
        <f>(H628/H612)*AJ60</f>
        <v>-58020.491576635104</v>
      </c>
      <c r="I701" s="180">
        <f>(I629/I612)*AJ78</f>
        <v>152325.45674484869</v>
      </c>
      <c r="J701" s="180">
        <f>(J630/J612)*AJ79</f>
        <v>0</v>
      </c>
      <c r="K701" s="180">
        <f>(K644/K612)*AJ75</f>
        <v>1429816.5769067754</v>
      </c>
      <c r="L701" s="180">
        <f>(L647/L612)*AJ80</f>
        <v>0</v>
      </c>
      <c r="M701" s="180">
        <f t="shared" si="20"/>
        <v>2991097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1689155</v>
      </c>
      <c r="D702" s="180">
        <f>(D615/D612)*AK76</f>
        <v>0</v>
      </c>
      <c r="E702" s="180">
        <f>(E623/E612)*SUM(C702:D702)</f>
        <v>187489.47562805002</v>
      </c>
      <c r="F702" s="180">
        <f>(F624/F612)*AK64</f>
        <v>0</v>
      </c>
      <c r="G702" s="180">
        <f>(G625/G612)*AK77</f>
        <v>0</v>
      </c>
      <c r="H702" s="180">
        <f>(H628/H612)*AK60</f>
        <v>-16178.872926778889</v>
      </c>
      <c r="I702" s="180">
        <f>(I629/I612)*AK78</f>
        <v>0</v>
      </c>
      <c r="J702" s="180">
        <f>(J630/J612)*AK79</f>
        <v>0</v>
      </c>
      <c r="K702" s="180">
        <f>(K644/K612)*AK75</f>
        <v>654373.10930832056</v>
      </c>
      <c r="L702" s="180">
        <f>(L647/L612)*AK80</f>
        <v>0</v>
      </c>
      <c r="M702" s="180">
        <f t="shared" si="20"/>
        <v>825684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672870</v>
      </c>
      <c r="D703" s="180">
        <f>(D615/D612)*AL76</f>
        <v>0</v>
      </c>
      <c r="E703" s="180">
        <f>(E623/E612)*SUM(C703:D703)</f>
        <v>74685.889374181774</v>
      </c>
      <c r="F703" s="180">
        <f>(F624/F612)*AL64</f>
        <v>0</v>
      </c>
      <c r="G703" s="180">
        <f>(G625/G612)*AL77</f>
        <v>0</v>
      </c>
      <c r="H703" s="180">
        <f>(H628/H612)*AL60</f>
        <v>-5910.3631725133209</v>
      </c>
      <c r="I703" s="180">
        <f>(I629/I612)*AL78</f>
        <v>0</v>
      </c>
      <c r="J703" s="180">
        <f>(J630/J612)*AL79</f>
        <v>0</v>
      </c>
      <c r="K703" s="180">
        <f>(K644/K612)*AL75</f>
        <v>128320.92882106619</v>
      </c>
      <c r="L703" s="180">
        <f>(L647/L612)*AL80</f>
        <v>0</v>
      </c>
      <c r="M703" s="180">
        <f t="shared" si="20"/>
        <v>197096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250907</v>
      </c>
      <c r="D704" s="180">
        <f>(D615/D612)*AM76</f>
        <v>0</v>
      </c>
      <c r="E704" s="180">
        <f>(E623/E612)*SUM(C704:D704)</f>
        <v>27849.677419423999</v>
      </c>
      <c r="F704" s="180">
        <f>(F624/F612)*AM64</f>
        <v>0</v>
      </c>
      <c r="G704" s="180">
        <f>(G625/G612)*AM77</f>
        <v>0</v>
      </c>
      <c r="H704" s="180">
        <f>(H628/H612)*AM60</f>
        <v>-3010.617893069556</v>
      </c>
      <c r="I704" s="180">
        <f>(I629/I612)*AM78</f>
        <v>0</v>
      </c>
      <c r="J704" s="180">
        <f>(J630/J612)*AM79</f>
        <v>0</v>
      </c>
      <c r="K704" s="180">
        <f>(K644/K612)*AM75</f>
        <v>85162.496502050242</v>
      </c>
      <c r="L704" s="180">
        <f>(L647/L612)*AM80</f>
        <v>0</v>
      </c>
      <c r="M704" s="180">
        <f t="shared" si="20"/>
        <v>110002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3811293</v>
      </c>
      <c r="D707" s="180">
        <f>(D615/D612)*AP76</f>
        <v>731183.07607632631</v>
      </c>
      <c r="E707" s="180">
        <f>(E623/E612)*SUM(C707:D707)</f>
        <v>504196.74781563121</v>
      </c>
      <c r="F707" s="180">
        <f>(F624/F612)*AP64</f>
        <v>0</v>
      </c>
      <c r="G707" s="180">
        <f>(G625/G612)*AP77</f>
        <v>0</v>
      </c>
      <c r="H707" s="180">
        <f>(H628/H612)*AP60</f>
        <v>-26072.121527234089</v>
      </c>
      <c r="I707" s="180">
        <f>(I629/I612)*AP78</f>
        <v>222090.01102259354</v>
      </c>
      <c r="J707" s="180">
        <f>(J630/J612)*AP79</f>
        <v>32387.394292664139</v>
      </c>
      <c r="K707" s="180">
        <f>(K644/K612)*AP75</f>
        <v>895847.29685005744</v>
      </c>
      <c r="L707" s="180">
        <f>(L647/L612)*AP80</f>
        <v>0</v>
      </c>
      <c r="M707" s="180">
        <f t="shared" si="20"/>
        <v>2359632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139083</v>
      </c>
      <c r="D713" s="180">
        <f>(D615/D612)*AV76</f>
        <v>91842.682569212106</v>
      </c>
      <c r="E713" s="180">
        <f>(E623/E612)*SUM(C713:D713)</f>
        <v>25631.830787554194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27896.354622425162</v>
      </c>
      <c r="J713" s="180">
        <f>(J630/J612)*AV79</f>
        <v>0</v>
      </c>
      <c r="K713" s="180">
        <f>(K644/K612)*AV75</f>
        <v>11790.021088330393</v>
      </c>
      <c r="L713" s="180">
        <f>(L647/L612)*AV80</f>
        <v>0</v>
      </c>
      <c r="M713" s="180">
        <f t="shared" si="20"/>
        <v>157161</v>
      </c>
      <c r="N713" s="199" t="s">
        <v>741</v>
      </c>
    </row>
    <row r="715" spans="1:15" ht="12.6" customHeight="1" x14ac:dyDescent="0.25">
      <c r="C715" s="180">
        <f>SUM(C614:C647)+SUM(C668:C713)</f>
        <v>49022769</v>
      </c>
      <c r="D715" s="180">
        <f>SUM(D616:D647)+SUM(D668:D713)</f>
        <v>3532281</v>
      </c>
      <c r="E715" s="180">
        <f>SUM(E624:E647)+SUM(E668:E713)</f>
        <v>4897706.1841023574</v>
      </c>
      <c r="F715" s="180">
        <f>SUM(F625:F648)+SUM(F668:F713)</f>
        <v>0</v>
      </c>
      <c r="G715" s="180">
        <f>SUM(G626:G647)+SUM(G668:G713)</f>
        <v>2166580.4626919664</v>
      </c>
      <c r="H715" s="180">
        <f>SUM(H629:H647)+SUM(H668:H713)</f>
        <v>-341888.49710900651</v>
      </c>
      <c r="I715" s="180">
        <f>SUM(I630:I647)+SUM(I668:I713)</f>
        <v>899933.55999283388</v>
      </c>
      <c r="J715" s="180">
        <f>SUM(J631:J647)+SUM(J668:J713)</f>
        <v>216452.15181880325</v>
      </c>
      <c r="K715" s="180">
        <f>SUM(K668:K713)</f>
        <v>6781852.7553840196</v>
      </c>
      <c r="L715" s="180">
        <f>SUM(L668:L713)</f>
        <v>323572.14715137583</v>
      </c>
      <c r="M715" s="180">
        <f>SUM(M668:M713)</f>
        <v>16455368</v>
      </c>
      <c r="N715" s="198" t="s">
        <v>742</v>
      </c>
    </row>
    <row r="716" spans="1:15" ht="12.6" customHeight="1" x14ac:dyDescent="0.25">
      <c r="C716" s="180">
        <f>CE71</f>
        <v>49022769</v>
      </c>
      <c r="D716" s="180">
        <f>D615</f>
        <v>3532281</v>
      </c>
      <c r="E716" s="180">
        <f>E623</f>
        <v>4897706.1841023574</v>
      </c>
      <c r="F716" s="180">
        <f>F624</f>
        <v>0</v>
      </c>
      <c r="G716" s="180">
        <f>G625</f>
        <v>2166580.4626919664</v>
      </c>
      <c r="H716" s="180">
        <f>H628</f>
        <v>-341888.49710900657</v>
      </c>
      <c r="I716" s="180">
        <f>I629</f>
        <v>899933.55999283388</v>
      </c>
      <c r="J716" s="180">
        <f>J630</f>
        <v>216452.15181880328</v>
      </c>
      <c r="K716" s="180">
        <f>K644</f>
        <v>6781852.7553840196</v>
      </c>
      <c r="L716" s="180">
        <f>L647</f>
        <v>323572.14715137583</v>
      </c>
      <c r="M716" s="180">
        <f>C648</f>
        <v>16455369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I36" sqref="I3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998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995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996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997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St. Luke's Rehabilitation Institute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H-157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711 S Cowley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711 S Cowley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Spokane, WA 99202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1017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 t="s">
        <v>1018</v>
      </c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759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 t="s">
        <v>1019</v>
      </c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G39" sqref="G3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762</v>
      </c>
      <c r="H1" s="7"/>
    </row>
    <row r="2" spans="1:13" ht="20.100000000000001" customHeight="1" x14ac:dyDescent="0.25">
      <c r="A2" s="6" t="s">
        <v>763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Luke's Rehabilitation Institute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764</v>
      </c>
      <c r="C7" s="24"/>
      <c r="D7" s="127" t="str">
        <f>"  "&amp;data!C89</f>
        <v xml:space="preserve">  Elaine Couture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765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766</v>
      </c>
      <c r="C9" s="24"/>
      <c r="D9" s="127" t="str">
        <f>"  "&amp;data!C91</f>
        <v xml:space="preserve">  Larry Soehren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767</v>
      </c>
      <c r="C10" s="24"/>
      <c r="D10" s="127" t="str">
        <f>"  "&amp;data!C92</f>
        <v xml:space="preserve">  509-473-6000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768</v>
      </c>
      <c r="C11" s="24"/>
      <c r="D11" s="127" t="str">
        <f>"  "&amp;data!C93</f>
        <v xml:space="preserve">  509-473-6978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769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770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771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772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773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774</v>
      </c>
      <c r="C23" s="38"/>
      <c r="D23" s="38"/>
      <c r="E23" s="38"/>
      <c r="F23" s="13">
        <f>data!C111</f>
        <v>1471</v>
      </c>
      <c r="G23" s="21">
        <f>data!D111</f>
        <v>19848</v>
      </c>
      <c r="H23" s="7"/>
    </row>
    <row r="24" spans="1:9" ht="20.100000000000001" customHeight="1" x14ac:dyDescent="0.25">
      <c r="A24" s="130"/>
      <c r="B24" s="49" t="s">
        <v>775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776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777</v>
      </c>
      <c r="C29" s="24"/>
      <c r="D29" s="15" t="s">
        <v>167</v>
      </c>
      <c r="E29" s="97" t="s">
        <v>777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778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779</v>
      </c>
      <c r="C32" s="24"/>
      <c r="D32" s="21">
        <f>data!C118</f>
        <v>0</v>
      </c>
      <c r="E32" s="49" t="s">
        <v>780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781</v>
      </c>
      <c r="C33" s="24"/>
      <c r="D33" s="21">
        <f>data!C119</f>
        <v>0</v>
      </c>
      <c r="E33" s="49" t="s">
        <v>782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783</v>
      </c>
      <c r="C34" s="24"/>
      <c r="D34" s="21">
        <f>data!C120</f>
        <v>0</v>
      </c>
      <c r="E34" s="49" t="s">
        <v>291</v>
      </c>
      <c r="F34" s="24"/>
      <c r="G34" s="21">
        <f>data!E127</f>
        <v>72</v>
      </c>
      <c r="H34" s="7"/>
    </row>
    <row r="35" spans="1:8" ht="20.100000000000001" customHeight="1" x14ac:dyDescent="0.25">
      <c r="A35" s="130"/>
      <c r="B35" s="97" t="s">
        <v>784</v>
      </c>
      <c r="C35" s="24"/>
      <c r="D35" s="21">
        <f>data!C121</f>
        <v>72</v>
      </c>
      <c r="E35" s="49" t="s">
        <v>785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786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787</v>
      </c>
      <c r="B1" s="8"/>
      <c r="C1" s="8"/>
      <c r="D1" s="8"/>
      <c r="E1" s="8"/>
      <c r="F1" s="8"/>
      <c r="G1" s="165" t="s">
        <v>788</v>
      </c>
    </row>
    <row r="2" spans="1:13" ht="20.100000000000001" customHeight="1" x14ac:dyDescent="0.25">
      <c r="A2" s="105" t="str">
        <f>"Hospital Name: "&amp;data!C84</f>
        <v>Hospital Name: St. Luke's Rehabilitation Institute</v>
      </c>
      <c r="B2" s="8"/>
      <c r="C2" s="8"/>
      <c r="D2" s="8"/>
      <c r="E2" s="8"/>
      <c r="F2" s="11"/>
      <c r="G2" s="76" t="s">
        <v>789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790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791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792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922</v>
      </c>
      <c r="C7" s="48">
        <f>data!B139</f>
        <v>11736</v>
      </c>
      <c r="D7" s="48">
        <f>data!B140</f>
        <v>0</v>
      </c>
      <c r="E7" s="48">
        <f>data!B141</f>
        <v>44648045</v>
      </c>
      <c r="F7" s="48">
        <f>data!B142</f>
        <v>13709762</v>
      </c>
      <c r="G7" s="48">
        <f>data!B141+data!B142</f>
        <v>58357807</v>
      </c>
    </row>
    <row r="8" spans="1:13" ht="20.100000000000001" customHeight="1" x14ac:dyDescent="0.25">
      <c r="A8" s="23" t="s">
        <v>297</v>
      </c>
      <c r="B8" s="48">
        <f>data!C138</f>
        <v>265</v>
      </c>
      <c r="C8" s="48">
        <f>data!C139</f>
        <v>4039</v>
      </c>
      <c r="D8" s="48">
        <f>data!C140</f>
        <v>0</v>
      </c>
      <c r="E8" s="48">
        <f>data!C141</f>
        <v>15937076</v>
      </c>
      <c r="F8" s="48">
        <f>data!C142</f>
        <v>8878491</v>
      </c>
      <c r="G8" s="48">
        <f>data!C141+data!C142</f>
        <v>24815567</v>
      </c>
    </row>
    <row r="9" spans="1:13" ht="20.100000000000001" customHeight="1" x14ac:dyDescent="0.25">
      <c r="A9" s="23" t="s">
        <v>793</v>
      </c>
      <c r="B9" s="48">
        <f>data!D138</f>
        <v>284</v>
      </c>
      <c r="C9" s="48">
        <f>data!D139</f>
        <v>4073</v>
      </c>
      <c r="D9" s="48">
        <f>data!D140</f>
        <v>0</v>
      </c>
      <c r="E9" s="48">
        <f>data!D141</f>
        <v>14642487</v>
      </c>
      <c r="F9" s="48">
        <f>data!D142</f>
        <v>18471936</v>
      </c>
      <c r="G9" s="48">
        <f>data!D141+data!D142</f>
        <v>33114423</v>
      </c>
    </row>
    <row r="10" spans="1:13" ht="20.100000000000001" customHeight="1" x14ac:dyDescent="0.25">
      <c r="A10" s="111" t="s">
        <v>203</v>
      </c>
      <c r="B10" s="48">
        <f>data!E138</f>
        <v>1471</v>
      </c>
      <c r="C10" s="48">
        <f>data!E139</f>
        <v>19848</v>
      </c>
      <c r="D10" s="48">
        <f>data!E140</f>
        <v>0</v>
      </c>
      <c r="E10" s="48">
        <f>data!E141</f>
        <v>75227608</v>
      </c>
      <c r="F10" s="48">
        <f>data!E142</f>
        <v>41060189</v>
      </c>
      <c r="G10" s="48">
        <f>data!E141+data!E142</f>
        <v>116287797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794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791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792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793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795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791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792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793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796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797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798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799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Luke's Rehabilitation Institute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800</v>
      </c>
      <c r="C6" s="13">
        <f>data!C165</f>
        <v>2405837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28725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-47206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1586349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4389383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801</v>
      </c>
      <c r="C14" s="13">
        <f>data!D173</f>
        <v>8363088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802</v>
      </c>
      <c r="C18" s="13">
        <f>data!C175</f>
        <v>578742</v>
      </c>
    </row>
    <row r="19" spans="1:3" ht="20.100000000000001" customHeight="1" x14ac:dyDescent="0.25">
      <c r="A19" s="13">
        <v>13</v>
      </c>
      <c r="B19" s="49" t="s">
        <v>803</v>
      </c>
      <c r="C19" s="13">
        <f>data!C176</f>
        <v>252417</v>
      </c>
    </row>
    <row r="20" spans="1:3" ht="20.100000000000001" customHeight="1" x14ac:dyDescent="0.25">
      <c r="A20" s="13">
        <v>14</v>
      </c>
      <c r="B20" s="49" t="s">
        <v>804</v>
      </c>
      <c r="C20" s="13">
        <f>data!D177</f>
        <v>831159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805</v>
      </c>
      <c r="C24" s="104"/>
    </row>
    <row r="25" spans="1:3" ht="20.100000000000001" customHeight="1" x14ac:dyDescent="0.25">
      <c r="A25" s="13">
        <v>17</v>
      </c>
      <c r="B25" s="49" t="s">
        <v>806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807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808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809</v>
      </c>
      <c r="C32" s="13">
        <f>data!C184</f>
        <v>943381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810</v>
      </c>
      <c r="C34" s="13">
        <f>data!D186</f>
        <v>943381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811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8155</v>
      </c>
    </row>
    <row r="40" spans="1:3" ht="20.100000000000001" customHeight="1" x14ac:dyDescent="0.25">
      <c r="A40" s="13">
        <v>28</v>
      </c>
      <c r="B40" s="49" t="s">
        <v>812</v>
      </c>
      <c r="C40" s="13">
        <f>data!D190</f>
        <v>8155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813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Luke's Rehabilitation Institute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814</v>
      </c>
      <c r="D5" s="47"/>
      <c r="E5" s="47"/>
      <c r="F5" s="72" t="s">
        <v>815</v>
      </c>
    </row>
    <row r="6" spans="1:13" ht="20.100000000000001" customHeight="1" x14ac:dyDescent="0.25">
      <c r="A6" s="19"/>
      <c r="B6" s="20"/>
      <c r="C6" s="18" t="s">
        <v>816</v>
      </c>
      <c r="D6" s="18" t="s">
        <v>329</v>
      </c>
      <c r="E6" s="18" t="s">
        <v>817</v>
      </c>
      <c r="F6" s="18" t="s">
        <v>816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622796.51</v>
      </c>
      <c r="D7" s="21">
        <f>data!C195</f>
        <v>0</v>
      </c>
      <c r="E7" s="21">
        <f>data!D195</f>
        <v>0</v>
      </c>
      <c r="F7" s="21">
        <f>data!E195</f>
        <v>622796.51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587456</v>
      </c>
      <c r="D8" s="21">
        <f>data!C196</f>
        <v>0</v>
      </c>
      <c r="E8" s="21">
        <f>data!D196</f>
        <v>0</v>
      </c>
      <c r="F8" s="21">
        <f>data!E196</f>
        <v>587456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21162488</v>
      </c>
      <c r="D9" s="21">
        <f>data!C197</f>
        <v>0</v>
      </c>
      <c r="E9" s="21">
        <f>data!D197</f>
        <v>0</v>
      </c>
      <c r="F9" s="21">
        <f>data!E197</f>
        <v>21162488</v>
      </c>
    </row>
    <row r="10" spans="1:13" ht="20.100000000000001" customHeight="1" x14ac:dyDescent="0.25">
      <c r="A10" s="13">
        <v>4</v>
      </c>
      <c r="B10" s="14" t="s">
        <v>818</v>
      </c>
      <c r="C10" s="21">
        <f>data!B198</f>
        <v>6336232.3600000003</v>
      </c>
      <c r="D10" s="21">
        <f>data!C198</f>
        <v>0</v>
      </c>
      <c r="E10" s="21">
        <f>data!D198</f>
        <v>0</v>
      </c>
      <c r="F10" s="21">
        <f>data!E198</f>
        <v>6336232.3600000003</v>
      </c>
    </row>
    <row r="11" spans="1:13" ht="20.100000000000001" customHeight="1" x14ac:dyDescent="0.25">
      <c r="A11" s="13">
        <v>5</v>
      </c>
      <c r="B11" s="14" t="s">
        <v>819</v>
      </c>
      <c r="C11" s="21">
        <f>data!B199</f>
        <v>979108</v>
      </c>
      <c r="D11" s="21">
        <f>data!C199</f>
        <v>0</v>
      </c>
      <c r="E11" s="21">
        <f>data!D199</f>
        <v>0</v>
      </c>
      <c r="F11" s="21">
        <f>data!E199</f>
        <v>979108</v>
      </c>
    </row>
    <row r="12" spans="1:13" ht="20.100000000000001" customHeight="1" x14ac:dyDescent="0.25">
      <c r="A12" s="13">
        <v>6</v>
      </c>
      <c r="B12" s="14" t="s">
        <v>820</v>
      </c>
      <c r="C12" s="21">
        <f>data!B200</f>
        <v>5116650.97</v>
      </c>
      <c r="D12" s="21">
        <f>data!C200</f>
        <v>100514.67</v>
      </c>
      <c r="E12" s="21">
        <f>data!D200</f>
        <v>117989.84</v>
      </c>
      <c r="F12" s="21">
        <f>data!E200</f>
        <v>5099175.8</v>
      </c>
    </row>
    <row r="13" spans="1:13" ht="20.100000000000001" customHeight="1" x14ac:dyDescent="0.25">
      <c r="A13" s="13">
        <v>7</v>
      </c>
      <c r="B13" s="14" t="s">
        <v>821</v>
      </c>
      <c r="C13" s="21">
        <f>data!B201</f>
        <v>686414</v>
      </c>
      <c r="D13" s="21">
        <f>data!C201</f>
        <v>0</v>
      </c>
      <c r="E13" s="21">
        <f>data!D201</f>
        <v>0</v>
      </c>
      <c r="F13" s="21">
        <f>data!E201</f>
        <v>686414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822</v>
      </c>
      <c r="C15" s="21">
        <f>data!B203</f>
        <v>20719.25</v>
      </c>
      <c r="D15" s="21">
        <f>data!C203</f>
        <v>750983.22</v>
      </c>
      <c r="E15" s="21">
        <f>data!D203</f>
        <v>0</v>
      </c>
      <c r="F15" s="21">
        <f>data!E203</f>
        <v>771702.47</v>
      </c>
      <c r="M15" s="264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35511865.090000004</v>
      </c>
      <c r="D16" s="21">
        <f>data!C204</f>
        <v>851497.89</v>
      </c>
      <c r="E16" s="21">
        <f>data!D204</f>
        <v>117989.84</v>
      </c>
      <c r="F16" s="21">
        <f>data!E204</f>
        <v>36245373.140000001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814</v>
      </c>
      <c r="D21" s="76" t="s">
        <v>203</v>
      </c>
      <c r="E21" s="25"/>
      <c r="F21" s="18" t="s">
        <v>815</v>
      </c>
    </row>
    <row r="22" spans="1:6" ht="20.100000000000001" customHeight="1" x14ac:dyDescent="0.25">
      <c r="A22" s="75"/>
      <c r="B22" s="44"/>
      <c r="C22" s="18" t="s">
        <v>816</v>
      </c>
      <c r="D22" s="18" t="s">
        <v>823</v>
      </c>
      <c r="E22" s="18" t="s">
        <v>817</v>
      </c>
      <c r="F22" s="18" t="s">
        <v>816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582766.81000000006</v>
      </c>
      <c r="D24" s="21">
        <f>data!C209</f>
        <v>3456.98</v>
      </c>
      <c r="E24" s="21">
        <f>data!D209</f>
        <v>0</v>
      </c>
      <c r="F24" s="21">
        <f>data!E209</f>
        <v>586223.79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12857948.23</v>
      </c>
      <c r="D25" s="21">
        <f>data!C210</f>
        <v>714799.57</v>
      </c>
      <c r="E25" s="21">
        <f>data!D210</f>
        <v>0</v>
      </c>
      <c r="F25" s="21">
        <f>data!E210</f>
        <v>13572747.800000001</v>
      </c>
    </row>
    <row r="26" spans="1:6" ht="20.100000000000001" customHeight="1" x14ac:dyDescent="0.25">
      <c r="A26" s="13">
        <v>14</v>
      </c>
      <c r="B26" s="14" t="s">
        <v>818</v>
      </c>
      <c r="C26" s="21">
        <f>data!B211</f>
        <v>4499181.91</v>
      </c>
      <c r="D26" s="21">
        <f>data!C211</f>
        <v>131367.4</v>
      </c>
      <c r="E26" s="21">
        <f>data!D211</f>
        <v>0</v>
      </c>
      <c r="F26" s="21">
        <f>data!E211</f>
        <v>4630549.3100000005</v>
      </c>
    </row>
    <row r="27" spans="1:6" ht="20.100000000000001" customHeight="1" x14ac:dyDescent="0.25">
      <c r="A27" s="13">
        <v>15</v>
      </c>
      <c r="B27" s="14" t="s">
        <v>819</v>
      </c>
      <c r="C27" s="21">
        <f>data!B212</f>
        <v>962476.86</v>
      </c>
      <c r="D27" s="21">
        <f>data!C212</f>
        <v>8816.64</v>
      </c>
      <c r="E27" s="21">
        <f>data!D212</f>
        <v>0</v>
      </c>
      <c r="F27" s="21">
        <f>data!E212</f>
        <v>971293.5</v>
      </c>
    </row>
    <row r="28" spans="1:6" ht="20.100000000000001" customHeight="1" x14ac:dyDescent="0.25">
      <c r="A28" s="13">
        <v>16</v>
      </c>
      <c r="B28" s="14" t="s">
        <v>820</v>
      </c>
      <c r="C28" s="21">
        <f>data!B213</f>
        <v>4020191.4600000004</v>
      </c>
      <c r="D28" s="21">
        <f>data!C213</f>
        <v>267431.62</v>
      </c>
      <c r="E28" s="21">
        <f>data!D213</f>
        <v>92177.37</v>
      </c>
      <c r="F28" s="21">
        <f>data!E213</f>
        <v>4195445.71</v>
      </c>
    </row>
    <row r="29" spans="1:6" ht="20.100000000000001" customHeight="1" x14ac:dyDescent="0.25">
      <c r="A29" s="13">
        <v>17</v>
      </c>
      <c r="B29" s="14" t="s">
        <v>821</v>
      </c>
      <c r="C29" s="21">
        <f>data!B214</f>
        <v>686413.89</v>
      </c>
      <c r="D29" s="21">
        <f>data!C214</f>
        <v>0</v>
      </c>
      <c r="E29" s="21">
        <f>data!D214</f>
        <v>0</v>
      </c>
      <c r="F29" s="21">
        <f>data!E214</f>
        <v>686413.89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822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23608979.160000004</v>
      </c>
      <c r="D32" s="21">
        <f>data!C217</f>
        <v>1125872.21</v>
      </c>
      <c r="E32" s="21">
        <f>data!D217</f>
        <v>92177.37</v>
      </c>
      <c r="F32" s="21">
        <f>data!E217</f>
        <v>24642674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824</v>
      </c>
      <c r="B1" s="6"/>
      <c r="C1" s="6"/>
      <c r="D1" s="169" t="s">
        <v>825</v>
      </c>
    </row>
    <row r="2" spans="1:13" ht="20.100000000000001" customHeight="1" x14ac:dyDescent="0.25">
      <c r="A2" s="29" t="str">
        <f>"Hospital: "&amp;data!C84</f>
        <v>Hospital: St. Luke's Rehabilitation Institute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826</v>
      </c>
      <c r="C4" s="41" t="s">
        <v>827</v>
      </c>
      <c r="D4" s="54"/>
    </row>
    <row r="5" spans="1:13" ht="20.100000000000001" customHeight="1" x14ac:dyDescent="0.25">
      <c r="A5" s="102">
        <v>1</v>
      </c>
      <c r="B5" s="55"/>
      <c r="C5" s="22" t="s">
        <v>990</v>
      </c>
      <c r="D5" s="14">
        <f>data!D221</f>
        <v>-525570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31648421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17890743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828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19394952</v>
      </c>
    </row>
    <row r="13" spans="1:13" ht="20.100000000000001" customHeight="1" x14ac:dyDescent="0.25">
      <c r="A13" s="23">
        <v>9</v>
      </c>
      <c r="B13" s="24"/>
      <c r="C13" s="14" t="s">
        <v>829</v>
      </c>
      <c r="D13" s="14">
        <f>data!D229</f>
        <v>68934116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830</v>
      </c>
      <c r="D16" s="140">
        <f>+data!C231</f>
        <v>0</v>
      </c>
      <c r="M16" s="264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1016856</v>
      </c>
    </row>
    <row r="19" spans="1:4" ht="20.100000000000001" customHeight="1" x14ac:dyDescent="0.25">
      <c r="A19" s="61">
        <v>15</v>
      </c>
      <c r="B19" s="55">
        <v>5910</v>
      </c>
      <c r="C19" s="22" t="s">
        <v>831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832</v>
      </c>
      <c r="D22" s="14">
        <f>data!D236</f>
        <v>1016856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833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834</v>
      </c>
      <c r="C27" s="56"/>
      <c r="D27" s="14">
        <f>data!D242</f>
        <v>69425402</v>
      </c>
    </row>
    <row r="28" spans="1:4" ht="20.100000000000001" customHeight="1" x14ac:dyDescent="0.25">
      <c r="A28" s="126">
        <v>24</v>
      </c>
      <c r="B28" s="65" t="s">
        <v>835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836</v>
      </c>
      <c r="B1" s="5"/>
      <c r="C1" s="6"/>
    </row>
    <row r="2" spans="1:13" ht="20.100000000000001" customHeight="1" x14ac:dyDescent="0.25">
      <c r="A2" s="4"/>
      <c r="B2" s="5"/>
      <c r="C2" s="167" t="s">
        <v>837</v>
      </c>
    </row>
    <row r="3" spans="1:13" ht="20.100000000000001" customHeight="1" x14ac:dyDescent="0.25">
      <c r="A3" s="29" t="str">
        <f>"HOSPITAL: "&amp;data!C84</f>
        <v>HOSPITAL: St. Luke's Rehabilitation Institute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838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925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19882516</v>
      </c>
    </row>
    <row r="9" spans="1:13" ht="20.100000000000001" customHeight="1" x14ac:dyDescent="0.25">
      <c r="A9" s="13">
        <v>5</v>
      </c>
      <c r="B9" s="14" t="s">
        <v>839</v>
      </c>
      <c r="C9" s="21">
        <f>data!C253</f>
        <v>12438270</v>
      </c>
    </row>
    <row r="10" spans="1:13" ht="20.100000000000001" customHeight="1" x14ac:dyDescent="0.25">
      <c r="A10" s="13">
        <v>6</v>
      </c>
      <c r="B10" s="14" t="s">
        <v>840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841</v>
      </c>
      <c r="C11" s="21">
        <f>data!C255</f>
        <v>174040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151294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39828</v>
      </c>
    </row>
    <row r="15" spans="1:13" ht="20.100000000000001" customHeight="1" x14ac:dyDescent="0.25">
      <c r="A15" s="13">
        <v>11</v>
      </c>
      <c r="B15" s="14" t="s">
        <v>842</v>
      </c>
      <c r="C15" s="21">
        <f>data!C259</f>
        <v>0</v>
      </c>
      <c r="M15" s="264"/>
    </row>
    <row r="16" spans="1:13" ht="20.100000000000001" customHeight="1" x14ac:dyDescent="0.25">
      <c r="A16" s="13">
        <v>12</v>
      </c>
      <c r="B16" s="14" t="s">
        <v>843</v>
      </c>
      <c r="C16" s="21">
        <f>data!D260</f>
        <v>7810333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844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845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846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622797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587456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21162488</v>
      </c>
    </row>
    <row r="28" spans="1:3" ht="20.100000000000001" customHeight="1" x14ac:dyDescent="0.25">
      <c r="A28" s="13">
        <v>24</v>
      </c>
      <c r="B28" s="14" t="s">
        <v>847</v>
      </c>
      <c r="C28" s="21">
        <f>data!C270</f>
        <v>6336232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979108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5785589.9900000012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771701.98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36245372.969999999</v>
      </c>
    </row>
    <row r="34" spans="1:3" ht="20.100000000000001" customHeight="1" x14ac:dyDescent="0.25">
      <c r="A34" s="13">
        <v>30</v>
      </c>
      <c r="B34" s="14" t="s">
        <v>848</v>
      </c>
      <c r="C34" s="21">
        <f>data!C276</f>
        <v>24642674</v>
      </c>
    </row>
    <row r="35" spans="1:3" ht="20.100000000000001" customHeight="1" x14ac:dyDescent="0.25">
      <c r="A35" s="13">
        <v>31</v>
      </c>
      <c r="B35" s="14" t="s">
        <v>849</v>
      </c>
      <c r="C35" s="21">
        <f>data!D277</f>
        <v>11602698.969999999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850</v>
      </c>
      <c r="C37" s="36"/>
    </row>
    <row r="38" spans="1:3" ht="20.100000000000001" customHeight="1" x14ac:dyDescent="0.25">
      <c r="A38" s="13">
        <v>34</v>
      </c>
      <c r="B38" s="14" t="s">
        <v>851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852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331201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853</v>
      </c>
      <c r="C42" s="21">
        <f>data!D283</f>
        <v>331201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854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855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856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857</v>
      </c>
      <c r="C50" s="21">
        <f>data!D292</f>
        <v>19744232.969999999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858</v>
      </c>
      <c r="B53" s="5"/>
      <c r="C53" s="6"/>
    </row>
    <row r="54" spans="1:3" ht="20.100000000000001" customHeight="1" x14ac:dyDescent="0.25">
      <c r="A54" s="4"/>
      <c r="B54" s="5"/>
      <c r="C54" s="167" t="s">
        <v>859</v>
      </c>
    </row>
    <row r="55" spans="1:3" ht="20.100000000000001" customHeight="1" x14ac:dyDescent="0.25">
      <c r="A55" s="29" t="str">
        <f>"HOSPITAL: "&amp;data!C84</f>
        <v>HOSPITAL: St. Luke's Rehabilitation Institute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860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861</v>
      </c>
      <c r="C59" s="21">
        <f>data!C305</f>
        <v>1806571</v>
      </c>
    </row>
    <row r="60" spans="1:3" ht="20.100000000000001" customHeight="1" x14ac:dyDescent="0.25">
      <c r="A60" s="13">
        <v>4</v>
      </c>
      <c r="B60" s="14" t="s">
        <v>862</v>
      </c>
      <c r="C60" s="21">
        <f>data!C306</f>
        <v>3302207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863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864</v>
      </c>
      <c r="C63" s="21">
        <f>data!C309</f>
        <v>374912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21981387</v>
      </c>
    </row>
    <row r="67" spans="1:3" ht="20.100000000000001" customHeight="1" x14ac:dyDescent="0.25">
      <c r="A67" s="13">
        <v>11</v>
      </c>
      <c r="B67" s="14" t="s">
        <v>865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866</v>
      </c>
      <c r="C68" s="21">
        <f>data!D314</f>
        <v>27465077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867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868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869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870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871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872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148000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148000</v>
      </c>
    </row>
    <row r="85" spans="1:3" ht="20.100000000000001" customHeight="1" x14ac:dyDescent="0.25">
      <c r="A85" s="13">
        <v>29</v>
      </c>
      <c r="B85" s="14" t="s">
        <v>873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874</v>
      </c>
      <c r="C86" s="21">
        <f>data!D330</f>
        <v>148000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875</v>
      </c>
      <c r="C88" s="21">
        <f>data!C332</f>
        <v>-7868844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876</v>
      </c>
      <c r="C90" s="36"/>
    </row>
    <row r="91" spans="1:3" ht="20.100000000000001" customHeight="1" x14ac:dyDescent="0.25">
      <c r="A91" s="13">
        <v>35</v>
      </c>
      <c r="B91" s="14" t="s">
        <v>877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878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879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880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881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882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883</v>
      </c>
      <c r="C101" s="21">
        <f>data!C332+data!C334+data!C335+data!C336+data!C337-data!C338</f>
        <v>-7868844</v>
      </c>
    </row>
    <row r="102" spans="1:3" ht="20.100000000000001" customHeight="1" x14ac:dyDescent="0.25">
      <c r="A102" s="13">
        <v>46</v>
      </c>
      <c r="B102" s="14" t="s">
        <v>884</v>
      </c>
      <c r="C102" s="21">
        <f>data!D339</f>
        <v>19744233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885</v>
      </c>
      <c r="B105" s="5"/>
      <c r="C105" s="6"/>
    </row>
    <row r="106" spans="1:3" ht="20.100000000000001" customHeight="1" x14ac:dyDescent="0.25">
      <c r="A106" s="45"/>
      <c r="B106" s="8"/>
      <c r="C106" s="167" t="s">
        <v>886</v>
      </c>
    </row>
    <row r="107" spans="1:3" ht="20.100000000000001" customHeight="1" x14ac:dyDescent="0.25">
      <c r="A107" s="29" t="str">
        <f>"HOSPITAL: "&amp;data!C84</f>
        <v>HOSPITAL: St. Luke's Rehabilitation Institute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887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75227608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41060189</v>
      </c>
    </row>
    <row r="112" spans="1:3" ht="20.100000000000001" customHeight="1" x14ac:dyDescent="0.25">
      <c r="A112" s="13">
        <v>4</v>
      </c>
      <c r="B112" s="14" t="s">
        <v>888</v>
      </c>
      <c r="C112" s="21">
        <f>data!D361</f>
        <v>116287797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889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-525570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68934116</v>
      </c>
    </row>
    <row r="117" spans="1:3" ht="20.100000000000001" customHeight="1" x14ac:dyDescent="0.25">
      <c r="A117" s="13">
        <v>9</v>
      </c>
      <c r="B117" s="14" t="s">
        <v>890</v>
      </c>
      <c r="C117" s="48">
        <f>data!C365</f>
        <v>1016856</v>
      </c>
    </row>
    <row r="118" spans="1:3" ht="20.100000000000001" customHeight="1" x14ac:dyDescent="0.25">
      <c r="A118" s="13">
        <v>10</v>
      </c>
      <c r="B118" s="14" t="s">
        <v>891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834</v>
      </c>
      <c r="C119" s="48">
        <f>data!D367</f>
        <v>69425402</v>
      </c>
    </row>
    <row r="120" spans="1:3" ht="20.100000000000001" customHeight="1" x14ac:dyDescent="0.25">
      <c r="A120" s="13">
        <v>12</v>
      </c>
      <c r="B120" s="14" t="s">
        <v>892</v>
      </c>
      <c r="C120" s="48">
        <f>data!D368</f>
        <v>46862395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2659825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893</v>
      </c>
      <c r="C125" s="48">
        <f>data!D372</f>
        <v>2659825</v>
      </c>
    </row>
    <row r="126" spans="1:3" ht="20.100000000000001" customHeight="1" x14ac:dyDescent="0.25">
      <c r="A126" s="13">
        <v>18</v>
      </c>
      <c r="B126" s="14" t="s">
        <v>894</v>
      </c>
      <c r="C126" s="48">
        <f>data!D373</f>
        <v>49522220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895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33654233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8363088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710362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2103823</v>
      </c>
    </row>
    <row r="133" spans="1:3" ht="20.100000000000001" customHeight="1" x14ac:dyDescent="0.25">
      <c r="A133" s="13">
        <v>25</v>
      </c>
      <c r="B133" s="14" t="s">
        <v>896</v>
      </c>
      <c r="C133" s="48">
        <f>data!C382</f>
        <v>640427</v>
      </c>
    </row>
    <row r="134" spans="1:3" ht="20.100000000000001" customHeight="1" x14ac:dyDescent="0.25">
      <c r="A134" s="13">
        <v>26</v>
      </c>
      <c r="B134" s="14" t="s">
        <v>897</v>
      </c>
      <c r="C134" s="48">
        <f>data!C383</f>
        <v>5328452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1125872</v>
      </c>
    </row>
    <row r="136" spans="1:3" ht="20.100000000000001" customHeight="1" x14ac:dyDescent="0.25">
      <c r="A136" s="13">
        <v>28</v>
      </c>
      <c r="B136" s="14" t="s">
        <v>898</v>
      </c>
      <c r="C136" s="48">
        <f>data!C385</f>
        <v>831159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899</v>
      </c>
      <c r="C138" s="48">
        <f>data!C387</f>
        <v>943381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8155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540615</v>
      </c>
    </row>
    <row r="141" spans="1:3" ht="20.100000000000001" customHeight="1" x14ac:dyDescent="0.25">
      <c r="A141" s="13">
        <v>34</v>
      </c>
      <c r="B141" s="14" t="s">
        <v>900</v>
      </c>
      <c r="C141" s="48">
        <f>data!D390</f>
        <v>54249567</v>
      </c>
    </row>
    <row r="142" spans="1:3" ht="20.100000000000001" customHeight="1" x14ac:dyDescent="0.25">
      <c r="A142" s="13">
        <v>35</v>
      </c>
      <c r="B142" s="14" t="s">
        <v>901</v>
      </c>
      <c r="C142" s="48">
        <f>data!D391</f>
        <v>-4727347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902</v>
      </c>
      <c r="C144" s="48">
        <f>data!C392</f>
        <v>10184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903</v>
      </c>
      <c r="C146" s="21">
        <f>data!D393</f>
        <v>-4717163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904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905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906</v>
      </c>
      <c r="C151" s="48">
        <f>data!D396</f>
        <v>-4717163</v>
      </c>
    </row>
    <row r="152" spans="1:3" ht="20.100000000000001" customHeight="1" x14ac:dyDescent="0.25">
      <c r="A152" s="40">
        <v>45</v>
      </c>
      <c r="B152" s="49" t="s">
        <v>907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C280" sqref="C280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908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909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Luke's Rehabilitation Institute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910</v>
      </c>
      <c r="C6" s="88" t="s">
        <v>92</v>
      </c>
      <c r="D6" s="18" t="s">
        <v>911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912</v>
      </c>
      <c r="E7" s="18" t="s">
        <v>163</v>
      </c>
      <c r="F7" s="18" t="s">
        <v>913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914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19848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139.6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9355370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2324812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420483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3851</v>
      </c>
      <c r="H15" s="14">
        <f>data!H65</f>
        <v>0</v>
      </c>
      <c r="I15" s="14">
        <f>data!I65</f>
        <v>0</v>
      </c>
      <c r="M15" s="263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855172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213542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152249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7571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-39570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915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13293480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916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7434555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917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37546840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918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919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37546840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920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921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36069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922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59439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923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36069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924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112624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67.03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908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925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Luke's Rehabilitation Institute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910</v>
      </c>
      <c r="C38" s="25"/>
      <c r="D38" s="18" t="s">
        <v>100</v>
      </c>
      <c r="E38" s="18" t="s">
        <v>101</v>
      </c>
      <c r="F38" s="18" t="s">
        <v>926</v>
      </c>
      <c r="G38" s="18" t="s">
        <v>103</v>
      </c>
      <c r="H38" s="18" t="s">
        <v>927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914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915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916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917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918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919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920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921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922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923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924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908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928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Luke's Rehabilitation Institute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910</v>
      </c>
      <c r="C70" s="18" t="s">
        <v>106</v>
      </c>
      <c r="D70" s="25"/>
      <c r="E70" s="18" t="s">
        <v>108</v>
      </c>
      <c r="F70" s="18" t="s">
        <v>929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930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914</v>
      </c>
      <c r="C72" s="15" t="s">
        <v>931</v>
      </c>
      <c r="D72" s="89" t="s">
        <v>932</v>
      </c>
      <c r="E72" s="208"/>
      <c r="F72" s="208"/>
      <c r="G72" s="89" t="s">
        <v>933</v>
      </c>
      <c r="H72" s="89" t="s">
        <v>933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97213</v>
      </c>
      <c r="H73" s="14">
        <f>data!V59</f>
        <v>0</v>
      </c>
      <c r="I73" s="14">
        <f>data!W59</f>
        <v>25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1.94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75543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18772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507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454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3640</v>
      </c>
      <c r="F80" s="14">
        <f>data!T66</f>
        <v>0</v>
      </c>
      <c r="G80" s="14">
        <f>data!U66</f>
        <v>161943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-1537</v>
      </c>
      <c r="F83" s="14">
        <f>data!T69</f>
        <v>0</v>
      </c>
      <c r="G83" s="14">
        <f>data!U69</f>
        <v>58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915</v>
      </c>
      <c r="C85" s="14">
        <f>data!Q71</f>
        <v>0</v>
      </c>
      <c r="D85" s="14">
        <f>data!R71</f>
        <v>0</v>
      </c>
      <c r="E85" s="14">
        <f>data!S71</f>
        <v>97379</v>
      </c>
      <c r="F85" s="14">
        <f>data!T71</f>
        <v>0</v>
      </c>
      <c r="G85" s="14">
        <f>data!U71</f>
        <v>162001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916</v>
      </c>
      <c r="C87" s="48">
        <f>+data!M682</f>
        <v>0</v>
      </c>
      <c r="D87" s="48">
        <f>+data!M683</f>
        <v>0</v>
      </c>
      <c r="E87" s="48">
        <f>+data!M684</f>
        <v>8929</v>
      </c>
      <c r="F87" s="48">
        <f>+data!M685</f>
        <v>0</v>
      </c>
      <c r="G87" s="48">
        <f>+data!M686</f>
        <v>294185</v>
      </c>
      <c r="H87" s="48">
        <f>+data!M687</f>
        <v>0</v>
      </c>
      <c r="I87" s="48">
        <f>+data!M688</f>
        <v>3333</v>
      </c>
    </row>
    <row r="88" spans="1:9" ht="20.100000000000001" customHeight="1" x14ac:dyDescent="0.25">
      <c r="A88" s="23">
        <v>19</v>
      </c>
      <c r="B88" s="48" t="s">
        <v>917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4398296</v>
      </c>
      <c r="H88" s="14">
        <f>data!V73</f>
        <v>0</v>
      </c>
      <c r="I88" s="14">
        <f>data!W73</f>
        <v>53041</v>
      </c>
    </row>
    <row r="89" spans="1:9" ht="20.100000000000001" customHeight="1" x14ac:dyDescent="0.25">
      <c r="A89" s="23">
        <v>20</v>
      </c>
      <c r="B89" s="48" t="s">
        <v>918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919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4398296</v>
      </c>
      <c r="H90" s="14">
        <f>data!V75</f>
        <v>0</v>
      </c>
      <c r="I90" s="14">
        <f>data!W75</f>
        <v>53041</v>
      </c>
    </row>
    <row r="91" spans="1:9" ht="20.100000000000001" customHeight="1" x14ac:dyDescent="0.25">
      <c r="A91" s="23" t="s">
        <v>920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921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922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923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924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908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934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Luke's Rehabilitation Institute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910</v>
      </c>
      <c r="C102" s="18" t="s">
        <v>935</v>
      </c>
      <c r="D102" s="18" t="s">
        <v>936</v>
      </c>
      <c r="E102" s="18" t="s">
        <v>936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914</v>
      </c>
      <c r="C104" s="89" t="s">
        <v>224</v>
      </c>
      <c r="D104" s="15" t="s">
        <v>937</v>
      </c>
      <c r="E104" s="15" t="s">
        <v>937</v>
      </c>
      <c r="F104" s="15" t="s">
        <v>937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137</v>
      </c>
      <c r="D105" s="14">
        <f>data!Y59</f>
        <v>226</v>
      </c>
      <c r="E105" s="14">
        <f>data!Z59</f>
        <v>0</v>
      </c>
      <c r="F105" s="14">
        <f>data!AA59</f>
        <v>4</v>
      </c>
      <c r="G105" s="208"/>
      <c r="H105" s="14">
        <f>data!AC59</f>
        <v>8219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7.29</v>
      </c>
      <c r="H106" s="26">
        <f>data!AC60</f>
        <v>6.16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730819</v>
      </c>
      <c r="H107" s="14">
        <f>data!AC61</f>
        <v>461091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181609</v>
      </c>
      <c r="H108" s="14">
        <f>data!AC62</f>
        <v>114581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465959</v>
      </c>
      <c r="H110" s="14">
        <f>data!AC64</f>
        <v>53111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653</v>
      </c>
      <c r="H111" s="14">
        <f>data!AC65</f>
        <v>660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29634</v>
      </c>
      <c r="H112" s="14">
        <f>data!AC66</f>
        <v>2553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6258</v>
      </c>
      <c r="H113" s="14">
        <f>data!AC67</f>
        <v>3315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15417</v>
      </c>
      <c r="H114" s="14">
        <f>data!AC68</f>
        <v>7908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33826</v>
      </c>
      <c r="E115" s="14">
        <f>data!Z69</f>
        <v>0</v>
      </c>
      <c r="F115" s="14">
        <f>data!AA69</f>
        <v>0</v>
      </c>
      <c r="G115" s="14">
        <f>data!AB69</f>
        <v>148</v>
      </c>
      <c r="H115" s="14">
        <f>data!AC69</f>
        <v>370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-299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915</v>
      </c>
      <c r="C117" s="14">
        <f>data!X71</f>
        <v>0</v>
      </c>
      <c r="D117" s="14">
        <f>data!Y71</f>
        <v>33826</v>
      </c>
      <c r="E117" s="14">
        <f>data!Z71</f>
        <v>0</v>
      </c>
      <c r="F117" s="14">
        <f>data!AA71</f>
        <v>0</v>
      </c>
      <c r="G117" s="14">
        <f>data!AB71</f>
        <v>1430198</v>
      </c>
      <c r="H117" s="14">
        <f>data!AC71</f>
        <v>643589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916</v>
      </c>
      <c r="C119" s="48">
        <f>+data!M689</f>
        <v>13330</v>
      </c>
      <c r="D119" s="48">
        <f>+data!M690</f>
        <v>20733</v>
      </c>
      <c r="E119" s="48">
        <f>+data!M691</f>
        <v>0</v>
      </c>
      <c r="F119" s="48">
        <f>+data!M692</f>
        <v>81</v>
      </c>
      <c r="G119" s="48">
        <f>+data!M693</f>
        <v>445757</v>
      </c>
      <c r="H119" s="48">
        <f>+data!M694</f>
        <v>205773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917</v>
      </c>
      <c r="C120" s="14">
        <f>data!X73</f>
        <v>212143</v>
      </c>
      <c r="D120" s="14">
        <f>data!Y73</f>
        <v>270739</v>
      </c>
      <c r="E120" s="14">
        <f>data!Z73</f>
        <v>0</v>
      </c>
      <c r="F120" s="14">
        <f>data!AA73</f>
        <v>1288</v>
      </c>
      <c r="G120" s="14">
        <f>data!AB73</f>
        <v>4125321</v>
      </c>
      <c r="H120" s="14">
        <f>data!AC73</f>
        <v>1935455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918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919</v>
      </c>
      <c r="C122" s="14">
        <f>data!X75</f>
        <v>212143</v>
      </c>
      <c r="D122" s="14">
        <f>data!Y75</f>
        <v>270739</v>
      </c>
      <c r="E122" s="14">
        <f>data!Z75</f>
        <v>0</v>
      </c>
      <c r="F122" s="14">
        <f>data!AA75</f>
        <v>1288</v>
      </c>
      <c r="G122" s="14">
        <f>data!AB75</f>
        <v>4125321</v>
      </c>
      <c r="H122" s="14">
        <f>data!AC75</f>
        <v>1935455</v>
      </c>
      <c r="I122" s="14">
        <f>data!AD75</f>
        <v>0</v>
      </c>
    </row>
    <row r="123" spans="1:9" ht="20.100000000000001" customHeight="1" x14ac:dyDescent="0.25">
      <c r="A123" s="23" t="s">
        <v>920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921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1057</v>
      </c>
      <c r="H124" s="14">
        <f>data!AC76</f>
        <v>560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922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923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1057</v>
      </c>
      <c r="H126" s="14">
        <f>data!AC78</f>
        <v>560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924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908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938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Luke's Rehabilitation Institute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910</v>
      </c>
      <c r="C134" s="18" t="s">
        <v>96</v>
      </c>
      <c r="D134" s="18" t="s">
        <v>97</v>
      </c>
      <c r="E134" s="18" t="s">
        <v>118</v>
      </c>
      <c r="F134" s="25"/>
      <c r="G134" s="18" t="s">
        <v>939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914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940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97520</v>
      </c>
      <c r="D137" s="14">
        <f>data!AF59</f>
        <v>10647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58575</v>
      </c>
      <c r="I137" s="14">
        <f>data!AK59</f>
        <v>104962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35.94</v>
      </c>
      <c r="D138" s="26">
        <f>data!AF60</f>
        <v>2.06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72.67</v>
      </c>
      <c r="I138" s="26">
        <f>data!AK60</f>
        <v>19.07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2369503</v>
      </c>
      <c r="D139" s="14">
        <f>data!AF61</f>
        <v>214344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7812774</v>
      </c>
      <c r="I139" s="14">
        <f>data!AK61</f>
        <v>1388789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588822</v>
      </c>
      <c r="D140" s="14">
        <f>data!AF62</f>
        <v>53265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1941477</v>
      </c>
      <c r="I140" s="14">
        <f>data!AK62</f>
        <v>345115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345592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42745</v>
      </c>
      <c r="D142" s="14">
        <f>data!AF64</f>
        <v>2361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133132</v>
      </c>
      <c r="I142" s="14">
        <f>data!AK64</f>
        <v>32050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3190</v>
      </c>
      <c r="D143" s="14">
        <f>data!AF65</f>
        <v>1423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28218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15851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230032</v>
      </c>
      <c r="I144" s="14">
        <f>data!AK66</f>
        <v>2025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58641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114311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1233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40716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8730</v>
      </c>
      <c r="D147" s="14">
        <f>data!AF69</f>
        <v>2059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129077.26</v>
      </c>
      <c r="I147" s="14">
        <f>data!AK69</f>
        <v>3959.5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-4152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-1961783</v>
      </c>
      <c r="I148" s="14">
        <f>-data!AK70</f>
        <v>-500</v>
      </c>
    </row>
    <row r="149" spans="1:9" ht="20.100000000000001" customHeight="1" x14ac:dyDescent="0.25">
      <c r="A149" s="23">
        <v>16</v>
      </c>
      <c r="B149" s="48" t="s">
        <v>915</v>
      </c>
      <c r="C149" s="14">
        <f>data!AE71</f>
        <v>3084563</v>
      </c>
      <c r="D149" s="14">
        <f>data!AF71</f>
        <v>273452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8813546.2599999998</v>
      </c>
      <c r="I149" s="14">
        <f>data!AK71</f>
        <v>1771438.5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916</v>
      </c>
      <c r="C151" s="48">
        <f>+data!M696</f>
        <v>1324987</v>
      </c>
      <c r="D151" s="48">
        <f>+data!M697</f>
        <v>86106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3121614</v>
      </c>
      <c r="I151" s="48">
        <f>+data!M702</f>
        <v>901519</v>
      </c>
    </row>
    <row r="152" spans="1:9" ht="20.100000000000001" customHeight="1" x14ac:dyDescent="0.25">
      <c r="A152" s="23">
        <v>19</v>
      </c>
      <c r="B152" s="48" t="s">
        <v>917</v>
      </c>
      <c r="C152" s="14">
        <f>data!AE73</f>
        <v>10280869</v>
      </c>
      <c r="D152" s="14">
        <f>data!AF73</f>
        <v>921716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11525086</v>
      </c>
    </row>
    <row r="153" spans="1:9" ht="20.100000000000001" customHeight="1" x14ac:dyDescent="0.25">
      <c r="A153" s="23">
        <v>20</v>
      </c>
      <c r="B153" s="48" t="s">
        <v>918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24876108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919</v>
      </c>
      <c r="C154" s="14">
        <f>data!AE75</f>
        <v>10280869</v>
      </c>
      <c r="D154" s="14">
        <f>data!AF75</f>
        <v>921716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24876108</v>
      </c>
      <c r="I154" s="14">
        <f>data!AK75</f>
        <v>11525086</v>
      </c>
    </row>
    <row r="155" spans="1:9" ht="20.100000000000001" customHeight="1" x14ac:dyDescent="0.25">
      <c r="A155" s="23" t="s">
        <v>920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921</v>
      </c>
      <c r="C156" s="14">
        <f>data!AE76</f>
        <v>9905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19308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922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923</v>
      </c>
      <c r="C158" s="14">
        <f>data!AE78</f>
        <v>9905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19308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924</v>
      </c>
      <c r="C159" s="14">
        <f>data!AE79</f>
        <v>30216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908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941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Luke's Rehabilitation Institute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910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942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943</v>
      </c>
      <c r="F167" s="18" t="s">
        <v>182</v>
      </c>
      <c r="G167" s="18" t="s">
        <v>121</v>
      </c>
      <c r="H167" s="88" t="s">
        <v>944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914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20781</v>
      </c>
      <c r="D169" s="14">
        <f>data!AM59</f>
        <v>15749</v>
      </c>
      <c r="E169" s="14">
        <f>data!AN59</f>
        <v>0</v>
      </c>
      <c r="F169" s="14">
        <f>data!AO59</f>
        <v>0</v>
      </c>
      <c r="G169" s="14">
        <f>data!AP59</f>
        <v>48710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7.11</v>
      </c>
      <c r="D170" s="26">
        <f>data!AM60</f>
        <v>3.48</v>
      </c>
      <c r="E170" s="26">
        <f>data!AN60</f>
        <v>0</v>
      </c>
      <c r="F170" s="26">
        <f>data!AO60</f>
        <v>0</v>
      </c>
      <c r="G170" s="26">
        <f>data!AP60</f>
        <v>31.75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575435</v>
      </c>
      <c r="D171" s="14">
        <f>data!AM61</f>
        <v>201847</v>
      </c>
      <c r="E171" s="14">
        <f>data!AN61</f>
        <v>0</v>
      </c>
      <c r="F171" s="14">
        <f>data!AO61</f>
        <v>0</v>
      </c>
      <c r="G171" s="14">
        <f>data!AP61</f>
        <v>2612227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142996</v>
      </c>
      <c r="D172" s="14">
        <f>data!AM62</f>
        <v>50159</v>
      </c>
      <c r="E172" s="14">
        <f>data!AN62</f>
        <v>0</v>
      </c>
      <c r="F172" s="14">
        <f>data!AO62</f>
        <v>0</v>
      </c>
      <c r="G172" s="14">
        <f>data!AP62</f>
        <v>649139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8095</v>
      </c>
      <c r="D174" s="14">
        <f>data!AM64</f>
        <v>1096</v>
      </c>
      <c r="E174" s="14">
        <f>data!AN64</f>
        <v>0</v>
      </c>
      <c r="F174" s="14">
        <f>data!AO64</f>
        <v>0</v>
      </c>
      <c r="G174" s="14">
        <f>data!AP64</f>
        <v>33090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48196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141</v>
      </c>
      <c r="D176" s="14">
        <f>data!AM66</f>
        <v>1264</v>
      </c>
      <c r="E176" s="14">
        <f>data!AN66</f>
        <v>0</v>
      </c>
      <c r="F176" s="14">
        <f>data!AO66</f>
        <v>0</v>
      </c>
      <c r="G176" s="14">
        <f>data!AP66</f>
        <v>20939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166665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538027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2696</v>
      </c>
      <c r="D179" s="14">
        <f>data!AM69</f>
        <v>2862</v>
      </c>
      <c r="E179" s="14">
        <f>data!AN69</f>
        <v>0</v>
      </c>
      <c r="F179" s="14">
        <f>data!AO69</f>
        <v>0</v>
      </c>
      <c r="G179" s="14">
        <f>data!AP69</f>
        <v>8328.880000000001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-5299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915</v>
      </c>
      <c r="C181" s="14">
        <f>data!AL71</f>
        <v>729363</v>
      </c>
      <c r="D181" s="14">
        <f>data!AM71</f>
        <v>257228</v>
      </c>
      <c r="E181" s="14">
        <f>data!AN71</f>
        <v>0</v>
      </c>
      <c r="F181" s="14">
        <f>data!AO71</f>
        <v>0</v>
      </c>
      <c r="G181" s="14">
        <f>data!AP71</f>
        <v>4071312.88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916</v>
      </c>
      <c r="C183" s="48">
        <f>+data!M703</f>
        <v>214236</v>
      </c>
      <c r="D183" s="48">
        <f>+data!M704</f>
        <v>117931</v>
      </c>
      <c r="E183" s="48">
        <f>+data!M705</f>
        <v>0</v>
      </c>
      <c r="F183" s="48">
        <f>+data!M706</f>
        <v>0</v>
      </c>
      <c r="G183" s="48">
        <f>+data!M707</f>
        <v>2431180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917</v>
      </c>
      <c r="C184" s="14">
        <f>data!AL73</f>
        <v>2236526</v>
      </c>
      <c r="D184" s="14">
        <f>data!AM73</f>
        <v>1477421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918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16184085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919</v>
      </c>
      <c r="C186" s="14">
        <f>data!AL75</f>
        <v>2236526</v>
      </c>
      <c r="D186" s="14">
        <f>data!AM75</f>
        <v>1477421</v>
      </c>
      <c r="E186" s="14">
        <f>data!AN75</f>
        <v>0</v>
      </c>
      <c r="F186" s="14">
        <f>data!AO75</f>
        <v>0</v>
      </c>
      <c r="G186" s="14">
        <f>data!AP75</f>
        <v>16184085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920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921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28151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922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923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28151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924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32887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908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945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Luke's Rehabilitation Institute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910</v>
      </c>
      <c r="C198" s="25"/>
      <c r="D198" s="18" t="s">
        <v>130</v>
      </c>
      <c r="E198" s="18" t="s">
        <v>131</v>
      </c>
      <c r="F198" s="18" t="s">
        <v>132</v>
      </c>
      <c r="G198" s="18" t="s">
        <v>946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947</v>
      </c>
      <c r="E199" s="18" t="s">
        <v>948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914</v>
      </c>
      <c r="C200" s="15" t="s">
        <v>226</v>
      </c>
      <c r="D200" s="15" t="s">
        <v>947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59439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1.03</v>
      </c>
      <c r="H202" s="26">
        <f>data!AX60</f>
        <v>0</v>
      </c>
      <c r="I202" s="26">
        <f>data!AY60</f>
        <v>25.29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148004</v>
      </c>
      <c r="H203" s="14">
        <f>data!AX61</f>
        <v>0</v>
      </c>
      <c r="I203" s="14">
        <f>data!AY61</f>
        <v>1090866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36779</v>
      </c>
      <c r="H204" s="14">
        <f>data!AX62</f>
        <v>0</v>
      </c>
      <c r="I204" s="14">
        <f>data!AY62</f>
        <v>271081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532719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420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3000</v>
      </c>
      <c r="H208" s="14">
        <f>data!AX66</f>
        <v>0</v>
      </c>
      <c r="I208" s="14">
        <f>data!AY66</f>
        <v>17319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20934</v>
      </c>
      <c r="G209" s="14">
        <f>data!AW67</f>
        <v>0</v>
      </c>
      <c r="H209" s="14">
        <f>data!AX67</f>
        <v>0</v>
      </c>
      <c r="I209" s="14">
        <f>data!AY67</f>
        <v>27050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131123</v>
      </c>
      <c r="G211" s="14">
        <f>data!AW69</f>
        <v>801</v>
      </c>
      <c r="H211" s="14">
        <f>data!AX69</f>
        <v>0</v>
      </c>
      <c r="I211" s="14">
        <f>data!AY69</f>
        <v>3827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-28101</v>
      </c>
      <c r="H212" s="14">
        <f>-data!AX70</f>
        <v>0</v>
      </c>
      <c r="I212" s="14">
        <f>-data!AY70</f>
        <v>-46500</v>
      </c>
    </row>
    <row r="213" spans="1:9" ht="20.100000000000001" customHeight="1" x14ac:dyDescent="0.25">
      <c r="A213" s="23">
        <v>16</v>
      </c>
      <c r="B213" s="48" t="s">
        <v>915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152057</v>
      </c>
      <c r="G213" s="14">
        <f>data!AW71</f>
        <v>160483</v>
      </c>
      <c r="H213" s="14">
        <f>data!AX71</f>
        <v>0</v>
      </c>
      <c r="I213" s="14">
        <f>data!AY71</f>
        <v>1896782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916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152074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917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242868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918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919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242868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920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921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3536</v>
      </c>
      <c r="G220" s="14">
        <f>data!AW76</f>
        <v>0</v>
      </c>
      <c r="H220" s="14">
        <f>data!AX76</f>
        <v>0</v>
      </c>
      <c r="I220" s="85">
        <f>data!AY76</f>
        <v>4569</v>
      </c>
    </row>
    <row r="221" spans="1:9" ht="20.100000000000001" customHeight="1" x14ac:dyDescent="0.25">
      <c r="A221" s="23">
        <v>23</v>
      </c>
      <c r="B221" s="14" t="s">
        <v>922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923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3536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924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908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949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Luke's Rehabilitation Institute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910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950</v>
      </c>
      <c r="F231" s="18" t="s">
        <v>951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914</v>
      </c>
      <c r="C232" s="15" t="s">
        <v>952</v>
      </c>
      <c r="D232" s="15" t="s">
        <v>953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190169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0.93</v>
      </c>
      <c r="E234" s="26">
        <f>data!BB60</f>
        <v>9.92</v>
      </c>
      <c r="F234" s="26">
        <f>data!BC60</f>
        <v>1.46</v>
      </c>
      <c r="G234" s="26">
        <f>data!BD60</f>
        <v>0</v>
      </c>
      <c r="H234" s="26">
        <f>data!BE60</f>
        <v>16.66</v>
      </c>
      <c r="I234" s="26">
        <f>data!BF60</f>
        <v>15.61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34344</v>
      </c>
      <c r="E235" s="14">
        <f>data!BB61</f>
        <v>837677</v>
      </c>
      <c r="F235" s="14">
        <f>data!BC61</f>
        <v>47763</v>
      </c>
      <c r="G235" s="14">
        <f>data!BD61</f>
        <v>0</v>
      </c>
      <c r="H235" s="14">
        <f>data!BE61</f>
        <v>930520</v>
      </c>
      <c r="I235" s="14">
        <f>data!BF61</f>
        <v>540390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8534</v>
      </c>
      <c r="E236" s="14">
        <f>data!BB62</f>
        <v>208163</v>
      </c>
      <c r="F236" s="14">
        <f>data!BC62</f>
        <v>11869</v>
      </c>
      <c r="G236" s="14">
        <f>data!BD62</f>
        <v>0</v>
      </c>
      <c r="H236" s="14">
        <f>data!BE62</f>
        <v>231235</v>
      </c>
      <c r="I236" s="14">
        <f>data!BF62</f>
        <v>134287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3690</v>
      </c>
      <c r="F238" s="14">
        <f>data!BC64</f>
        <v>1778</v>
      </c>
      <c r="G238" s="14">
        <f>data!BD64</f>
        <v>0</v>
      </c>
      <c r="H238" s="14">
        <f>data!BE64</f>
        <v>58401</v>
      </c>
      <c r="I238" s="14">
        <f>data!BF64</f>
        <v>76137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3561</v>
      </c>
      <c r="F239" s="14">
        <f>data!BC65</f>
        <v>762</v>
      </c>
      <c r="G239" s="14">
        <f>data!BD65</f>
        <v>0</v>
      </c>
      <c r="H239" s="14">
        <f>data!BE65</f>
        <v>427943</v>
      </c>
      <c r="I239" s="14">
        <f>data!BF65</f>
        <v>2471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9242</v>
      </c>
      <c r="D240" s="14">
        <f>data!BA66</f>
        <v>110296</v>
      </c>
      <c r="E240" s="14">
        <f>data!BB66</f>
        <v>19</v>
      </c>
      <c r="F240" s="14">
        <f>data!BC66</f>
        <v>44047</v>
      </c>
      <c r="G240" s="14">
        <f>data!BD66</f>
        <v>0</v>
      </c>
      <c r="H240" s="14">
        <f>data!BE66</f>
        <v>353344</v>
      </c>
      <c r="I240" s="14">
        <f>data!BF66</f>
        <v>1491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10213</v>
      </c>
      <c r="D241" s="14">
        <f>data!BA67</f>
        <v>6139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320730</v>
      </c>
      <c r="I241" s="14">
        <f>data!BF67</f>
        <v>3067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3778</v>
      </c>
      <c r="F242" s="14">
        <f>data!BC68</f>
        <v>0</v>
      </c>
      <c r="G242" s="14">
        <f>data!BD68</f>
        <v>0</v>
      </c>
      <c r="H242" s="14">
        <f>data!BE68</f>
        <v>12647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2595</v>
      </c>
      <c r="F243" s="14">
        <f>data!BC69</f>
        <v>0</v>
      </c>
      <c r="G243" s="14">
        <f>data!BD69</f>
        <v>0</v>
      </c>
      <c r="H243" s="14">
        <f>data!BE69</f>
        <v>2185.21</v>
      </c>
      <c r="I243" s="14">
        <f>data!BF69</f>
        <v>2162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-401961</v>
      </c>
      <c r="D244" s="14">
        <f>-data!BA70</f>
        <v>0</v>
      </c>
      <c r="E244" s="14">
        <f>-data!BB70</f>
        <v>0</v>
      </c>
      <c r="F244" s="14">
        <f>-data!BC70</f>
        <v>-2100</v>
      </c>
      <c r="G244" s="14">
        <f>-data!BD70</f>
        <v>0</v>
      </c>
      <c r="H244" s="14">
        <f>-data!BE70</f>
        <v>-31410</v>
      </c>
      <c r="I244" s="14">
        <f>-data!BF70</f>
        <v>-1629</v>
      </c>
    </row>
    <row r="245" spans="1:9" ht="20.100000000000001" customHeight="1" x14ac:dyDescent="0.25">
      <c r="A245" s="23">
        <v>16</v>
      </c>
      <c r="B245" s="48" t="s">
        <v>915</v>
      </c>
      <c r="C245" s="14">
        <f>data!AZ71</f>
        <v>-382506</v>
      </c>
      <c r="D245" s="14">
        <f>data!BA71</f>
        <v>159313</v>
      </c>
      <c r="E245" s="14">
        <f>data!BB71</f>
        <v>1059483</v>
      </c>
      <c r="F245" s="14">
        <f>data!BC71</f>
        <v>104119</v>
      </c>
      <c r="G245" s="14">
        <f>data!BD71</f>
        <v>0</v>
      </c>
      <c r="H245" s="14">
        <f>data!BE71</f>
        <v>2305595.21</v>
      </c>
      <c r="I245" s="14">
        <f>data!BF71</f>
        <v>758376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916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917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918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919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920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921</v>
      </c>
      <c r="C252" s="85">
        <f>data!AZ76</f>
        <v>1725</v>
      </c>
      <c r="D252" s="85">
        <f>data!BA76</f>
        <v>1037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54174</v>
      </c>
      <c r="I252" s="85">
        <f>data!BF76</f>
        <v>518</v>
      </c>
    </row>
    <row r="253" spans="1:9" ht="20.100000000000001" customHeight="1" x14ac:dyDescent="0.25">
      <c r="A253" s="23">
        <v>23</v>
      </c>
      <c r="B253" s="14" t="s">
        <v>922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923</v>
      </c>
      <c r="C254" s="209" t="str">
        <f>IF(data!AZ78&gt;0,data!AZ78,"")</f>
        <v>x</v>
      </c>
      <c r="D254" s="85">
        <f>data!BA78</f>
        <v>1037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924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908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954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Luke's Rehabilitation Institute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910</v>
      </c>
      <c r="C262" s="18" t="s">
        <v>955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956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957</v>
      </c>
    </row>
    <row r="264" spans="1:9" ht="20.100000000000001" customHeight="1" x14ac:dyDescent="0.25">
      <c r="A264" s="23">
        <v>3</v>
      </c>
      <c r="B264" s="14" t="s">
        <v>914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1.56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6.47</v>
      </c>
      <c r="H266" s="26">
        <f>data!BL60</f>
        <v>25.13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63639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321588</v>
      </c>
      <c r="H267" s="14">
        <f>data!BL61</f>
        <v>984434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15814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79915</v>
      </c>
      <c r="H268" s="14">
        <f>data!BL62</f>
        <v>244632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230338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4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4149</v>
      </c>
      <c r="H270" s="14">
        <f>data!BL64</f>
        <v>5385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24914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354</v>
      </c>
      <c r="H271" s="14">
        <f>data!BL65</f>
        <v>735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47223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52262</v>
      </c>
      <c r="H272" s="14">
        <f>data!BL66</f>
        <v>784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1171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17810</v>
      </c>
      <c r="H275" s="14">
        <f>data!BL69</f>
        <v>402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915</v>
      </c>
      <c r="C277" s="14">
        <f>data!BG71</f>
        <v>151594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707587</v>
      </c>
      <c r="H277" s="14">
        <f>data!BL71</f>
        <v>1236372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916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917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918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919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920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921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922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923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924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908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958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Luke's Rehabilitation Institute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910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959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914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9.4</v>
      </c>
      <c r="D298" s="26">
        <f>data!BO60</f>
        <v>0</v>
      </c>
      <c r="E298" s="26">
        <f>data!BP60</f>
        <v>0.82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1.62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995642</v>
      </c>
      <c r="D299" s="14">
        <f>data!BO61</f>
        <v>0</v>
      </c>
      <c r="E299" s="14">
        <f>data!BP61</f>
        <v>56024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106615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247417</v>
      </c>
      <c r="D300" s="14">
        <f>data!BO62</f>
        <v>0</v>
      </c>
      <c r="E300" s="14">
        <f>data!BP62</f>
        <v>13922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26494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131523</v>
      </c>
      <c r="D301" s="14">
        <f>data!BO63</f>
        <v>0</v>
      </c>
      <c r="E301" s="14">
        <f>data!BP63</f>
        <v>2285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157417</v>
      </c>
      <c r="D302" s="14">
        <f>data!BO64</f>
        <v>2602</v>
      </c>
      <c r="E302" s="14">
        <f>data!BP64</f>
        <v>7420</v>
      </c>
      <c r="F302" s="14">
        <f>data!BQ64</f>
        <v>0</v>
      </c>
      <c r="G302" s="14">
        <f>data!BR64</f>
        <v>0</v>
      </c>
      <c r="H302" s="14">
        <f>data!BS64</f>
        <v>3452</v>
      </c>
      <c r="I302" s="14">
        <f>data!BT64</f>
        <v>733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71557</v>
      </c>
      <c r="D303" s="14">
        <f>data!BO65</f>
        <v>0</v>
      </c>
      <c r="E303" s="14">
        <f>data!BP65</f>
        <v>715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2695014</v>
      </c>
      <c r="D304" s="14">
        <f>data!BO66</f>
        <v>0</v>
      </c>
      <c r="E304" s="14">
        <f>data!BP66</f>
        <v>28167</v>
      </c>
      <c r="F304" s="14">
        <f>data!BQ66</f>
        <v>0</v>
      </c>
      <c r="G304" s="14">
        <f>data!BR66</f>
        <v>0</v>
      </c>
      <c r="H304" s="14">
        <f>data!BS66</f>
        <v>10276</v>
      </c>
      <c r="I304" s="14">
        <f>data!BT66</f>
        <v>653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87219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55582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112207.96999999997</v>
      </c>
      <c r="D307" s="14">
        <f>data!BO69</f>
        <v>0</v>
      </c>
      <c r="E307" s="14">
        <f>data!BP69</f>
        <v>6381</v>
      </c>
      <c r="F307" s="14">
        <f>data!BQ69</f>
        <v>0</v>
      </c>
      <c r="G307" s="14">
        <f>data!BR69</f>
        <v>0</v>
      </c>
      <c r="H307" s="14">
        <f>data!BS69</f>
        <v>1120</v>
      </c>
      <c r="I307" s="14">
        <f>data!BT69</f>
        <v>50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-855</v>
      </c>
      <c r="D308" s="14">
        <f>-data!BO70</f>
        <v>0</v>
      </c>
      <c r="E308" s="14">
        <f>-data!BP70</f>
        <v>-98549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915</v>
      </c>
      <c r="C309" s="14">
        <f>data!BN71</f>
        <v>4552723.97</v>
      </c>
      <c r="D309" s="14">
        <f>data!BO71</f>
        <v>2602</v>
      </c>
      <c r="E309" s="14">
        <f>data!BP71</f>
        <v>16365</v>
      </c>
      <c r="F309" s="14">
        <f>data!BQ71</f>
        <v>0</v>
      </c>
      <c r="G309" s="14">
        <f>data!BR71</f>
        <v>0</v>
      </c>
      <c r="H309" s="14">
        <f>data!BS71</f>
        <v>14848</v>
      </c>
      <c r="I309" s="14">
        <f>data!BT71</f>
        <v>134545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916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917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918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919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920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921</v>
      </c>
      <c r="C316" s="85">
        <f>data!BN76</f>
        <v>14732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922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923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924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908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960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Luke's Rehabilitation Institute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910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959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914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5.81</v>
      </c>
      <c r="E330" s="26">
        <f>data!BW60</f>
        <v>2.89</v>
      </c>
      <c r="F330" s="26">
        <f>data!BX60</f>
        <v>10.02</v>
      </c>
      <c r="G330" s="26">
        <f>data!BY60</f>
        <v>0.4</v>
      </c>
      <c r="H330" s="26">
        <f>data!BZ60</f>
        <v>0</v>
      </c>
      <c r="I330" s="26">
        <f>data!CA60</f>
        <v>0.04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281221</v>
      </c>
      <c r="E331" s="86">
        <f>data!BW61</f>
        <v>412019</v>
      </c>
      <c r="F331" s="86">
        <f>data!BX61</f>
        <v>947661</v>
      </c>
      <c r="G331" s="86">
        <f>data!BY61</f>
        <v>30381</v>
      </c>
      <c r="H331" s="86">
        <f>data!BZ61</f>
        <v>0</v>
      </c>
      <c r="I331" s="86">
        <f>data!CA61</f>
        <v>2567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69884</v>
      </c>
      <c r="E332" s="86">
        <f>data!BW62</f>
        <v>102387</v>
      </c>
      <c r="F332" s="86">
        <f>data!BX62</f>
        <v>235494</v>
      </c>
      <c r="G332" s="86">
        <f>data!BY62</f>
        <v>7550</v>
      </c>
      <c r="H332" s="86">
        <f>data!BZ62</f>
        <v>0</v>
      </c>
      <c r="I332" s="86">
        <f>data!CA62</f>
        <v>638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625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7464</v>
      </c>
      <c r="E334" s="86">
        <f>data!BW64</f>
        <v>28652</v>
      </c>
      <c r="F334" s="86">
        <f>data!BX64</f>
        <v>16827</v>
      </c>
      <c r="G334" s="86">
        <f>data!BY64</f>
        <v>4034</v>
      </c>
      <c r="H334" s="86">
        <f>data!BZ64</f>
        <v>0</v>
      </c>
      <c r="I334" s="86">
        <f>data!CA64</f>
        <v>331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10960</v>
      </c>
      <c r="F335" s="86">
        <f>data!BX65</f>
        <v>6646</v>
      </c>
      <c r="G335" s="86">
        <f>data!BY65</f>
        <v>2505</v>
      </c>
      <c r="H335" s="86">
        <f>data!BZ65</f>
        <v>0</v>
      </c>
      <c r="I335" s="86">
        <f>data!CA65</f>
        <v>240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35836</v>
      </c>
      <c r="E336" s="86">
        <f>data!BW66</f>
        <v>347819</v>
      </c>
      <c r="F336" s="86">
        <f>data!BX66</f>
        <v>239496</v>
      </c>
      <c r="G336" s="86">
        <f>data!BY66</f>
        <v>8976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8170</v>
      </c>
      <c r="E337" s="86">
        <f>data!BW67</f>
        <v>55474</v>
      </c>
      <c r="F337" s="86">
        <f>data!BX67</f>
        <v>8851</v>
      </c>
      <c r="G337" s="86">
        <f>data!BY67</f>
        <v>13043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2432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313.18000000000029</v>
      </c>
      <c r="E339" s="86">
        <f>data!BW69</f>
        <v>9685.2999999999993</v>
      </c>
      <c r="F339" s="86">
        <f>data!BX69</f>
        <v>50412</v>
      </c>
      <c r="G339" s="86">
        <f>data!BY69</f>
        <v>0</v>
      </c>
      <c r="H339" s="86">
        <f>data!BZ69</f>
        <v>0</v>
      </c>
      <c r="I339" s="86">
        <f>data!CA69</f>
        <v>1395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-34532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915</v>
      </c>
      <c r="C341" s="14">
        <f>data!BU71</f>
        <v>0</v>
      </c>
      <c r="D341" s="14">
        <f>data!BV71</f>
        <v>368356.18</v>
      </c>
      <c r="E341" s="14">
        <f>data!BW71</f>
        <v>970053.3</v>
      </c>
      <c r="F341" s="14">
        <f>data!BX71</f>
        <v>1505387</v>
      </c>
      <c r="G341" s="14">
        <f>data!BY71</f>
        <v>66489</v>
      </c>
      <c r="H341" s="14">
        <f>data!BZ71</f>
        <v>0</v>
      </c>
      <c r="I341" s="14">
        <f>data!CA71</f>
        <v>5171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916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917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918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919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920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921</v>
      </c>
      <c r="C348" s="85">
        <f>data!BU76</f>
        <v>0</v>
      </c>
      <c r="D348" s="85">
        <f>data!BV76</f>
        <v>1380</v>
      </c>
      <c r="E348" s="85">
        <f>data!BW76</f>
        <v>9370</v>
      </c>
      <c r="F348" s="85">
        <f>data!BX76</f>
        <v>1495</v>
      </c>
      <c r="G348" s="85">
        <f>data!BY76</f>
        <v>2203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922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923</v>
      </c>
      <c r="C350" s="85">
        <f>data!BU78</f>
        <v>0</v>
      </c>
      <c r="D350" s="85">
        <f>data!BV78</f>
        <v>1380</v>
      </c>
      <c r="E350" s="85">
        <f>data!BW78</f>
        <v>9370</v>
      </c>
      <c r="F350" s="85">
        <f>data!BX78</f>
        <v>1495</v>
      </c>
      <c r="G350" s="85">
        <f>data!BY78</f>
        <v>2203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924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908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961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Luke's Rehabilitation Institute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910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962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914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0.02</v>
      </c>
      <c r="D362" s="26">
        <f>data!CC60</f>
        <v>0.49</v>
      </c>
      <c r="E362" s="213"/>
      <c r="F362" s="207"/>
      <c r="G362" s="207"/>
      <c r="H362" s="207"/>
      <c r="I362" s="87">
        <f>data!CE60</f>
        <v>462.64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1299</v>
      </c>
      <c r="D363" s="86">
        <f>data!CC61</f>
        <v>23838</v>
      </c>
      <c r="E363" s="214"/>
      <c r="F363" s="215"/>
      <c r="G363" s="215"/>
      <c r="H363" s="215"/>
      <c r="I363" s="86">
        <f>data!CE61</f>
        <v>33654234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323</v>
      </c>
      <c r="D364" s="86">
        <f>data!CC62</f>
        <v>5924</v>
      </c>
      <c r="E364" s="214"/>
      <c r="F364" s="215"/>
      <c r="G364" s="215"/>
      <c r="H364" s="215"/>
      <c r="I364" s="86">
        <f>data!CE62</f>
        <v>8363089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710363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2103824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640428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5328458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2250</v>
      </c>
      <c r="E369" s="214"/>
      <c r="F369" s="215"/>
      <c r="G369" s="215"/>
      <c r="H369" s="215"/>
      <c r="I369" s="86">
        <f>data!CE67</f>
        <v>1125872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831160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951535.37</v>
      </c>
      <c r="F371" s="215"/>
      <c r="G371" s="215"/>
      <c r="H371" s="215"/>
      <c r="I371" s="86">
        <f>data!CE69</f>
        <v>1492153.67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-2585</v>
      </c>
      <c r="D372" s="14">
        <f>-data!CC70</f>
        <v>0</v>
      </c>
      <c r="E372" s="224">
        <f>data!CD70</f>
        <v>0</v>
      </c>
      <c r="F372" s="216"/>
      <c r="G372" s="216"/>
      <c r="H372" s="216"/>
      <c r="I372" s="14">
        <f>-data!CE70</f>
        <v>-2659825</v>
      </c>
    </row>
    <row r="373" spans="1:9" ht="20.100000000000001" customHeight="1" x14ac:dyDescent="0.25">
      <c r="A373" s="23">
        <v>16</v>
      </c>
      <c r="B373" s="48" t="s">
        <v>915</v>
      </c>
      <c r="C373" s="86">
        <f>data!CB71</f>
        <v>-963</v>
      </c>
      <c r="D373" s="86">
        <f>data!CC71</f>
        <v>32012</v>
      </c>
      <c r="E373" s="86">
        <f>data!CD71</f>
        <v>951535.37</v>
      </c>
      <c r="F373" s="215"/>
      <c r="G373" s="215"/>
      <c r="H373" s="215"/>
      <c r="I373" s="14">
        <f>data!CE71</f>
        <v>51589756.670000002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916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917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75227609</v>
      </c>
    </row>
    <row r="377" spans="1:9" ht="20.100000000000001" customHeight="1" x14ac:dyDescent="0.25">
      <c r="A377" s="23">
        <v>20</v>
      </c>
      <c r="B377" s="48" t="s">
        <v>918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41060193</v>
      </c>
    </row>
    <row r="378" spans="1:9" ht="20.100000000000001" customHeight="1" x14ac:dyDescent="0.25">
      <c r="A378" s="23">
        <v>21</v>
      </c>
      <c r="B378" s="48" t="s">
        <v>919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116287802</v>
      </c>
    </row>
    <row r="379" spans="1:9" ht="20.100000000000001" customHeight="1" x14ac:dyDescent="0.25">
      <c r="A379" s="23" t="s">
        <v>920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921</v>
      </c>
      <c r="C380" s="85">
        <f>data!CB76</f>
        <v>0</v>
      </c>
      <c r="D380" s="85">
        <f>data!CC76</f>
        <v>380</v>
      </c>
      <c r="E380" s="210"/>
      <c r="F380" s="207"/>
      <c r="G380" s="207"/>
      <c r="H380" s="207"/>
      <c r="I380" s="14">
        <f>data!CE76</f>
        <v>190169</v>
      </c>
    </row>
    <row r="381" spans="1:9" ht="20.100000000000001" customHeight="1" x14ac:dyDescent="0.25">
      <c r="A381" s="23">
        <v>23</v>
      </c>
      <c r="B381" s="14" t="s">
        <v>922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59439</v>
      </c>
    </row>
    <row r="382" spans="1:9" ht="20.100000000000001" customHeight="1" x14ac:dyDescent="0.25">
      <c r="A382" s="23">
        <v>24</v>
      </c>
      <c r="B382" s="14" t="s">
        <v>923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114071</v>
      </c>
    </row>
    <row r="383" spans="1:9" ht="20.100000000000001" customHeight="1" x14ac:dyDescent="0.25">
      <c r="A383" s="23">
        <v>25</v>
      </c>
      <c r="B383" s="14" t="s">
        <v>924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175727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67.03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2020-09-11T23:58:10Z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