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6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data!$A$81:$E$397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AV80" i="1" l="1"/>
  <c r="AR80" i="1"/>
  <c r="M80" i="1"/>
  <c r="D139" i="1" l="1"/>
  <c r="D138" i="1"/>
  <c r="AV74" i="1" l="1"/>
  <c r="AV73" i="1"/>
  <c r="M73" i="1"/>
  <c r="AR70" i="1"/>
  <c r="M70" i="1"/>
  <c r="CD69" i="1"/>
  <c r="AR69" i="1"/>
  <c r="M69" i="1"/>
  <c r="AR68" i="1"/>
  <c r="M68" i="1"/>
  <c r="BR66" i="1"/>
  <c r="CC66" i="1"/>
  <c r="AR66" i="1"/>
  <c r="M66" i="1"/>
  <c r="CC65" i="1"/>
  <c r="AR65" i="1"/>
  <c r="M65" i="1"/>
  <c r="CC64" i="1"/>
  <c r="BR64" i="1"/>
  <c r="AR64" i="1"/>
  <c r="M64" i="1"/>
  <c r="BR63" i="1"/>
  <c r="BR61" i="1"/>
  <c r="AR61" i="1" l="1"/>
  <c r="M61" i="1"/>
  <c r="AR60" i="1"/>
  <c r="M60" i="1"/>
  <c r="BE51" i="1" l="1"/>
  <c r="AR51" i="1"/>
  <c r="M51" i="1"/>
  <c r="B48" i="1"/>
  <c r="AR47" i="1"/>
  <c r="M47" i="1"/>
  <c r="O817" i="10" l="1"/>
  <c r="M817" i="10"/>
  <c r="J817" i="10"/>
  <c r="H817" i="10"/>
  <c r="G817" i="10"/>
  <c r="F817" i="10"/>
  <c r="E817" i="10"/>
  <c r="D817" i="10"/>
  <c r="X813" i="10"/>
  <c r="X815" i="10" s="1"/>
  <c r="W813" i="10"/>
  <c r="W815" i="10" s="1"/>
  <c r="A813" i="10"/>
  <c r="T812" i="10"/>
  <c r="S812" i="10"/>
  <c r="R812" i="10"/>
  <c r="Q812" i="10"/>
  <c r="P812" i="10"/>
  <c r="M812" i="10"/>
  <c r="L812" i="10"/>
  <c r="H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H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S775" i="10"/>
  <c r="R775" i="10"/>
  <c r="Q775" i="10"/>
  <c r="P775" i="10"/>
  <c r="O775" i="10"/>
  <c r="F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S744" i="10"/>
  <c r="R744" i="10"/>
  <c r="Q744" i="10"/>
  <c r="P744" i="10"/>
  <c r="O744" i="10"/>
  <c r="F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K737" i="10"/>
  <c r="F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B730" i="10"/>
  <c r="CA730" i="10"/>
  <c r="BW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E550" i="10"/>
  <c r="F550" i="10"/>
  <c r="F546" i="10"/>
  <c r="E546" i="10"/>
  <c r="F545" i="10"/>
  <c r="E545" i="10"/>
  <c r="H544" i="10"/>
  <c r="F544" i="10"/>
  <c r="E544" i="10"/>
  <c r="E540" i="10"/>
  <c r="E539" i="10"/>
  <c r="F539" i="10"/>
  <c r="H538" i="10"/>
  <c r="F538" i="10"/>
  <c r="E538" i="10"/>
  <c r="E537" i="10"/>
  <c r="F536" i="10"/>
  <c r="E536" i="10"/>
  <c r="H536" i="10"/>
  <c r="F535" i="10"/>
  <c r="E535" i="10"/>
  <c r="E534" i="10"/>
  <c r="H533" i="10"/>
  <c r="F533" i="10"/>
  <c r="E533" i="10"/>
  <c r="H532" i="10"/>
  <c r="E532" i="10"/>
  <c r="F532" i="10"/>
  <c r="E531" i="10"/>
  <c r="H531" i="10"/>
  <c r="H530" i="10"/>
  <c r="F530" i="10"/>
  <c r="E530" i="10"/>
  <c r="E529" i="10"/>
  <c r="F528" i="10"/>
  <c r="E528" i="10"/>
  <c r="H528" i="10"/>
  <c r="F527" i="10"/>
  <c r="E527" i="10"/>
  <c r="H527" i="10"/>
  <c r="E526" i="10"/>
  <c r="H525" i="10"/>
  <c r="F525" i="10"/>
  <c r="E525" i="10"/>
  <c r="E524" i="10"/>
  <c r="F524" i="10"/>
  <c r="F523" i="10"/>
  <c r="E523" i="10"/>
  <c r="H523" i="10"/>
  <c r="F522" i="10"/>
  <c r="E522" i="10"/>
  <c r="F521" i="10"/>
  <c r="E520" i="10"/>
  <c r="E519" i="10"/>
  <c r="F519" i="10"/>
  <c r="E518" i="10"/>
  <c r="F518" i="10"/>
  <c r="F517" i="10"/>
  <c r="E517" i="10"/>
  <c r="F516" i="10"/>
  <c r="E516" i="10"/>
  <c r="E515" i="10"/>
  <c r="F515" i="10"/>
  <c r="E514" i="10"/>
  <c r="F514" i="10"/>
  <c r="H513" i="10"/>
  <c r="F513" i="10"/>
  <c r="F512" i="10"/>
  <c r="E511" i="10"/>
  <c r="F511" i="10"/>
  <c r="E510" i="10"/>
  <c r="F510" i="10"/>
  <c r="F509" i="10"/>
  <c r="E509" i="10"/>
  <c r="E508" i="10"/>
  <c r="E507" i="10"/>
  <c r="F507" i="10"/>
  <c r="E506" i="10"/>
  <c r="F506" i="10"/>
  <c r="E505" i="10"/>
  <c r="H505" i="10"/>
  <c r="H504" i="10"/>
  <c r="F504" i="10"/>
  <c r="E504" i="10"/>
  <c r="H503" i="10"/>
  <c r="E503" i="10"/>
  <c r="F503" i="10"/>
  <c r="F502" i="10"/>
  <c r="E502" i="10"/>
  <c r="H502" i="10"/>
  <c r="F501" i="10"/>
  <c r="E501" i="10"/>
  <c r="H501" i="10"/>
  <c r="E500" i="10"/>
  <c r="E499" i="10"/>
  <c r="F499" i="10"/>
  <c r="E498" i="10"/>
  <c r="F498" i="10"/>
  <c r="E497" i="10"/>
  <c r="F497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B437" i="10"/>
  <c r="B436" i="10"/>
  <c r="B433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92" i="10"/>
  <c r="CD730" i="10" s="1"/>
  <c r="C389" i="10"/>
  <c r="CC730" i="10" s="1"/>
  <c r="C387" i="10"/>
  <c r="BZ730" i="10" s="1"/>
  <c r="C386" i="10"/>
  <c r="C385" i="10"/>
  <c r="C383" i="10"/>
  <c r="D372" i="10"/>
  <c r="D367" i="10"/>
  <c r="C448" i="10" s="1"/>
  <c r="D361" i="10"/>
  <c r="N817" i="10" s="1"/>
  <c r="C332" i="10"/>
  <c r="BB730" i="10" s="1"/>
  <c r="D329" i="10"/>
  <c r="D328" i="10"/>
  <c r="D330" i="10" s="1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8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D464" i="10" s="1"/>
  <c r="E141" i="10"/>
  <c r="E140" i="10"/>
  <c r="D139" i="10"/>
  <c r="D138" i="10"/>
  <c r="AH726" i="10" s="1"/>
  <c r="E127" i="10"/>
  <c r="AV80" i="10"/>
  <c r="T779" i="10" s="1"/>
  <c r="AR80" i="10"/>
  <c r="T775" i="10" s="1"/>
  <c r="M80" i="10"/>
  <c r="T744" i="10" s="1"/>
  <c r="CF79" i="10"/>
  <c r="CE79" i="10"/>
  <c r="S816" i="10" s="1"/>
  <c r="O78" i="10"/>
  <c r="R746" i="10" s="1"/>
  <c r="CE77" i="10"/>
  <c r="F76" i="10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E75" i="10"/>
  <c r="N736" i="10" s="1"/>
  <c r="D75" i="10"/>
  <c r="N735" i="10" s="1"/>
  <c r="C75" i="10"/>
  <c r="N734" i="10" s="1"/>
  <c r="AV74" i="10"/>
  <c r="AV75" i="10" s="1"/>
  <c r="N779" i="10" s="1"/>
  <c r="F74" i="10"/>
  <c r="AV73" i="10"/>
  <c r="O779" i="10" s="1"/>
  <c r="F73" i="10"/>
  <c r="CE73" i="10" s="1"/>
  <c r="O816" i="10" s="1"/>
  <c r="CD70" i="10"/>
  <c r="V813" i="10" s="1"/>
  <c r="V815" i="10" s="1"/>
  <c r="AR70" i="10"/>
  <c r="M70" i="10"/>
  <c r="M744" i="10" s="1"/>
  <c r="F70" i="10"/>
  <c r="CD69" i="10"/>
  <c r="AR69" i="10"/>
  <c r="L775" i="10" s="1"/>
  <c r="M69" i="10"/>
  <c r="L744" i="10" s="1"/>
  <c r="F69" i="10"/>
  <c r="CC68" i="10"/>
  <c r="K812" i="10" s="1"/>
  <c r="AR68" i="10"/>
  <c r="K775" i="10" s="1"/>
  <c r="M68" i="10"/>
  <c r="K744" i="10" s="1"/>
  <c r="CC66" i="10"/>
  <c r="I812" i="10" s="1"/>
  <c r="BR66" i="10"/>
  <c r="I801" i="10" s="1"/>
  <c r="AR66" i="10"/>
  <c r="I775" i="10" s="1"/>
  <c r="M66" i="10"/>
  <c r="I744" i="10" s="1"/>
  <c r="F66" i="10"/>
  <c r="I737" i="10" s="1"/>
  <c r="AR65" i="10"/>
  <c r="H775" i="10" s="1"/>
  <c r="M65" i="10"/>
  <c r="H744" i="10" s="1"/>
  <c r="F65" i="10"/>
  <c r="H737" i="10" s="1"/>
  <c r="CC64" i="10"/>
  <c r="G812" i="10" s="1"/>
  <c r="BR64" i="10"/>
  <c r="G801" i="10" s="1"/>
  <c r="AR64" i="10"/>
  <c r="G775" i="10" s="1"/>
  <c r="M64" i="10"/>
  <c r="G744" i="10" s="1"/>
  <c r="F64" i="10"/>
  <c r="G737" i="10" s="1"/>
  <c r="BR63" i="10"/>
  <c r="F801" i="10" s="1"/>
  <c r="BR61" i="10"/>
  <c r="D801" i="10" s="1"/>
  <c r="AR61" i="10"/>
  <c r="D775" i="10" s="1"/>
  <c r="M61" i="10"/>
  <c r="D744" i="10" s="1"/>
  <c r="F61" i="10"/>
  <c r="D737" i="10" s="1"/>
  <c r="AR60" i="10"/>
  <c r="M60" i="10"/>
  <c r="C744" i="10" s="1"/>
  <c r="F60" i="10"/>
  <c r="C737" i="10" s="1"/>
  <c r="BE51" i="10"/>
  <c r="AR51" i="10"/>
  <c r="M51" i="10"/>
  <c r="F51" i="10"/>
  <c r="B51" i="10"/>
  <c r="B53" i="10" s="1"/>
  <c r="AR47" i="10"/>
  <c r="M47" i="10"/>
  <c r="F47" i="10"/>
  <c r="B47" i="10"/>
  <c r="B49" i="10" s="1"/>
  <c r="CE63" i="10" l="1"/>
  <c r="C473" i="10"/>
  <c r="D277" i="10"/>
  <c r="D292" i="10" s="1"/>
  <c r="D341" i="10" s="1"/>
  <c r="C481" i="10" s="1"/>
  <c r="D390" i="10"/>
  <c r="B441" i="10" s="1"/>
  <c r="D339" i="10"/>
  <c r="C482" i="10" s="1"/>
  <c r="J612" i="10"/>
  <c r="D463" i="10"/>
  <c r="D465" i="10" s="1"/>
  <c r="CE47" i="10"/>
  <c r="CE66" i="10"/>
  <c r="CE68" i="10"/>
  <c r="E138" i="10"/>
  <c r="C414" i="10" s="1"/>
  <c r="E217" i="10"/>
  <c r="C478" i="10" s="1"/>
  <c r="D435" i="10"/>
  <c r="S815" i="10"/>
  <c r="I816" i="10"/>
  <c r="C432" i="10"/>
  <c r="C775" i="10"/>
  <c r="CE60" i="10"/>
  <c r="F816" i="10"/>
  <c r="C429" i="10"/>
  <c r="M775" i="10"/>
  <c r="CE51" i="10"/>
  <c r="CE65" i="10"/>
  <c r="L737" i="10"/>
  <c r="CE69" i="10"/>
  <c r="CE74" i="10"/>
  <c r="C464" i="10" s="1"/>
  <c r="Q816" i="10"/>
  <c r="CF77" i="10"/>
  <c r="F505" i="10"/>
  <c r="F520" i="10"/>
  <c r="F531" i="10"/>
  <c r="E204" i="10"/>
  <c r="C476" i="10" s="1"/>
  <c r="D368" i="10"/>
  <c r="D373" i="10" s="1"/>
  <c r="B439" i="10"/>
  <c r="H539" i="10"/>
  <c r="AI726" i="10"/>
  <c r="E139" i="10"/>
  <c r="C415" i="10" s="1"/>
  <c r="C439" i="10"/>
  <c r="H540" i="10"/>
  <c r="F540" i="10"/>
  <c r="U813" i="10"/>
  <c r="U815" i="10" s="1"/>
  <c r="C438" i="10"/>
  <c r="C615" i="10"/>
  <c r="CD71" i="10"/>
  <c r="C575" i="10" s="1"/>
  <c r="O737" i="10"/>
  <c r="O815" i="10" s="1"/>
  <c r="F75" i="10"/>
  <c r="N737" i="10" s="1"/>
  <c r="C463" i="10"/>
  <c r="F529" i="10"/>
  <c r="P737" i="10"/>
  <c r="CE76" i="10"/>
  <c r="H534" i="10"/>
  <c r="F534" i="10"/>
  <c r="K816" i="10"/>
  <c r="C434" i="10"/>
  <c r="CE61" i="10"/>
  <c r="CE64" i="10"/>
  <c r="M737" i="10"/>
  <c r="M815" i="10" s="1"/>
  <c r="CE70" i="10"/>
  <c r="BX730" i="10"/>
  <c r="K817" i="10"/>
  <c r="B434" i="10"/>
  <c r="F537" i="10"/>
  <c r="CE75" i="10"/>
  <c r="BY730" i="10"/>
  <c r="L817" i="10"/>
  <c r="B435" i="10"/>
  <c r="B438" i="10"/>
  <c r="B440" i="10" s="1"/>
  <c r="F500" i="10"/>
  <c r="H508" i="10"/>
  <c r="F508" i="10"/>
  <c r="F526" i="10"/>
  <c r="G612" i="10"/>
  <c r="N815" i="10"/>
  <c r="D242" i="10"/>
  <c r="B448" i="10" s="1"/>
  <c r="CE80" i="10"/>
  <c r="B465" i="10"/>
  <c r="B444" i="10"/>
  <c r="CE78" i="10"/>
  <c r="BV730" i="10"/>
  <c r="I817" i="10"/>
  <c r="B432" i="10"/>
  <c r="G815" i="10"/>
  <c r="Q815" i="10"/>
  <c r="H815" i="10"/>
  <c r="R815" i="10"/>
  <c r="K815" i="10"/>
  <c r="C815" i="10"/>
  <c r="F815" i="10"/>
  <c r="P815" i="10"/>
  <c r="I815" i="10"/>
  <c r="T815" i="10"/>
  <c r="D815" i="10"/>
  <c r="L815" i="10"/>
  <c r="D391" i="10" l="1"/>
  <c r="D393" i="10" s="1"/>
  <c r="D396" i="10" s="1"/>
  <c r="L816" i="10"/>
  <c r="C440" i="10"/>
  <c r="T816" i="10"/>
  <c r="L612" i="10"/>
  <c r="M816" i="10"/>
  <c r="C458" i="10"/>
  <c r="P816" i="10"/>
  <c r="D612" i="10"/>
  <c r="BX52" i="10"/>
  <c r="BX67" i="10" s="1"/>
  <c r="J807" i="10" s="1"/>
  <c r="AA52" i="10"/>
  <c r="AA67" i="10" s="1"/>
  <c r="J758" i="10" s="1"/>
  <c r="BW52" i="10"/>
  <c r="BW67" i="10" s="1"/>
  <c r="J806" i="10" s="1"/>
  <c r="AQ52" i="10"/>
  <c r="AQ67" i="10" s="1"/>
  <c r="J774" i="10" s="1"/>
  <c r="BN52" i="10"/>
  <c r="BN67" i="10" s="1"/>
  <c r="J797" i="10" s="1"/>
  <c r="Z52" i="10"/>
  <c r="Z67" i="10" s="1"/>
  <c r="J757" i="10" s="1"/>
  <c r="Y52" i="10"/>
  <c r="Y67" i="10" s="1"/>
  <c r="J756" i="10" s="1"/>
  <c r="I52" i="10"/>
  <c r="I67" i="10" s="1"/>
  <c r="J740" i="10" s="1"/>
  <c r="CF76" i="10"/>
  <c r="BY52" i="10" s="1"/>
  <c r="BY67" i="10" s="1"/>
  <c r="J808" i="10" s="1"/>
  <c r="BL52" i="10"/>
  <c r="BL67" i="10" s="1"/>
  <c r="J795" i="10" s="1"/>
  <c r="AV52" i="10"/>
  <c r="AV67" i="10" s="1"/>
  <c r="J779" i="10" s="1"/>
  <c r="AN52" i="10"/>
  <c r="AN67" i="10" s="1"/>
  <c r="J771" i="10" s="1"/>
  <c r="AU52" i="10"/>
  <c r="AU67" i="10" s="1"/>
  <c r="J778" i="10" s="1"/>
  <c r="BB52" i="10"/>
  <c r="BB67" i="10" s="1"/>
  <c r="J785" i="10" s="1"/>
  <c r="AT52" i="10"/>
  <c r="AT67" i="10" s="1"/>
  <c r="J777" i="10" s="1"/>
  <c r="N52" i="10"/>
  <c r="N67" i="10" s="1"/>
  <c r="J745" i="10" s="1"/>
  <c r="F52" i="10"/>
  <c r="F67" i="10" s="1"/>
  <c r="J737" i="10" s="1"/>
  <c r="R816" i="10"/>
  <c r="I612" i="10"/>
  <c r="H816" i="10"/>
  <c r="C431" i="10"/>
  <c r="G816" i="10"/>
  <c r="F612" i="10"/>
  <c r="C430" i="10"/>
  <c r="BI730" i="10"/>
  <c r="C816" i="10"/>
  <c r="H612" i="10"/>
  <c r="D816" i="10"/>
  <c r="C427" i="10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BJ48" i="10"/>
  <c r="BJ62" i="10" s="1"/>
  <c r="V48" i="10"/>
  <c r="V62" i="10" s="1"/>
  <c r="BW48" i="10"/>
  <c r="BW62" i="10" s="1"/>
  <c r="BO48" i="10"/>
  <c r="BO62" i="10" s="1"/>
  <c r="BG48" i="10"/>
  <c r="BG62" i="10" s="1"/>
  <c r="AY48" i="10"/>
  <c r="AY62" i="10" s="1"/>
  <c r="AQ48" i="10"/>
  <c r="AQ62" i="10" s="1"/>
  <c r="AI48" i="10"/>
  <c r="AI62" i="10" s="1"/>
  <c r="AA48" i="10"/>
  <c r="AA62" i="10" s="1"/>
  <c r="S48" i="10"/>
  <c r="S62" i="10" s="1"/>
  <c r="K48" i="10"/>
  <c r="K62" i="10" s="1"/>
  <c r="C48" i="10"/>
  <c r="BV48" i="10"/>
  <c r="BV62" i="10" s="1"/>
  <c r="BF48" i="10"/>
  <c r="BF62" i="10" s="1"/>
  <c r="AP48" i="10"/>
  <c r="AP62" i="10" s="1"/>
  <c r="Z48" i="10"/>
  <c r="Z62" i="10" s="1"/>
  <c r="BU48" i="10"/>
  <c r="BU62" i="10" s="1"/>
  <c r="AW48" i="10"/>
  <c r="AW62" i="10" s="1"/>
  <c r="AG48" i="10"/>
  <c r="AG62" i="10" s="1"/>
  <c r="I48" i="10"/>
  <c r="I62" i="10" s="1"/>
  <c r="BR48" i="10"/>
  <c r="BR62" i="10" s="1"/>
  <c r="N48" i="10"/>
  <c r="N62" i="10" s="1"/>
  <c r="BN48" i="10"/>
  <c r="BN62" i="10" s="1"/>
  <c r="AX48" i="10"/>
  <c r="AX62" i="10" s="1"/>
  <c r="AH48" i="10"/>
  <c r="AH62" i="10" s="1"/>
  <c r="R48" i="10"/>
  <c r="R62" i="10" s="1"/>
  <c r="J48" i="10"/>
  <c r="J62" i="10" s="1"/>
  <c r="CC48" i="10"/>
  <c r="CC62" i="10" s="1"/>
  <c r="BM48" i="10"/>
  <c r="BM62" i="10" s="1"/>
  <c r="AO48" i="10"/>
  <c r="AO62" i="10" s="1"/>
  <c r="Y48" i="10"/>
  <c r="Y62" i="10" s="1"/>
  <c r="AT48" i="10"/>
  <c r="AT62" i="10" s="1"/>
  <c r="BE48" i="10"/>
  <c r="BE62" i="10" s="1"/>
  <c r="Q48" i="10"/>
  <c r="Q62" i="10" s="1"/>
  <c r="BB48" i="10"/>
  <c r="BB62" i="10" s="1"/>
  <c r="F48" i="10"/>
  <c r="F62" i="10" s="1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BZ48" i="10"/>
  <c r="BZ62" i="10" s="1"/>
  <c r="AL48" i="10"/>
  <c r="AL62" i="10" s="1"/>
  <c r="CA48" i="10"/>
  <c r="CA62" i="10" s="1"/>
  <c r="BS48" i="10"/>
  <c r="BS62" i="10" s="1"/>
  <c r="BK48" i="10"/>
  <c r="BK62" i="10" s="1"/>
  <c r="BC48" i="10"/>
  <c r="BC62" i="10" s="1"/>
  <c r="AU48" i="10"/>
  <c r="AU62" i="10" s="1"/>
  <c r="AM48" i="10"/>
  <c r="AM62" i="10" s="1"/>
  <c r="AE48" i="10"/>
  <c r="AE62" i="10" s="1"/>
  <c r="W48" i="10"/>
  <c r="W62" i="10" s="1"/>
  <c r="O48" i="10"/>
  <c r="O62" i="10" s="1"/>
  <c r="G48" i="10"/>
  <c r="G62" i="10" s="1"/>
  <c r="AD48" i="10"/>
  <c r="AD62" i="10" s="1"/>
  <c r="BA48" i="10"/>
  <c r="BA62" i="10" s="1"/>
  <c r="BY48" i="10"/>
  <c r="BY62" i="10" s="1"/>
  <c r="BQ48" i="10"/>
  <c r="BQ62" i="10" s="1"/>
  <c r="AS48" i="10"/>
  <c r="AS62" i="10" s="1"/>
  <c r="AK48" i="10"/>
  <c r="AK62" i="10" s="1"/>
  <c r="AC48" i="10"/>
  <c r="AC62" i="10" s="1"/>
  <c r="U48" i="10"/>
  <c r="U62" i="10" s="1"/>
  <c r="E48" i="10"/>
  <c r="E62" i="10" s="1"/>
  <c r="M48" i="10"/>
  <c r="M62" i="10" s="1"/>
  <c r="BI48" i="10"/>
  <c r="BI62" i="10" s="1"/>
  <c r="N816" i="10"/>
  <c r="C465" i="10"/>
  <c r="K612" i="10"/>
  <c r="L52" i="10" l="1"/>
  <c r="L67" i="10" s="1"/>
  <c r="J743" i="10" s="1"/>
  <c r="U52" i="10"/>
  <c r="U67" i="10" s="1"/>
  <c r="J752" i="10" s="1"/>
  <c r="V52" i="10"/>
  <c r="V67" i="10" s="1"/>
  <c r="J753" i="10" s="1"/>
  <c r="P52" i="10"/>
  <c r="P67" i="10" s="1"/>
  <c r="J747" i="10" s="1"/>
  <c r="CB52" i="10"/>
  <c r="CB67" i="10" s="1"/>
  <c r="J811" i="10" s="1"/>
  <c r="AO52" i="10"/>
  <c r="AO67" i="10" s="1"/>
  <c r="J772" i="10" s="1"/>
  <c r="AP52" i="10"/>
  <c r="AP67" i="10" s="1"/>
  <c r="J773" i="10" s="1"/>
  <c r="BS52" i="10"/>
  <c r="BS67" i="10" s="1"/>
  <c r="J802" i="10" s="1"/>
  <c r="AB52" i="10"/>
  <c r="AB67" i="10" s="1"/>
  <c r="J759" i="10" s="1"/>
  <c r="AK52" i="10"/>
  <c r="AK67" i="10" s="1"/>
  <c r="J768" i="10" s="1"/>
  <c r="BU52" i="10"/>
  <c r="BU67" i="10" s="1"/>
  <c r="J804" i="10" s="1"/>
  <c r="S52" i="10"/>
  <c r="S67" i="10" s="1"/>
  <c r="J750" i="10" s="1"/>
  <c r="AH52" i="10"/>
  <c r="AH67" i="10" s="1"/>
  <c r="J765" i="10" s="1"/>
  <c r="BH52" i="10"/>
  <c r="BH67" i="10" s="1"/>
  <c r="J791" i="10" s="1"/>
  <c r="E754" i="10"/>
  <c r="E777" i="10"/>
  <c r="AT71" i="10"/>
  <c r="E752" i="10"/>
  <c r="U71" i="10"/>
  <c r="E802" i="10"/>
  <c r="E771" i="10"/>
  <c r="AN71" i="10"/>
  <c r="E749" i="10"/>
  <c r="E750" i="10"/>
  <c r="E783" i="10"/>
  <c r="E760" i="10"/>
  <c r="E746" i="10"/>
  <c r="E810" i="10"/>
  <c r="E779" i="10"/>
  <c r="AV71" i="10"/>
  <c r="E788" i="10"/>
  <c r="E765" i="10"/>
  <c r="AH71" i="10"/>
  <c r="E804" i="10"/>
  <c r="BU71" i="10"/>
  <c r="E758" i="10"/>
  <c r="AA71" i="10"/>
  <c r="E793" i="10"/>
  <c r="E791" i="10"/>
  <c r="BH71" i="10"/>
  <c r="BR52" i="10"/>
  <c r="BR67" i="10" s="1"/>
  <c r="J801" i="10" s="1"/>
  <c r="BJ52" i="10"/>
  <c r="BJ67" i="10" s="1"/>
  <c r="J793" i="10" s="1"/>
  <c r="BD52" i="10"/>
  <c r="BD67" i="10" s="1"/>
  <c r="J787" i="10" s="1"/>
  <c r="Q52" i="10"/>
  <c r="Q67" i="10" s="1"/>
  <c r="J748" i="10" s="1"/>
  <c r="CC52" i="10"/>
  <c r="CC67" i="10" s="1"/>
  <c r="J812" i="10" s="1"/>
  <c r="K52" i="10"/>
  <c r="K67" i="10" s="1"/>
  <c r="J742" i="10" s="1"/>
  <c r="W52" i="10"/>
  <c r="W67" i="10" s="1"/>
  <c r="J754" i="10" s="1"/>
  <c r="D52" i="10"/>
  <c r="D67" i="10" s="1"/>
  <c r="J735" i="10" s="1"/>
  <c r="BP52" i="10"/>
  <c r="BP67" i="10" s="1"/>
  <c r="J799" i="10" s="1"/>
  <c r="AC52" i="10"/>
  <c r="AC67" i="10" s="1"/>
  <c r="J760" i="10" s="1"/>
  <c r="E787" i="10"/>
  <c r="E776" i="10"/>
  <c r="E762" i="10"/>
  <c r="E809" i="10"/>
  <c r="BZ71" i="10"/>
  <c r="E795" i="10"/>
  <c r="BL71" i="10"/>
  <c r="E756" i="10"/>
  <c r="Y71" i="10"/>
  <c r="E797" i="10"/>
  <c r="BN71" i="10"/>
  <c r="E773" i="10"/>
  <c r="AP71" i="10"/>
  <c r="E774" i="10"/>
  <c r="AQ71" i="10"/>
  <c r="E743" i="10"/>
  <c r="L71" i="10"/>
  <c r="E807" i="10"/>
  <c r="BX71" i="10"/>
  <c r="BZ52" i="10"/>
  <c r="BZ67" i="10" s="1"/>
  <c r="J809" i="10" s="1"/>
  <c r="H52" i="10"/>
  <c r="H67" i="10" s="1"/>
  <c r="J739" i="10" s="1"/>
  <c r="BT52" i="10"/>
  <c r="BT67" i="10" s="1"/>
  <c r="J803" i="10" s="1"/>
  <c r="AG52" i="10"/>
  <c r="AG67" i="10" s="1"/>
  <c r="J764" i="10" s="1"/>
  <c r="AX52" i="10"/>
  <c r="AX67" i="10" s="1"/>
  <c r="J781" i="10" s="1"/>
  <c r="AI52" i="10"/>
  <c r="AI67" i="10" s="1"/>
  <c r="J766" i="10" s="1"/>
  <c r="R52" i="10"/>
  <c r="R67" i="10" s="1"/>
  <c r="J749" i="10" s="1"/>
  <c r="T52" i="10"/>
  <c r="T67" i="10" s="1"/>
  <c r="J751" i="10" s="1"/>
  <c r="G52" i="10"/>
  <c r="G67" i="10" s="1"/>
  <c r="J738" i="10" s="1"/>
  <c r="AS52" i="10"/>
  <c r="AS67" i="10" s="1"/>
  <c r="J776" i="10" s="1"/>
  <c r="E757" i="10"/>
  <c r="Z71" i="10"/>
  <c r="E803" i="10"/>
  <c r="E789" i="10"/>
  <c r="E751" i="10"/>
  <c r="T71" i="10"/>
  <c r="AM52" i="10"/>
  <c r="AM67" i="10" s="1"/>
  <c r="J770" i="10" s="1"/>
  <c r="BA52" i="10"/>
  <c r="BA67" i="10" s="1"/>
  <c r="J784" i="10" s="1"/>
  <c r="E735" i="10"/>
  <c r="D71" i="10"/>
  <c r="E770" i="10"/>
  <c r="E745" i="10"/>
  <c r="N71" i="10"/>
  <c r="E808" i="10"/>
  <c r="BY71" i="10"/>
  <c r="E778" i="10"/>
  <c r="AU71" i="10"/>
  <c r="E747" i="10"/>
  <c r="E811" i="10"/>
  <c r="CB71" i="10"/>
  <c r="E796" i="10"/>
  <c r="E801" i="10"/>
  <c r="BR71" i="10"/>
  <c r="E805" i="10"/>
  <c r="E790" i="10"/>
  <c r="E759" i="10"/>
  <c r="AB71" i="10"/>
  <c r="AD52" i="10"/>
  <c r="AD67" i="10" s="1"/>
  <c r="J761" i="10" s="1"/>
  <c r="X52" i="10"/>
  <c r="X67" i="10" s="1"/>
  <c r="J755" i="10" s="1"/>
  <c r="AE52" i="10"/>
  <c r="AE67" i="10" s="1"/>
  <c r="J762" i="10" s="1"/>
  <c r="AW52" i="10"/>
  <c r="AW67" i="10" s="1"/>
  <c r="J780" i="10" s="1"/>
  <c r="O52" i="10"/>
  <c r="O67" i="10" s="1"/>
  <c r="J746" i="10" s="1"/>
  <c r="AY52" i="10"/>
  <c r="AY67" i="10" s="1"/>
  <c r="J782" i="10" s="1"/>
  <c r="BF52" i="10"/>
  <c r="BF67" i="10" s="1"/>
  <c r="J789" i="10" s="1"/>
  <c r="AJ52" i="10"/>
  <c r="AJ67" i="10" s="1"/>
  <c r="J767" i="10" s="1"/>
  <c r="CA52" i="10"/>
  <c r="CA67" i="10" s="1"/>
  <c r="J810" i="10" s="1"/>
  <c r="BI52" i="10"/>
  <c r="BI67" i="10" s="1"/>
  <c r="J792" i="10" s="1"/>
  <c r="E769" i="10"/>
  <c r="E766" i="10"/>
  <c r="E800" i="10"/>
  <c r="E739" i="10"/>
  <c r="E772" i="10"/>
  <c r="AO71" i="10"/>
  <c r="E782" i="10"/>
  <c r="AY71" i="10"/>
  <c r="E792" i="10"/>
  <c r="BI71" i="10"/>
  <c r="E744" i="10"/>
  <c r="E784" i="10"/>
  <c r="E786" i="10"/>
  <c r="E755" i="10"/>
  <c r="E737" i="10"/>
  <c r="F71" i="10"/>
  <c r="E812" i="10"/>
  <c r="E740" i="10"/>
  <c r="I71" i="10"/>
  <c r="C62" i="10"/>
  <c r="CE48" i="10"/>
  <c r="E798" i="10"/>
  <c r="E767" i="10"/>
  <c r="AL52" i="10"/>
  <c r="AL67" i="10" s="1"/>
  <c r="J769" i="10" s="1"/>
  <c r="AF52" i="10"/>
  <c r="AF67" i="10" s="1"/>
  <c r="J763" i="10" s="1"/>
  <c r="BC52" i="10"/>
  <c r="BC67" i="10" s="1"/>
  <c r="J786" i="10" s="1"/>
  <c r="BE52" i="10"/>
  <c r="BE67" i="10" s="1"/>
  <c r="J788" i="10" s="1"/>
  <c r="BK52" i="10"/>
  <c r="BK67" i="10" s="1"/>
  <c r="J794" i="10" s="1"/>
  <c r="BG52" i="10"/>
  <c r="BG67" i="10" s="1"/>
  <c r="J790" i="10" s="1"/>
  <c r="BV52" i="10"/>
  <c r="BV67" i="10" s="1"/>
  <c r="J805" i="10" s="1"/>
  <c r="AR52" i="10"/>
  <c r="AR67" i="10" s="1"/>
  <c r="J775" i="10" s="1"/>
  <c r="E52" i="10"/>
  <c r="E67" i="10" s="1"/>
  <c r="J736" i="10" s="1"/>
  <c r="BQ52" i="10"/>
  <c r="BQ67" i="10" s="1"/>
  <c r="J800" i="10" s="1"/>
  <c r="E781" i="10"/>
  <c r="AX71" i="10"/>
  <c r="E736" i="10"/>
  <c r="E71" i="10"/>
  <c r="E761" i="10"/>
  <c r="E794" i="10"/>
  <c r="BK71" i="10"/>
  <c r="E763" i="10"/>
  <c r="E785" i="10"/>
  <c r="BB71" i="10"/>
  <c r="E741" i="10"/>
  <c r="E764" i="10"/>
  <c r="E742" i="10"/>
  <c r="K71" i="10"/>
  <c r="E806" i="10"/>
  <c r="BW71" i="10"/>
  <c r="E775" i="10"/>
  <c r="AR71" i="10"/>
  <c r="BM52" i="10"/>
  <c r="BM67" i="10" s="1"/>
  <c r="J796" i="10" s="1"/>
  <c r="J52" i="10"/>
  <c r="J67" i="10" s="1"/>
  <c r="J741" i="10" s="1"/>
  <c r="BO52" i="10"/>
  <c r="BO67" i="10" s="1"/>
  <c r="J798" i="10" s="1"/>
  <c r="C52" i="10"/>
  <c r="AZ52" i="10"/>
  <c r="AZ67" i="10" s="1"/>
  <c r="J783" i="10" s="1"/>
  <c r="M52" i="10"/>
  <c r="M67" i="10" s="1"/>
  <c r="J744" i="10" s="1"/>
  <c r="E768" i="10"/>
  <c r="AK71" i="10"/>
  <c r="E799" i="10"/>
  <c r="BP71" i="10"/>
  <c r="E738" i="10"/>
  <c r="G71" i="10"/>
  <c r="E748" i="10"/>
  <c r="E780" i="10"/>
  <c r="AW71" i="10"/>
  <c r="E753" i="10"/>
  <c r="V71" i="10"/>
  <c r="W71" i="10" l="1"/>
  <c r="BM71" i="10"/>
  <c r="P71" i="10"/>
  <c r="S71" i="10"/>
  <c r="C684" i="10" s="1"/>
  <c r="BQ71" i="10"/>
  <c r="H71" i="10"/>
  <c r="AI71" i="10"/>
  <c r="BS71" i="10"/>
  <c r="C639" i="10" s="1"/>
  <c r="AF71" i="10"/>
  <c r="X71" i="10"/>
  <c r="CA71" i="10"/>
  <c r="AZ71" i="10"/>
  <c r="C628" i="10" s="1"/>
  <c r="C676" i="10"/>
  <c r="C504" i="10"/>
  <c r="G504" i="10" s="1"/>
  <c r="C689" i="10"/>
  <c r="C517" i="10"/>
  <c r="C691" i="10"/>
  <c r="C519" i="10"/>
  <c r="C708" i="10"/>
  <c r="C536" i="10"/>
  <c r="G536" i="10" s="1"/>
  <c r="C637" i="10"/>
  <c r="C557" i="10"/>
  <c r="BD71" i="10"/>
  <c r="C692" i="10"/>
  <c r="C520" i="10"/>
  <c r="C713" i="10"/>
  <c r="C541" i="10"/>
  <c r="C545" i="10"/>
  <c r="CE52" i="10"/>
  <c r="C67" i="10"/>
  <c r="C71" i="10" s="1"/>
  <c r="C635" i="10"/>
  <c r="C556" i="10"/>
  <c r="C674" i="10"/>
  <c r="C502" i="10"/>
  <c r="G502" i="10" s="1"/>
  <c r="C558" i="10"/>
  <c r="C638" i="10"/>
  <c r="C687" i="10"/>
  <c r="C515" i="10"/>
  <c r="E734" i="10"/>
  <c r="E815" i="10" s="1"/>
  <c r="CE62" i="10"/>
  <c r="BC71" i="10"/>
  <c r="C622" i="10"/>
  <c r="C573" i="10"/>
  <c r="C685" i="10"/>
  <c r="C513" i="10"/>
  <c r="G513" i="10" s="1"/>
  <c r="C646" i="10"/>
  <c r="C571" i="10"/>
  <c r="C566" i="10"/>
  <c r="C641" i="10"/>
  <c r="C709" i="10"/>
  <c r="C537" i="10"/>
  <c r="AD71" i="10"/>
  <c r="AJ71" i="10"/>
  <c r="CC71" i="10"/>
  <c r="BA71" i="10"/>
  <c r="C706" i="10"/>
  <c r="C534" i="10"/>
  <c r="G534" i="10" s="1"/>
  <c r="AL71" i="10"/>
  <c r="BV71" i="10"/>
  <c r="C681" i="10"/>
  <c r="C509" i="10"/>
  <c r="AM71" i="10"/>
  <c r="BF71" i="10"/>
  <c r="C644" i="10"/>
  <c r="C569" i="10"/>
  <c r="C619" i="10"/>
  <c r="C559" i="10"/>
  <c r="AE71" i="10"/>
  <c r="C636" i="10"/>
  <c r="C553" i="10"/>
  <c r="C699" i="10"/>
  <c r="C527" i="10"/>
  <c r="G527" i="10" s="1"/>
  <c r="O71" i="10"/>
  <c r="R71" i="10"/>
  <c r="C711" i="10"/>
  <c r="C539" i="10"/>
  <c r="G539" i="10" s="1"/>
  <c r="C616" i="10"/>
  <c r="C543" i="10"/>
  <c r="C634" i="10"/>
  <c r="C554" i="10"/>
  <c r="C570" i="10"/>
  <c r="C645" i="10"/>
  <c r="C621" i="10"/>
  <c r="C561" i="10"/>
  <c r="AG71" i="10"/>
  <c r="C544" i="10"/>
  <c r="G544" i="10" s="1"/>
  <c r="C625" i="10"/>
  <c r="C700" i="10"/>
  <c r="C528" i="10"/>
  <c r="G528" i="10" s="1"/>
  <c r="BG71" i="10"/>
  <c r="C679" i="10"/>
  <c r="C507" i="10"/>
  <c r="C707" i="10"/>
  <c r="C535" i="10"/>
  <c r="C572" i="10"/>
  <c r="C647" i="10"/>
  <c r="C686" i="10"/>
  <c r="C514" i="10"/>
  <c r="C631" i="10"/>
  <c r="C542" i="10"/>
  <c r="C702" i="10"/>
  <c r="C530" i="10"/>
  <c r="G530" i="10" s="1"/>
  <c r="J71" i="10"/>
  <c r="Q71" i="10"/>
  <c r="C693" i="10"/>
  <c r="C521" i="10"/>
  <c r="C671" i="10"/>
  <c r="C499" i="10"/>
  <c r="M71" i="10"/>
  <c r="C563" i="10"/>
  <c r="C626" i="10"/>
  <c r="C712" i="10"/>
  <c r="C540" i="10"/>
  <c r="G540" i="10" s="1"/>
  <c r="C669" i="10"/>
  <c r="C497" i="10"/>
  <c r="BT71" i="10"/>
  <c r="C505" i="10"/>
  <c r="G505" i="10" s="1"/>
  <c r="C677" i="10"/>
  <c r="C690" i="10"/>
  <c r="C518" i="10"/>
  <c r="AS71" i="10"/>
  <c r="BJ71" i="10"/>
  <c r="BE71" i="10"/>
  <c r="AC71" i="10"/>
  <c r="C705" i="10"/>
  <c r="C533" i="10"/>
  <c r="G533" i="10" s="1"/>
  <c r="C688" i="10"/>
  <c r="C516" i="10"/>
  <c r="C697" i="10"/>
  <c r="C525" i="10"/>
  <c r="G525" i="10" s="1"/>
  <c r="C562" i="10"/>
  <c r="C623" i="10"/>
  <c r="C568" i="10"/>
  <c r="C643" i="10"/>
  <c r="C632" i="10"/>
  <c r="C547" i="10"/>
  <c r="C670" i="10"/>
  <c r="C498" i="10"/>
  <c r="BO71" i="10"/>
  <c r="C501" i="10"/>
  <c r="G501" i="10" s="1"/>
  <c r="C673" i="10"/>
  <c r="C500" i="10"/>
  <c r="C672" i="10"/>
  <c r="C564" i="10" l="1"/>
  <c r="C512" i="10"/>
  <c r="C668" i="10"/>
  <c r="C496" i="10"/>
  <c r="C678" i="10"/>
  <c r="C506" i="10"/>
  <c r="C698" i="10"/>
  <c r="C526" i="10"/>
  <c r="C529" i="10"/>
  <c r="C701" i="10"/>
  <c r="G516" i="10"/>
  <c r="H516" i="10"/>
  <c r="G518" i="10"/>
  <c r="H518" i="10" s="1"/>
  <c r="C503" i="10"/>
  <c r="G503" i="10" s="1"/>
  <c r="C675" i="10"/>
  <c r="C551" i="10"/>
  <c r="C629" i="10"/>
  <c r="C630" i="10"/>
  <c r="C546" i="10"/>
  <c r="C633" i="10"/>
  <c r="C548" i="10"/>
  <c r="G500" i="10"/>
  <c r="H500" i="10" s="1"/>
  <c r="G535" i="10"/>
  <c r="H535" i="10"/>
  <c r="C704" i="10"/>
  <c r="C532" i="10"/>
  <c r="G532" i="10" s="1"/>
  <c r="C574" i="10"/>
  <c r="C620" i="10"/>
  <c r="G545" i="10"/>
  <c r="H545" i="10" s="1"/>
  <c r="G509" i="10"/>
  <c r="H509" i="10" s="1"/>
  <c r="C694" i="10"/>
  <c r="C522" i="10"/>
  <c r="G499" i="10"/>
  <c r="H499" i="10"/>
  <c r="G507" i="10"/>
  <c r="H507" i="10"/>
  <c r="C696" i="10"/>
  <c r="C524" i="10"/>
  <c r="C695" i="10"/>
  <c r="C523" i="10"/>
  <c r="G523" i="10" s="1"/>
  <c r="G519" i="10"/>
  <c r="H519" i="10"/>
  <c r="C627" i="10"/>
  <c r="C560" i="10"/>
  <c r="G497" i="10"/>
  <c r="H497" i="10" s="1"/>
  <c r="C567" i="10"/>
  <c r="C642" i="10"/>
  <c r="H515" i="10"/>
  <c r="G515" i="10"/>
  <c r="G498" i="10"/>
  <c r="H498" i="10"/>
  <c r="C617" i="10"/>
  <c r="C555" i="10"/>
  <c r="G521" i="10"/>
  <c r="H521" i="10"/>
  <c r="G514" i="10"/>
  <c r="H514" i="10"/>
  <c r="C552" i="10"/>
  <c r="C618" i="10"/>
  <c r="C683" i="10"/>
  <c r="C511" i="10"/>
  <c r="C703" i="10"/>
  <c r="C531" i="10"/>
  <c r="G531" i="10" s="1"/>
  <c r="G517" i="10"/>
  <c r="H517" i="10" s="1"/>
  <c r="E816" i="10"/>
  <c r="C428" i="10"/>
  <c r="C640" i="10"/>
  <c r="C565" i="10"/>
  <c r="C550" i="10"/>
  <c r="C614" i="10"/>
  <c r="G537" i="10"/>
  <c r="H537" i="10"/>
  <c r="J734" i="10"/>
  <c r="J815" i="10" s="1"/>
  <c r="CE67" i="10"/>
  <c r="CE71" i="10" s="1"/>
  <c r="C716" i="10" s="1"/>
  <c r="G520" i="10"/>
  <c r="H520" i="10"/>
  <c r="C710" i="10"/>
  <c r="C538" i="10"/>
  <c r="G538" i="10" s="1"/>
  <c r="C680" i="10"/>
  <c r="C508" i="10"/>
  <c r="G508" i="10" s="1"/>
  <c r="H512" i="10"/>
  <c r="G512" i="10"/>
  <c r="C624" i="10"/>
  <c r="C549" i="10"/>
  <c r="C682" i="10"/>
  <c r="C510" i="10"/>
  <c r="G510" i="10" l="1"/>
  <c r="H510" i="10"/>
  <c r="G550" i="10"/>
  <c r="H550" i="10" s="1"/>
  <c r="G526" i="10"/>
  <c r="H526" i="10"/>
  <c r="G522" i="10"/>
  <c r="H522" i="10"/>
  <c r="J816" i="10"/>
  <c r="C433" i="10"/>
  <c r="C441" i="10" s="1"/>
  <c r="G511" i="10"/>
  <c r="H511" i="10" s="1"/>
  <c r="G546" i="10"/>
  <c r="H546" i="10"/>
  <c r="G506" i="10"/>
  <c r="H506" i="10" s="1"/>
  <c r="G529" i="10"/>
  <c r="H529" i="10" s="1"/>
  <c r="G524" i="10"/>
  <c r="H524" i="10"/>
  <c r="C715" i="10"/>
  <c r="D615" i="10"/>
  <c r="C648" i="10"/>
  <c r="M716" i="10" s="1"/>
  <c r="Y816" i="10" s="1"/>
  <c r="G496" i="10"/>
  <c r="H496" i="10" s="1"/>
  <c r="D709" i="10" l="1"/>
  <c r="D706" i="10"/>
  <c r="D711" i="10"/>
  <c r="D708" i="10"/>
  <c r="D700" i="10"/>
  <c r="D716" i="10"/>
  <c r="D692" i="10"/>
  <c r="D684" i="10"/>
  <c r="D676" i="10"/>
  <c r="D668" i="10"/>
  <c r="D712" i="10"/>
  <c r="D701" i="10"/>
  <c r="D696" i="10"/>
  <c r="D689" i="10"/>
  <c r="D681" i="10"/>
  <c r="D673" i="10"/>
  <c r="D710" i="10"/>
  <c r="D702" i="10"/>
  <c r="D691" i="10"/>
  <c r="D644" i="10"/>
  <c r="D640" i="10"/>
  <c r="D636" i="10"/>
  <c r="D620" i="10"/>
  <c r="D616" i="10"/>
  <c r="D694" i="10"/>
  <c r="D693" i="10"/>
  <c r="D690" i="10"/>
  <c r="D688" i="10"/>
  <c r="D686" i="10"/>
  <c r="D645" i="10"/>
  <c r="D627" i="10"/>
  <c r="D703" i="10"/>
  <c r="D695" i="10"/>
  <c r="D687" i="10"/>
  <c r="D685" i="10"/>
  <c r="D683" i="10"/>
  <c r="D641" i="10"/>
  <c r="D637" i="10"/>
  <c r="D713" i="10"/>
  <c r="D682" i="10"/>
  <c r="D680" i="10"/>
  <c r="D678" i="10"/>
  <c r="D646" i="10"/>
  <c r="D704" i="10"/>
  <c r="D697" i="10"/>
  <c r="D679" i="10"/>
  <c r="D677" i="10"/>
  <c r="D675" i="10"/>
  <c r="D698" i="10"/>
  <c r="D674" i="10"/>
  <c r="D669" i="10"/>
  <c r="D634" i="10"/>
  <c r="D632" i="10"/>
  <c r="D630" i="10"/>
  <c r="D625" i="10"/>
  <c r="D638" i="10"/>
  <c r="D621" i="10"/>
  <c r="D671" i="10"/>
  <c r="D699" i="10"/>
  <c r="D642" i="10"/>
  <c r="D628" i="10"/>
  <c r="D626" i="10"/>
  <c r="D623" i="10"/>
  <c r="D618" i="10"/>
  <c r="D622" i="10"/>
  <c r="D647" i="10"/>
  <c r="D619" i="10"/>
  <c r="D707" i="10"/>
  <c r="D670" i="10"/>
  <c r="D635" i="10"/>
  <c r="D631" i="10"/>
  <c r="D705" i="10"/>
  <c r="D639" i="10"/>
  <c r="D617" i="10"/>
  <c r="D633" i="10"/>
  <c r="D624" i="10"/>
  <c r="D643" i="10"/>
  <c r="D629" i="10"/>
  <c r="D672" i="10"/>
  <c r="D715" i="10" l="1"/>
  <c r="E623" i="10"/>
  <c r="E612" i="10"/>
  <c r="E706" i="10" l="1"/>
  <c r="E711" i="10"/>
  <c r="E708" i="10"/>
  <c r="E713" i="10"/>
  <c r="E705" i="10"/>
  <c r="E697" i="10"/>
  <c r="E712" i="10"/>
  <c r="E701" i="10"/>
  <c r="E696" i="10"/>
  <c r="E689" i="10"/>
  <c r="E681" i="10"/>
  <c r="E673" i="10"/>
  <c r="E709" i="10"/>
  <c r="E686" i="10"/>
  <c r="E678" i="10"/>
  <c r="E670" i="10"/>
  <c r="E647" i="10"/>
  <c r="E646" i="10"/>
  <c r="E645" i="10"/>
  <c r="E694" i="10"/>
  <c r="E693" i="10"/>
  <c r="E692" i="10"/>
  <c r="E690" i="10"/>
  <c r="E688" i="10"/>
  <c r="E627" i="10"/>
  <c r="E703" i="10"/>
  <c r="E695" i="10"/>
  <c r="E687" i="10"/>
  <c r="E685" i="10"/>
  <c r="E683" i="10"/>
  <c r="E641" i="10"/>
  <c r="E637" i="10"/>
  <c r="E684" i="10"/>
  <c r="E682" i="10"/>
  <c r="E680" i="10"/>
  <c r="E704" i="10"/>
  <c r="E679" i="10"/>
  <c r="E677" i="10"/>
  <c r="E675" i="10"/>
  <c r="E642" i="10"/>
  <c r="E638" i="10"/>
  <c r="E628" i="10"/>
  <c r="E716" i="10"/>
  <c r="E707" i="10"/>
  <c r="E699" i="10"/>
  <c r="E698" i="10"/>
  <c r="E676" i="10"/>
  <c r="E674" i="10"/>
  <c r="E672" i="10"/>
  <c r="E710" i="10"/>
  <c r="E644" i="10"/>
  <c r="E636" i="10"/>
  <c r="E671" i="10"/>
  <c r="E700" i="10"/>
  <c r="E643" i="10"/>
  <c r="E629" i="10"/>
  <c r="E632" i="10"/>
  <c r="E635" i="10"/>
  <c r="E631" i="10"/>
  <c r="E691" i="10"/>
  <c r="E640" i="10"/>
  <c r="E626" i="10"/>
  <c r="E639" i="10"/>
  <c r="E669" i="10"/>
  <c r="E634" i="10"/>
  <c r="E630" i="10"/>
  <c r="E625" i="10"/>
  <c r="E668" i="10"/>
  <c r="E633" i="10"/>
  <c r="E624" i="10"/>
  <c r="E702" i="10"/>
  <c r="E715" i="10" l="1"/>
  <c r="F624" i="10"/>
  <c r="F711" i="10" l="1"/>
  <c r="F703" i="10"/>
  <c r="F708" i="10"/>
  <c r="F713" i="10"/>
  <c r="F705" i="10"/>
  <c r="F710" i="10"/>
  <c r="F702" i="10"/>
  <c r="F694" i="10"/>
  <c r="F709" i="10"/>
  <c r="F686" i="10"/>
  <c r="F678" i="10"/>
  <c r="F670" i="10"/>
  <c r="F647" i="10"/>
  <c r="F646" i="10"/>
  <c r="F645" i="10"/>
  <c r="F706" i="10"/>
  <c r="F700" i="10"/>
  <c r="F695" i="10"/>
  <c r="F691" i="10"/>
  <c r="F683" i="10"/>
  <c r="F675" i="10"/>
  <c r="F644" i="10"/>
  <c r="F643" i="10"/>
  <c r="F642" i="10"/>
  <c r="F641" i="10"/>
  <c r="F640" i="10"/>
  <c r="F639" i="10"/>
  <c r="F638" i="10"/>
  <c r="F637" i="10"/>
  <c r="F636" i="10"/>
  <c r="F712" i="10"/>
  <c r="F689" i="10"/>
  <c r="F687" i="10"/>
  <c r="F685" i="10"/>
  <c r="F684" i="10"/>
  <c r="F682" i="10"/>
  <c r="F680" i="10"/>
  <c r="F625" i="10"/>
  <c r="F704" i="10"/>
  <c r="F696" i="10"/>
  <c r="F681" i="10"/>
  <c r="F679" i="10"/>
  <c r="F677" i="10"/>
  <c r="F628" i="10"/>
  <c r="F716" i="10"/>
  <c r="F707" i="10"/>
  <c r="F699" i="10"/>
  <c r="F698" i="10"/>
  <c r="F697" i="10"/>
  <c r="F676" i="10"/>
  <c r="F674" i="10"/>
  <c r="F672" i="10"/>
  <c r="F673" i="10"/>
  <c r="F671" i="10"/>
  <c r="F669" i="10"/>
  <c r="F701" i="10"/>
  <c r="F627" i="10"/>
  <c r="F692" i="10"/>
  <c r="F629" i="10"/>
  <c r="F668" i="10"/>
  <c r="F635" i="10"/>
  <c r="F633" i="10"/>
  <c r="F631" i="10"/>
  <c r="F688" i="10"/>
  <c r="F693" i="10"/>
  <c r="F626" i="10"/>
  <c r="F634" i="10"/>
  <c r="F630" i="10"/>
  <c r="F690" i="10"/>
  <c r="F632" i="10"/>
  <c r="F715" i="10" l="1"/>
  <c r="G625" i="10"/>
  <c r="G708" i="10" l="1"/>
  <c r="G713" i="10"/>
  <c r="G705" i="10"/>
  <c r="G710" i="10"/>
  <c r="G716" i="10"/>
  <c r="G707" i="10"/>
  <c r="G699" i="10"/>
  <c r="G706" i="10"/>
  <c r="G700" i="10"/>
  <c r="G695" i="10"/>
  <c r="G691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88" i="10"/>
  <c r="G680" i="10"/>
  <c r="G672" i="10"/>
  <c r="G703" i="10"/>
  <c r="G686" i="10"/>
  <c r="G684" i="10"/>
  <c r="G682" i="10"/>
  <c r="G645" i="10"/>
  <c r="G704" i="10"/>
  <c r="G696" i="10"/>
  <c r="G681" i="10"/>
  <c r="G679" i="10"/>
  <c r="G677" i="10"/>
  <c r="G628" i="10"/>
  <c r="G698" i="10"/>
  <c r="G697" i="10"/>
  <c r="G678" i="10"/>
  <c r="G676" i="10"/>
  <c r="G674" i="10"/>
  <c r="G646" i="10"/>
  <c r="G673" i="10"/>
  <c r="G671" i="10"/>
  <c r="G669" i="10"/>
  <c r="G629" i="10"/>
  <c r="G711" i="10"/>
  <c r="G709" i="10"/>
  <c r="G670" i="10"/>
  <c r="G668" i="10"/>
  <c r="G701" i="10"/>
  <c r="G692" i="10"/>
  <c r="G687" i="10"/>
  <c r="G633" i="10"/>
  <c r="G631" i="10"/>
  <c r="G689" i="10"/>
  <c r="G626" i="10"/>
  <c r="G702" i="10"/>
  <c r="G693" i="10"/>
  <c r="G647" i="10"/>
  <c r="G634" i="10"/>
  <c r="G632" i="10"/>
  <c r="G630" i="10"/>
  <c r="G712" i="10"/>
  <c r="G627" i="10"/>
  <c r="G690" i="10"/>
  <c r="G685" i="10"/>
  <c r="G694" i="10"/>
  <c r="H628" i="10" l="1"/>
  <c r="G715" i="10"/>
  <c r="H713" i="10" l="1"/>
  <c r="H705" i="10"/>
  <c r="H710" i="10"/>
  <c r="H716" i="10"/>
  <c r="H707" i="10"/>
  <c r="H712" i="10"/>
  <c r="H704" i="10"/>
  <c r="H696" i="10"/>
  <c r="H688" i="10"/>
  <c r="H680" i="10"/>
  <c r="H672" i="10"/>
  <c r="H699" i="10"/>
  <c r="H694" i="10"/>
  <c r="H685" i="10"/>
  <c r="H677" i="10"/>
  <c r="H669" i="10"/>
  <c r="H708" i="10"/>
  <c r="H706" i="10"/>
  <c r="H695" i="10"/>
  <c r="H683" i="10"/>
  <c r="H681" i="10"/>
  <c r="H679" i="10"/>
  <c r="H641" i="10"/>
  <c r="H637" i="10"/>
  <c r="H698" i="10"/>
  <c r="H697" i="10"/>
  <c r="H678" i="10"/>
  <c r="H676" i="10"/>
  <c r="H674" i="10"/>
  <c r="H646" i="10"/>
  <c r="H675" i="10"/>
  <c r="H673" i="10"/>
  <c r="H671" i="10"/>
  <c r="H642" i="10"/>
  <c r="H638" i="10"/>
  <c r="H629" i="10"/>
  <c r="H711" i="10"/>
  <c r="H709" i="10"/>
  <c r="H670" i="10"/>
  <c r="H668" i="10"/>
  <c r="H647" i="10"/>
  <c r="H634" i="10"/>
  <c r="H633" i="10"/>
  <c r="H632" i="10"/>
  <c r="H631" i="10"/>
  <c r="H630" i="10"/>
  <c r="H701" i="10"/>
  <c r="H700" i="10"/>
  <c r="H692" i="10"/>
  <c r="H689" i="10"/>
  <c r="H684" i="10"/>
  <c r="H643" i="10"/>
  <c r="H635" i="10"/>
  <c r="H690" i="10"/>
  <c r="H639" i="10"/>
  <c r="H687" i="10"/>
  <c r="H682" i="10"/>
  <c r="H636" i="10"/>
  <c r="H693" i="10"/>
  <c r="H691" i="10"/>
  <c r="H686" i="10"/>
  <c r="H640" i="10"/>
  <c r="H645" i="10"/>
  <c r="H702" i="10"/>
  <c r="H644" i="10"/>
  <c r="H703" i="10"/>
  <c r="H715" i="10" l="1"/>
  <c r="I629" i="10"/>
  <c r="I710" i="10" l="1"/>
  <c r="I702" i="10"/>
  <c r="I716" i="10"/>
  <c r="I707" i="10"/>
  <c r="I712" i="10"/>
  <c r="I709" i="10"/>
  <c r="I701" i="10"/>
  <c r="I693" i="10"/>
  <c r="I699" i="10"/>
  <c r="I694" i="10"/>
  <c r="I685" i="10"/>
  <c r="I677" i="10"/>
  <c r="I669" i="10"/>
  <c r="I713" i="10"/>
  <c r="I698" i="10"/>
  <c r="I690" i="10"/>
  <c r="I682" i="10"/>
  <c r="I674" i="10"/>
  <c r="I704" i="10"/>
  <c r="I697" i="10"/>
  <c r="I696" i="10"/>
  <c r="I680" i="10"/>
  <c r="I678" i="10"/>
  <c r="I676" i="10"/>
  <c r="I646" i="10"/>
  <c r="I675" i="10"/>
  <c r="I673" i="10"/>
  <c r="I671" i="10"/>
  <c r="I642" i="10"/>
  <c r="I638" i="10"/>
  <c r="I711" i="10"/>
  <c r="I672" i="10"/>
  <c r="I670" i="10"/>
  <c r="I668" i="10"/>
  <c r="I647" i="10"/>
  <c r="I634" i="10"/>
  <c r="I633" i="10"/>
  <c r="I632" i="10"/>
  <c r="I631" i="10"/>
  <c r="I630" i="10"/>
  <c r="I700" i="10"/>
  <c r="I643" i="10"/>
  <c r="I639" i="10"/>
  <c r="I635" i="10"/>
  <c r="I705" i="10"/>
  <c r="I692" i="10"/>
  <c r="I695" i="10"/>
  <c r="I689" i="10"/>
  <c r="I684" i="10"/>
  <c r="I679" i="10"/>
  <c r="I641" i="10"/>
  <c r="I708" i="10"/>
  <c r="I703" i="10"/>
  <c r="I691" i="10"/>
  <c r="I686" i="10"/>
  <c r="I681" i="10"/>
  <c r="I640" i="10"/>
  <c r="I706" i="10"/>
  <c r="I688" i="10"/>
  <c r="I645" i="10"/>
  <c r="I687" i="10"/>
  <c r="I636" i="10"/>
  <c r="I644" i="10"/>
  <c r="I683" i="10"/>
  <c r="I637" i="10"/>
  <c r="I715" i="10" l="1"/>
  <c r="J630" i="10"/>
  <c r="J716" i="10" l="1"/>
  <c r="J707" i="10"/>
  <c r="J712" i="10"/>
  <c r="J709" i="10"/>
  <c r="J706" i="10"/>
  <c r="J698" i="10"/>
  <c r="J713" i="10"/>
  <c r="J690" i="10"/>
  <c r="J682" i="10"/>
  <c r="J674" i="10"/>
  <c r="J710" i="10"/>
  <c r="J693" i="10"/>
  <c r="J687" i="10"/>
  <c r="J679" i="10"/>
  <c r="J671" i="10"/>
  <c r="J677" i="10"/>
  <c r="J675" i="10"/>
  <c r="J673" i="10"/>
  <c r="J642" i="10"/>
  <c r="J638" i="10"/>
  <c r="J711" i="10"/>
  <c r="J672" i="10"/>
  <c r="J670" i="10"/>
  <c r="J668" i="10"/>
  <c r="J647" i="10"/>
  <c r="J634" i="10"/>
  <c r="J633" i="10"/>
  <c r="J632" i="10"/>
  <c r="J631" i="10"/>
  <c r="J700" i="10"/>
  <c r="J699" i="10"/>
  <c r="J669" i="10"/>
  <c r="J643" i="10"/>
  <c r="J639" i="10"/>
  <c r="J635" i="10"/>
  <c r="J705" i="10"/>
  <c r="J701" i="10"/>
  <c r="J692" i="10"/>
  <c r="J702" i="10"/>
  <c r="J691" i="10"/>
  <c r="J689" i="10"/>
  <c r="J695" i="10"/>
  <c r="J704" i="10"/>
  <c r="J646" i="10"/>
  <c r="J708" i="10"/>
  <c r="J703" i="10"/>
  <c r="J686" i="10"/>
  <c r="J681" i="10"/>
  <c r="J676" i="10"/>
  <c r="J640" i="10"/>
  <c r="J697" i="10"/>
  <c r="J694" i="10"/>
  <c r="J645" i="10"/>
  <c r="J696" i="10"/>
  <c r="J685" i="10"/>
  <c r="J680" i="10"/>
  <c r="J644" i="10"/>
  <c r="J636" i="10"/>
  <c r="J641" i="10"/>
  <c r="J684" i="10"/>
  <c r="J688" i="10"/>
  <c r="J683" i="10"/>
  <c r="J678" i="10"/>
  <c r="J637" i="10"/>
  <c r="J715" i="10" l="1"/>
  <c r="K644" i="10"/>
  <c r="L647" i="10"/>
  <c r="K712" i="10" l="1"/>
  <c r="K704" i="10"/>
  <c r="K709" i="10"/>
  <c r="K706" i="10"/>
  <c r="K711" i="10"/>
  <c r="K703" i="10"/>
  <c r="K695" i="10"/>
  <c r="K710" i="10"/>
  <c r="K698" i="10"/>
  <c r="K693" i="10"/>
  <c r="K687" i="10"/>
  <c r="K679" i="10"/>
  <c r="K671" i="10"/>
  <c r="K707" i="10"/>
  <c r="K697" i="10"/>
  <c r="K692" i="10"/>
  <c r="K684" i="10"/>
  <c r="K676" i="10"/>
  <c r="K668" i="10"/>
  <c r="K674" i="10"/>
  <c r="K672" i="10"/>
  <c r="K670" i="10"/>
  <c r="K700" i="10"/>
  <c r="K699" i="10"/>
  <c r="K669" i="10"/>
  <c r="K716" i="10"/>
  <c r="K713" i="10"/>
  <c r="K705" i="10"/>
  <c r="K701" i="10"/>
  <c r="K702" i="10"/>
  <c r="K691" i="10"/>
  <c r="K689" i="10"/>
  <c r="K690" i="10"/>
  <c r="K688" i="10"/>
  <c r="K686" i="10"/>
  <c r="K708" i="10"/>
  <c r="K681" i="10"/>
  <c r="K694" i="10"/>
  <c r="K683" i="10"/>
  <c r="K678" i="10"/>
  <c r="K673" i="10"/>
  <c r="K685" i="10"/>
  <c r="K680" i="10"/>
  <c r="K675" i="10"/>
  <c r="K677" i="10"/>
  <c r="K696" i="10"/>
  <c r="K682" i="10"/>
  <c r="L709" i="10"/>
  <c r="M709" i="10" s="1"/>
  <c r="Y775" i="10" s="1"/>
  <c r="L706" i="10"/>
  <c r="L711" i="10"/>
  <c r="M711" i="10" s="1"/>
  <c r="Y777" i="10" s="1"/>
  <c r="L708" i="10"/>
  <c r="L700" i="10"/>
  <c r="M700" i="10" s="1"/>
  <c r="Y766" i="10" s="1"/>
  <c r="L692" i="10"/>
  <c r="L707" i="10"/>
  <c r="M707" i="10" s="1"/>
  <c r="Y773" i="10" s="1"/>
  <c r="L697" i="10"/>
  <c r="M697" i="10" s="1"/>
  <c r="Y763" i="10" s="1"/>
  <c r="L684" i="10"/>
  <c r="M684" i="10" s="1"/>
  <c r="Y750" i="10" s="1"/>
  <c r="L676" i="10"/>
  <c r="L668" i="10"/>
  <c r="L704" i="10"/>
  <c r="L703" i="10"/>
  <c r="M703" i="10" s="1"/>
  <c r="Y769" i="10" s="1"/>
  <c r="L702" i="10"/>
  <c r="M702" i="10" s="1"/>
  <c r="Y768" i="10" s="1"/>
  <c r="L689" i="10"/>
  <c r="L681" i="10"/>
  <c r="M681" i="10" s="1"/>
  <c r="Y747" i="10" s="1"/>
  <c r="L673" i="10"/>
  <c r="M673" i="10" s="1"/>
  <c r="Y739" i="10" s="1"/>
  <c r="L699" i="10"/>
  <c r="L698" i="10"/>
  <c r="M698" i="10" s="1"/>
  <c r="Y764" i="10" s="1"/>
  <c r="L671" i="10"/>
  <c r="M671" i="10" s="1"/>
  <c r="Y737" i="10" s="1"/>
  <c r="L669" i="10"/>
  <c r="M669" i="10" s="1"/>
  <c r="Y735" i="10" s="1"/>
  <c r="L716" i="10"/>
  <c r="L713" i="10"/>
  <c r="M713" i="10" s="1"/>
  <c r="Y779" i="10" s="1"/>
  <c r="L705" i="10"/>
  <c r="L701" i="10"/>
  <c r="M701" i="10" s="1"/>
  <c r="Y767" i="10" s="1"/>
  <c r="L691" i="10"/>
  <c r="L690" i="10"/>
  <c r="M690" i="10" s="1"/>
  <c r="Y756" i="10" s="1"/>
  <c r="L688" i="10"/>
  <c r="L686" i="10"/>
  <c r="M686" i="10" s="1"/>
  <c r="Y752" i="10" s="1"/>
  <c r="L694" i="10"/>
  <c r="M694" i="10" s="1"/>
  <c r="Y760" i="10" s="1"/>
  <c r="L693" i="10"/>
  <c r="M693" i="10" s="1"/>
  <c r="Y759" i="10" s="1"/>
  <c r="L687" i="10"/>
  <c r="M687" i="10" s="1"/>
  <c r="Y753" i="10" s="1"/>
  <c r="L685" i="10"/>
  <c r="M685" i="10" s="1"/>
  <c r="Y751" i="10" s="1"/>
  <c r="L683" i="10"/>
  <c r="L678" i="10"/>
  <c r="M678" i="10" s="1"/>
  <c r="Y744" i="10" s="1"/>
  <c r="L682" i="10"/>
  <c r="M682" i="10" s="1"/>
  <c r="Y748" i="10" s="1"/>
  <c r="L677" i="10"/>
  <c r="M677" i="10" s="1"/>
  <c r="Y743" i="10" s="1"/>
  <c r="L672" i="10"/>
  <c r="M672" i="10" s="1"/>
  <c r="Y738" i="10" s="1"/>
  <c r="L710" i="10"/>
  <c r="L680" i="10"/>
  <c r="M680" i="10" s="1"/>
  <c r="Y746" i="10" s="1"/>
  <c r="L675" i="10"/>
  <c r="M675" i="10" s="1"/>
  <c r="Y741" i="10" s="1"/>
  <c r="L670" i="10"/>
  <c r="M670" i="10" s="1"/>
  <c r="Y736" i="10" s="1"/>
  <c r="L696" i="10"/>
  <c r="M696" i="10" s="1"/>
  <c r="Y762" i="10" s="1"/>
  <c r="L712" i="10"/>
  <c r="M712" i="10" s="1"/>
  <c r="Y778" i="10" s="1"/>
  <c r="L679" i="10"/>
  <c r="M679" i="10" s="1"/>
  <c r="Y745" i="10" s="1"/>
  <c r="L674" i="10"/>
  <c r="L695" i="10"/>
  <c r="M695" i="10" s="1"/>
  <c r="Y761" i="10" s="1"/>
  <c r="M705" i="10" l="1"/>
  <c r="Y771" i="10" s="1"/>
  <c r="M710" i="10"/>
  <c r="Y776" i="10" s="1"/>
  <c r="M689" i="10"/>
  <c r="Y755" i="10" s="1"/>
  <c r="M674" i="10"/>
  <c r="Y740" i="10" s="1"/>
  <c r="M692" i="10"/>
  <c r="Y758" i="10" s="1"/>
  <c r="M688" i="10"/>
  <c r="Y754" i="10" s="1"/>
  <c r="M704" i="10"/>
  <c r="Y770" i="10" s="1"/>
  <c r="M708" i="10"/>
  <c r="Y774" i="10" s="1"/>
  <c r="K715" i="10"/>
  <c r="L715" i="10"/>
  <c r="M668" i="10"/>
  <c r="M683" i="10"/>
  <c r="Y749" i="10" s="1"/>
  <c r="M691" i="10"/>
  <c r="Y757" i="10" s="1"/>
  <c r="M699" i="10"/>
  <c r="Y765" i="10" s="1"/>
  <c r="M676" i="10"/>
  <c r="Y742" i="10" s="1"/>
  <c r="M706" i="10"/>
  <c r="Y772" i="10" s="1"/>
  <c r="M715" i="10" l="1"/>
  <c r="Y734" i="10"/>
  <c r="Y815" i="10" s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F517" i="1" s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F497" i="1" s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C218" i="9" s="1"/>
  <c r="AT75" i="1"/>
  <c r="D218" i="9" s="1"/>
  <c r="AU75" i="1"/>
  <c r="E218" i="9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I90" i="9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E209" i="1"/>
  <c r="F24" i="6" s="1"/>
  <c r="E210" i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D433" i="1" s="1"/>
  <c r="E196" i="1"/>
  <c r="E197" i="1"/>
  <c r="F9" i="6" s="1"/>
  <c r="E198" i="1"/>
  <c r="E199" i="1"/>
  <c r="C472" i="1" s="1"/>
  <c r="E200" i="1"/>
  <c r="E201" i="1"/>
  <c r="E202" i="1"/>
  <c r="C474" i="1" s="1"/>
  <c r="E203" i="1"/>
  <c r="D204" i="1"/>
  <c r="B204" i="1"/>
  <c r="D190" i="1"/>
  <c r="D437" i="1" s="1"/>
  <c r="D186" i="1"/>
  <c r="D436" i="1" s="1"/>
  <c r="D181" i="1"/>
  <c r="D177" i="1"/>
  <c r="C20" i="5" s="1"/>
  <c r="E154" i="1"/>
  <c r="E153" i="1"/>
  <c r="D463" i="1" s="1"/>
  <c r="E152" i="1"/>
  <c r="E151" i="1"/>
  <c r="C28" i="4" s="1"/>
  <c r="E150" i="1"/>
  <c r="E148" i="1"/>
  <c r="G19" i="4" s="1"/>
  <c r="E147" i="1"/>
  <c r="E146" i="1"/>
  <c r="D19" i="4" s="1"/>
  <c r="E145" i="1"/>
  <c r="C19" i="4" s="1"/>
  <c r="E144" i="1"/>
  <c r="E141" i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C440" i="1"/>
  <c r="C431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T48" i="1"/>
  <c r="T62" i="1" s="1"/>
  <c r="C473" i="1"/>
  <c r="F12" i="6"/>
  <c r="C469" i="1"/>
  <c r="F8" i="6"/>
  <c r="I26" i="9"/>
  <c r="F90" i="9"/>
  <c r="D366" i="9"/>
  <c r="CE64" i="1"/>
  <c r="F612" i="1" s="1"/>
  <c r="D368" i="9"/>
  <c r="C276" i="9"/>
  <c r="CE70" i="1"/>
  <c r="C458" i="1" s="1"/>
  <c r="CE76" i="1"/>
  <c r="D612" i="1" s="1"/>
  <c r="CE77" i="1"/>
  <c r="CF77" i="1" s="1"/>
  <c r="I29" i="9"/>
  <c r="C95" i="9"/>
  <c r="CE79" i="1"/>
  <c r="J612" i="1" s="1"/>
  <c r="E142" i="1"/>
  <c r="G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AU48" i="1"/>
  <c r="AU62" i="1" s="1"/>
  <c r="CD71" i="1"/>
  <c r="E373" i="9" s="1"/>
  <c r="BQ48" i="1"/>
  <c r="BQ62" i="1" s="1"/>
  <c r="F300" i="9" s="1"/>
  <c r="Y48" i="1"/>
  <c r="Y62" i="1" s="1"/>
  <c r="S48" i="1"/>
  <c r="S62" i="1" s="1"/>
  <c r="C615" i="1"/>
  <c r="B440" i="1"/>
  <c r="E372" i="9"/>
  <c r="BV48" i="1"/>
  <c r="BV62" i="1" s="1"/>
  <c r="AZ48" i="1"/>
  <c r="AZ62" i="1" s="1"/>
  <c r="AF48" i="1"/>
  <c r="AF62" i="1" s="1"/>
  <c r="F499" i="1"/>
  <c r="H505" i="1"/>
  <c r="H501" i="1"/>
  <c r="F501" i="1"/>
  <c r="BX48" i="1" l="1"/>
  <c r="BX62" i="1" s="1"/>
  <c r="AG48" i="1"/>
  <c r="AG62" i="1" s="1"/>
  <c r="F48" i="1"/>
  <c r="F62" i="1" s="1"/>
  <c r="AN48" i="1"/>
  <c r="AN62" i="1" s="1"/>
  <c r="BH48" i="1"/>
  <c r="BH62" i="1" s="1"/>
  <c r="AY48" i="1"/>
  <c r="AY62" i="1" s="1"/>
  <c r="I204" i="9" s="1"/>
  <c r="BE48" i="1"/>
  <c r="BE62" i="1" s="1"/>
  <c r="H236" i="9" s="1"/>
  <c r="BI48" i="1"/>
  <c r="BI62" i="1" s="1"/>
  <c r="E268" i="9" s="1"/>
  <c r="C34" i="5"/>
  <c r="F11" i="6"/>
  <c r="C421" i="1"/>
  <c r="C470" i="1"/>
  <c r="W48" i="1"/>
  <c r="W62" i="1" s="1"/>
  <c r="BD48" i="1"/>
  <c r="BD62" i="1" s="1"/>
  <c r="G236" i="9" s="1"/>
  <c r="AC48" i="1"/>
  <c r="AC62" i="1" s="1"/>
  <c r="H108" i="9" s="1"/>
  <c r="X48" i="1"/>
  <c r="X62" i="1" s="1"/>
  <c r="C108" i="9" s="1"/>
  <c r="AJ48" i="1"/>
  <c r="AJ62" i="1" s="1"/>
  <c r="H140" i="9" s="1"/>
  <c r="C427" i="1"/>
  <c r="AI48" i="1"/>
  <c r="AI62" i="1" s="1"/>
  <c r="AP48" i="1"/>
  <c r="AP62" i="1" s="1"/>
  <c r="CB48" i="1"/>
  <c r="CB62" i="1" s="1"/>
  <c r="C364" i="9" s="1"/>
  <c r="BM48" i="1"/>
  <c r="BM62" i="1" s="1"/>
  <c r="I268" i="9" s="1"/>
  <c r="D48" i="1"/>
  <c r="D62" i="1" s="1"/>
  <c r="D13" i="7"/>
  <c r="BF48" i="1"/>
  <c r="BF62" i="1" s="1"/>
  <c r="AW48" i="1"/>
  <c r="AW62" i="1" s="1"/>
  <c r="J48" i="1"/>
  <c r="J62" i="1" s="1"/>
  <c r="AR48" i="1"/>
  <c r="AR62" i="1" s="1"/>
  <c r="BW48" i="1"/>
  <c r="BW62" i="1" s="1"/>
  <c r="BC48" i="1"/>
  <c r="BC62" i="1" s="1"/>
  <c r="F236" i="9" s="1"/>
  <c r="AV48" i="1"/>
  <c r="AV62" i="1" s="1"/>
  <c r="F204" i="9" s="1"/>
  <c r="CC48" i="1"/>
  <c r="CC62" i="1" s="1"/>
  <c r="D364" i="9" s="1"/>
  <c r="H48" i="1"/>
  <c r="H62" i="1" s="1"/>
  <c r="AH48" i="1"/>
  <c r="AH62" i="1" s="1"/>
  <c r="C575" i="1"/>
  <c r="CA48" i="1"/>
  <c r="CA62" i="1" s="1"/>
  <c r="AQ48" i="1"/>
  <c r="AQ62" i="1" s="1"/>
  <c r="BZ48" i="1"/>
  <c r="BZ62" i="1" s="1"/>
  <c r="AB48" i="1"/>
  <c r="AB62" i="1" s="1"/>
  <c r="BL48" i="1"/>
  <c r="BL62" i="1" s="1"/>
  <c r="H268" i="9" s="1"/>
  <c r="BO48" i="1"/>
  <c r="BO62" i="1" s="1"/>
  <c r="D300" i="9" s="1"/>
  <c r="O48" i="1"/>
  <c r="O62" i="1" s="1"/>
  <c r="R48" i="1"/>
  <c r="R62" i="1" s="1"/>
  <c r="D76" i="9" s="1"/>
  <c r="BN48" i="1"/>
  <c r="BN62" i="1" s="1"/>
  <c r="E48" i="1"/>
  <c r="E62" i="1" s="1"/>
  <c r="V48" i="1"/>
  <c r="V62" i="1" s="1"/>
  <c r="H76" i="9" s="1"/>
  <c r="BP48" i="1"/>
  <c r="BP62" i="1" s="1"/>
  <c r="E300" i="9" s="1"/>
  <c r="U48" i="1"/>
  <c r="U62" i="1" s="1"/>
  <c r="G76" i="9" s="1"/>
  <c r="AE48" i="1"/>
  <c r="AE62" i="1" s="1"/>
  <c r="Z48" i="1"/>
  <c r="Z62" i="1" s="1"/>
  <c r="AX48" i="1"/>
  <c r="AX62" i="1" s="1"/>
  <c r="BT48" i="1"/>
  <c r="BT62" i="1" s="1"/>
  <c r="K48" i="1"/>
  <c r="K62" i="1" s="1"/>
  <c r="Q48" i="1"/>
  <c r="Q62" i="1" s="1"/>
  <c r="C76" i="9" s="1"/>
  <c r="AK48" i="1"/>
  <c r="AK62" i="1" s="1"/>
  <c r="BS48" i="1"/>
  <c r="BS62" i="1" s="1"/>
  <c r="H300" i="9" s="1"/>
  <c r="L48" i="1"/>
  <c r="L62" i="1" s="1"/>
  <c r="I612" i="1"/>
  <c r="C10" i="4"/>
  <c r="I381" i="9"/>
  <c r="G612" i="1"/>
  <c r="C14" i="5"/>
  <c r="D32" i="6"/>
  <c r="D5" i="7"/>
  <c r="B476" i="1"/>
  <c r="C33" i="8"/>
  <c r="D330" i="1"/>
  <c r="C86" i="8" s="1"/>
  <c r="C141" i="8"/>
  <c r="C119" i="8"/>
  <c r="D368" i="1"/>
  <c r="C120" i="8" s="1"/>
  <c r="C112" i="8"/>
  <c r="B465" i="1"/>
  <c r="I380" i="9"/>
  <c r="CF76" i="1"/>
  <c r="S52" i="1" s="1"/>
  <c r="S67" i="1" s="1"/>
  <c r="E81" i="9" s="1"/>
  <c r="G122" i="9"/>
  <c r="C464" i="1"/>
  <c r="I372" i="9"/>
  <c r="C432" i="1"/>
  <c r="I366" i="9"/>
  <c r="C429" i="1"/>
  <c r="N48" i="1"/>
  <c r="N62" i="1" s="1"/>
  <c r="AD48" i="1"/>
  <c r="AD62" i="1" s="1"/>
  <c r="I108" i="9" s="1"/>
  <c r="AL48" i="1"/>
  <c r="AL62" i="1" s="1"/>
  <c r="AT48" i="1"/>
  <c r="AT62" i="1" s="1"/>
  <c r="BB48" i="1"/>
  <c r="BB62" i="1" s="1"/>
  <c r="E236" i="9" s="1"/>
  <c r="BJ48" i="1"/>
  <c r="BJ62" i="1" s="1"/>
  <c r="F268" i="9" s="1"/>
  <c r="BR48" i="1"/>
  <c r="BR62" i="1" s="1"/>
  <c r="BY48" i="1"/>
  <c r="BY62" i="1" s="1"/>
  <c r="G332" i="9" s="1"/>
  <c r="C48" i="1"/>
  <c r="C62" i="1" s="1"/>
  <c r="C12" i="9" s="1"/>
  <c r="AA48" i="1"/>
  <c r="AA62" i="1" s="1"/>
  <c r="F108" i="9" s="1"/>
  <c r="BG48" i="1"/>
  <c r="BG62" i="1" s="1"/>
  <c r="C268" i="9" s="1"/>
  <c r="I48" i="1"/>
  <c r="I62" i="1" s="1"/>
  <c r="AO48" i="1"/>
  <c r="AO62" i="1" s="1"/>
  <c r="BU48" i="1"/>
  <c r="BU62" i="1" s="1"/>
  <c r="C332" i="9" s="1"/>
  <c r="BA48" i="1"/>
  <c r="BA62" i="1" s="1"/>
  <c r="D236" i="9" s="1"/>
  <c r="AM48" i="1"/>
  <c r="AM62" i="1" s="1"/>
  <c r="M48" i="1"/>
  <c r="M62" i="1" s="1"/>
  <c r="G48" i="1"/>
  <c r="G62" i="1" s="1"/>
  <c r="G12" i="9" s="1"/>
  <c r="P48" i="1"/>
  <c r="P62" i="1" s="1"/>
  <c r="I44" i="9" s="1"/>
  <c r="I363" i="9"/>
  <c r="AS48" i="1"/>
  <c r="AS62" i="1" s="1"/>
  <c r="C204" i="9"/>
  <c r="I332" i="9"/>
  <c r="G108" i="9"/>
  <c r="F332" i="9"/>
  <c r="E108" i="9"/>
  <c r="E44" i="9"/>
  <c r="I12" i="9"/>
  <c r="I172" i="9"/>
  <c r="I140" i="9"/>
  <c r="E172" i="9"/>
  <c r="F76" i="9"/>
  <c r="C44" i="9"/>
  <c r="C236" i="9"/>
  <c r="E140" i="9"/>
  <c r="H332" i="9"/>
  <c r="I300" i="9"/>
  <c r="D140" i="9"/>
  <c r="E76" i="9"/>
  <c r="D268" i="9"/>
  <c r="C430" i="1"/>
  <c r="F10" i="4"/>
  <c r="F172" i="9"/>
  <c r="H12" i="9"/>
  <c r="G28" i="4"/>
  <c r="I362" i="9"/>
  <c r="B10" i="4"/>
  <c r="D44" i="9"/>
  <c r="C140" i="9"/>
  <c r="D186" i="9"/>
  <c r="F140" i="9"/>
  <c r="D12" i="9"/>
  <c r="D204" i="9"/>
  <c r="C300" i="9"/>
  <c r="G172" i="9"/>
  <c r="I236" i="9"/>
  <c r="D332" i="9"/>
  <c r="H204" i="9"/>
  <c r="G44" i="9"/>
  <c r="F44" i="9"/>
  <c r="H44" i="9"/>
  <c r="B446" i="1"/>
  <c r="D242" i="1"/>
  <c r="F12" i="9"/>
  <c r="G140" i="9"/>
  <c r="E332" i="9"/>
  <c r="E12" i="9"/>
  <c r="C418" i="1"/>
  <c r="D438" i="1"/>
  <c r="F14" i="6"/>
  <c r="C471" i="1"/>
  <c r="F10" i="6"/>
  <c r="D26" i="9"/>
  <c r="CE75" i="1"/>
  <c r="G204" i="9"/>
  <c r="D108" i="9"/>
  <c r="E204" i="9"/>
  <c r="F7" i="6"/>
  <c r="E204" i="1"/>
  <c r="C468" i="1"/>
  <c r="I383" i="9"/>
  <c r="D22" i="7"/>
  <c r="C40" i="5"/>
  <c r="I76" i="9"/>
  <c r="C420" i="1"/>
  <c r="B28" i="4"/>
  <c r="F186" i="9"/>
  <c r="H172" i="9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BT52" i="1" l="1"/>
  <c r="BT67" i="1" s="1"/>
  <c r="CB52" i="1"/>
  <c r="CB67" i="1" s="1"/>
  <c r="CB71" i="1" s="1"/>
  <c r="C622" i="1" s="1"/>
  <c r="G52" i="1"/>
  <c r="G67" i="1" s="1"/>
  <c r="G71" i="1" s="1"/>
  <c r="G21" i="9" s="1"/>
  <c r="X52" i="1"/>
  <c r="X67" i="1" s="1"/>
  <c r="AP52" i="1"/>
  <c r="AP67" i="1" s="1"/>
  <c r="BQ52" i="1"/>
  <c r="BQ67" i="1" s="1"/>
  <c r="BQ71" i="1" s="1"/>
  <c r="C562" i="1" s="1"/>
  <c r="E52" i="1"/>
  <c r="E67" i="1" s="1"/>
  <c r="BV52" i="1"/>
  <c r="BV67" i="1" s="1"/>
  <c r="BV71" i="1" s="1"/>
  <c r="C642" i="1" s="1"/>
  <c r="AD52" i="1"/>
  <c r="AD67" i="1" s="1"/>
  <c r="AN52" i="1"/>
  <c r="AN67" i="1" s="1"/>
  <c r="BF52" i="1"/>
  <c r="BF67" i="1" s="1"/>
  <c r="BF71" i="1" s="1"/>
  <c r="I245" i="9" s="1"/>
  <c r="BZ52" i="1"/>
  <c r="BZ67" i="1" s="1"/>
  <c r="H337" i="9" s="1"/>
  <c r="BK52" i="1"/>
  <c r="BK67" i="1" s="1"/>
  <c r="G273" i="9" s="1"/>
  <c r="AH52" i="1"/>
  <c r="AH67" i="1" s="1"/>
  <c r="F145" i="9" s="1"/>
  <c r="AO52" i="1"/>
  <c r="AO67" i="1" s="1"/>
  <c r="F177" i="9" s="1"/>
  <c r="BX52" i="1"/>
  <c r="BX67" i="1" s="1"/>
  <c r="F337" i="9" s="1"/>
  <c r="AJ52" i="1"/>
  <c r="AJ67" i="1" s="1"/>
  <c r="H145" i="9" s="1"/>
  <c r="AL52" i="1"/>
  <c r="AL67" i="1" s="1"/>
  <c r="AL71" i="1" s="1"/>
  <c r="AE52" i="1"/>
  <c r="AE67" i="1" s="1"/>
  <c r="AB52" i="1"/>
  <c r="AB67" i="1" s="1"/>
  <c r="G113" i="9" s="1"/>
  <c r="AX52" i="1"/>
  <c r="AX67" i="1" s="1"/>
  <c r="AX71" i="1" s="1"/>
  <c r="C543" i="1" s="1"/>
  <c r="BM52" i="1"/>
  <c r="BM67" i="1" s="1"/>
  <c r="BM71" i="1" s="1"/>
  <c r="C638" i="1" s="1"/>
  <c r="AA52" i="1"/>
  <c r="AA67" i="1" s="1"/>
  <c r="AA71" i="1" s="1"/>
  <c r="C520" i="1" s="1"/>
  <c r="G520" i="1" s="1"/>
  <c r="BN52" i="1"/>
  <c r="BN67" i="1" s="1"/>
  <c r="BN71" i="1" s="1"/>
  <c r="C309" i="9" s="1"/>
  <c r="AY52" i="1"/>
  <c r="AY67" i="1" s="1"/>
  <c r="AY71" i="1" s="1"/>
  <c r="C625" i="1" s="1"/>
  <c r="BD52" i="1"/>
  <c r="BD67" i="1" s="1"/>
  <c r="BD71" i="1" s="1"/>
  <c r="C624" i="1" s="1"/>
  <c r="H52" i="1"/>
  <c r="H67" i="1" s="1"/>
  <c r="N52" i="1"/>
  <c r="N67" i="1" s="1"/>
  <c r="G49" i="9" s="1"/>
  <c r="C52" i="1"/>
  <c r="C67" i="1" s="1"/>
  <c r="O52" i="1"/>
  <c r="O67" i="1" s="1"/>
  <c r="AC52" i="1"/>
  <c r="AC67" i="1" s="1"/>
  <c r="AC71" i="1" s="1"/>
  <c r="BW52" i="1"/>
  <c r="BW67" i="1" s="1"/>
  <c r="AI52" i="1"/>
  <c r="AI67" i="1" s="1"/>
  <c r="BB52" i="1"/>
  <c r="BB67" i="1" s="1"/>
  <c r="BB71" i="1" s="1"/>
  <c r="Z52" i="1"/>
  <c r="Z67" i="1" s="1"/>
  <c r="E113" i="9" s="1"/>
  <c r="W52" i="1"/>
  <c r="W67" i="1" s="1"/>
  <c r="BA52" i="1"/>
  <c r="BA67" i="1" s="1"/>
  <c r="BA71" i="1" s="1"/>
  <c r="C630" i="1" s="1"/>
  <c r="M52" i="1"/>
  <c r="M67" i="1" s="1"/>
  <c r="M71" i="1" s="1"/>
  <c r="C678" i="1" s="1"/>
  <c r="BR52" i="1"/>
  <c r="BR67" i="1" s="1"/>
  <c r="BR71" i="1" s="1"/>
  <c r="G309" i="9" s="1"/>
  <c r="D52" i="1"/>
  <c r="D67" i="1" s="1"/>
  <c r="D71" i="1" s="1"/>
  <c r="C669" i="1" s="1"/>
  <c r="T52" i="1"/>
  <c r="T67" i="1" s="1"/>
  <c r="T71" i="1" s="1"/>
  <c r="C513" i="1" s="1"/>
  <c r="G513" i="1" s="1"/>
  <c r="F52" i="1"/>
  <c r="F67" i="1" s="1"/>
  <c r="F71" i="1" s="1"/>
  <c r="F21" i="9" s="1"/>
  <c r="K52" i="1"/>
  <c r="K67" i="1" s="1"/>
  <c r="BP52" i="1"/>
  <c r="BP67" i="1" s="1"/>
  <c r="E305" i="9" s="1"/>
  <c r="J52" i="1"/>
  <c r="J67" i="1" s="1"/>
  <c r="R52" i="1"/>
  <c r="R67" i="1" s="1"/>
  <c r="AZ52" i="1"/>
  <c r="AZ67" i="1" s="1"/>
  <c r="BS52" i="1"/>
  <c r="BS67" i="1" s="1"/>
  <c r="H305" i="9" s="1"/>
  <c r="BJ52" i="1"/>
  <c r="BJ67" i="1" s="1"/>
  <c r="AR52" i="1"/>
  <c r="AR67" i="1" s="1"/>
  <c r="AF52" i="1"/>
  <c r="AF67" i="1" s="1"/>
  <c r="Q52" i="1"/>
  <c r="Q67" i="1" s="1"/>
  <c r="U52" i="1"/>
  <c r="U67" i="1" s="1"/>
  <c r="AT52" i="1"/>
  <c r="AT67" i="1" s="1"/>
  <c r="D209" i="9" s="1"/>
  <c r="BE52" i="1"/>
  <c r="BE67" i="1" s="1"/>
  <c r="BE71" i="1" s="1"/>
  <c r="C550" i="1" s="1"/>
  <c r="G550" i="1" s="1"/>
  <c r="AK52" i="1"/>
  <c r="AK67" i="1" s="1"/>
  <c r="AK71" i="1" s="1"/>
  <c r="C530" i="1" s="1"/>
  <c r="G530" i="1" s="1"/>
  <c r="AW52" i="1"/>
  <c r="AW67" i="1" s="1"/>
  <c r="AW71" i="1" s="1"/>
  <c r="C631" i="1" s="1"/>
  <c r="BY52" i="1"/>
  <c r="BY67" i="1" s="1"/>
  <c r="BY71" i="1" s="1"/>
  <c r="C570" i="1" s="1"/>
  <c r="AM52" i="1"/>
  <c r="AM67" i="1" s="1"/>
  <c r="AM71" i="1" s="1"/>
  <c r="CA52" i="1"/>
  <c r="CA67" i="1" s="1"/>
  <c r="I337" i="9" s="1"/>
  <c r="AG52" i="1"/>
  <c r="AG67" i="1" s="1"/>
  <c r="E145" i="9" s="1"/>
  <c r="BH52" i="1"/>
  <c r="BH67" i="1" s="1"/>
  <c r="AU52" i="1"/>
  <c r="AU67" i="1" s="1"/>
  <c r="BI52" i="1"/>
  <c r="BI67" i="1" s="1"/>
  <c r="E273" i="9" s="1"/>
  <c r="BG52" i="1"/>
  <c r="BG67" i="1" s="1"/>
  <c r="BL52" i="1"/>
  <c r="BL67" i="1" s="1"/>
  <c r="CC52" i="1"/>
  <c r="CC67" i="1" s="1"/>
  <c r="D369" i="9" s="1"/>
  <c r="L52" i="1"/>
  <c r="L67" i="1" s="1"/>
  <c r="L71" i="1" s="1"/>
  <c r="C677" i="1" s="1"/>
  <c r="AQ52" i="1"/>
  <c r="AQ67" i="1" s="1"/>
  <c r="H177" i="9" s="1"/>
  <c r="BO52" i="1"/>
  <c r="BO67" i="1" s="1"/>
  <c r="Y52" i="1"/>
  <c r="Y67" i="1" s="1"/>
  <c r="Y71" i="1" s="1"/>
  <c r="D339" i="1"/>
  <c r="C102" i="8" s="1"/>
  <c r="S71" i="1"/>
  <c r="BC52" i="1"/>
  <c r="BC67" i="1" s="1"/>
  <c r="V52" i="1"/>
  <c r="V67" i="1" s="1"/>
  <c r="AS52" i="1"/>
  <c r="AS67" i="1" s="1"/>
  <c r="AV52" i="1"/>
  <c r="AV67" i="1" s="1"/>
  <c r="I52" i="1"/>
  <c r="I67" i="1" s="1"/>
  <c r="I71" i="1" s="1"/>
  <c r="C502" i="1" s="1"/>
  <c r="G502" i="1" s="1"/>
  <c r="BU52" i="1"/>
  <c r="BU67" i="1" s="1"/>
  <c r="P52" i="1"/>
  <c r="P67" i="1" s="1"/>
  <c r="P71" i="1" s="1"/>
  <c r="I53" i="9" s="1"/>
  <c r="G300" i="9"/>
  <c r="C172" i="9"/>
  <c r="D172" i="9"/>
  <c r="CE48" i="1"/>
  <c r="CE62" i="1"/>
  <c r="D27" i="7"/>
  <c r="B448" i="1"/>
  <c r="F544" i="1"/>
  <c r="H544" i="1"/>
  <c r="F536" i="1"/>
  <c r="F528" i="1"/>
  <c r="H528" i="1"/>
  <c r="F520" i="1"/>
  <c r="D341" i="1"/>
  <c r="C481" i="1" s="1"/>
  <c r="C50" i="8"/>
  <c r="I378" i="9"/>
  <c r="K612" i="1"/>
  <c r="C465" i="1"/>
  <c r="C126" i="8"/>
  <c r="D391" i="1"/>
  <c r="F32" i="6"/>
  <c r="C478" i="1"/>
  <c r="C482" i="1"/>
  <c r="F498" i="1"/>
  <c r="C476" i="1"/>
  <c r="F16" i="6"/>
  <c r="C500" i="1"/>
  <c r="G500" i="1" s="1"/>
  <c r="F516" i="1"/>
  <c r="C573" i="1"/>
  <c r="F540" i="1"/>
  <c r="H540" i="1"/>
  <c r="F532" i="1"/>
  <c r="H532" i="1"/>
  <c r="F524" i="1"/>
  <c r="F550" i="1"/>
  <c r="C369" i="9" l="1"/>
  <c r="C373" i="9"/>
  <c r="C672" i="1"/>
  <c r="G17" i="9"/>
  <c r="I305" i="9"/>
  <c r="D341" i="9"/>
  <c r="G209" i="9"/>
  <c r="F17" i="9"/>
  <c r="C551" i="1"/>
  <c r="E17" i="9"/>
  <c r="BT71" i="1"/>
  <c r="C565" i="1" s="1"/>
  <c r="I241" i="9"/>
  <c r="AH71" i="1"/>
  <c r="C527" i="1" s="1"/>
  <c r="G527" i="1" s="1"/>
  <c r="F305" i="9"/>
  <c r="F309" i="9"/>
  <c r="C623" i="1"/>
  <c r="G305" i="9"/>
  <c r="D337" i="9"/>
  <c r="C567" i="1"/>
  <c r="AP71" i="1"/>
  <c r="G181" i="9" s="1"/>
  <c r="E71" i="1"/>
  <c r="E21" i="9" s="1"/>
  <c r="AD71" i="1"/>
  <c r="I117" i="9" s="1"/>
  <c r="X71" i="1"/>
  <c r="C117" i="9" s="1"/>
  <c r="I113" i="9"/>
  <c r="I213" i="9"/>
  <c r="C629" i="1"/>
  <c r="I209" i="9"/>
  <c r="G177" i="9"/>
  <c r="C113" i="9"/>
  <c r="I145" i="9"/>
  <c r="C305" i="9"/>
  <c r="I273" i="9"/>
  <c r="E177" i="9"/>
  <c r="C616" i="1"/>
  <c r="H209" i="9"/>
  <c r="F117" i="9"/>
  <c r="F81" i="9"/>
  <c r="AN71" i="1"/>
  <c r="C533" i="1" s="1"/>
  <c r="G533" i="1" s="1"/>
  <c r="C685" i="1"/>
  <c r="CE52" i="1"/>
  <c r="C547" i="1"/>
  <c r="C632" i="1"/>
  <c r="C531" i="1"/>
  <c r="G531" i="1" s="1"/>
  <c r="C703" i="1"/>
  <c r="F53" i="9"/>
  <c r="C559" i="1"/>
  <c r="G213" i="9"/>
  <c r="C558" i="1"/>
  <c r="F49" i="9"/>
  <c r="C506" i="1"/>
  <c r="G506" i="1" s="1"/>
  <c r="C619" i="1"/>
  <c r="C499" i="1"/>
  <c r="H499" i="1" s="1"/>
  <c r="I277" i="9"/>
  <c r="BP71" i="1"/>
  <c r="C561" i="1" s="1"/>
  <c r="C177" i="9"/>
  <c r="C542" i="1"/>
  <c r="C671" i="1"/>
  <c r="E53" i="9"/>
  <c r="C694" i="1"/>
  <c r="C522" i="1"/>
  <c r="G522" i="1" s="1"/>
  <c r="C549" i="1"/>
  <c r="C544" i="1"/>
  <c r="G544" i="1" s="1"/>
  <c r="H550" i="1"/>
  <c r="BZ71" i="1"/>
  <c r="C571" i="1" s="1"/>
  <c r="G241" i="9"/>
  <c r="D17" i="9"/>
  <c r="H117" i="9"/>
  <c r="C497" i="1"/>
  <c r="G497" i="1" s="1"/>
  <c r="G245" i="9"/>
  <c r="BW71" i="1"/>
  <c r="C568" i="1" s="1"/>
  <c r="AO71" i="1"/>
  <c r="F181" i="9" s="1"/>
  <c r="C702" i="1"/>
  <c r="D21" i="9"/>
  <c r="H273" i="9"/>
  <c r="E337" i="9"/>
  <c r="C532" i="1"/>
  <c r="G532" i="1" s="1"/>
  <c r="C704" i="1"/>
  <c r="C241" i="9"/>
  <c r="AZ71" i="1"/>
  <c r="K71" i="1"/>
  <c r="D49" i="9"/>
  <c r="D241" i="9"/>
  <c r="CE67" i="1"/>
  <c r="H213" i="9"/>
  <c r="C692" i="1"/>
  <c r="F85" i="9"/>
  <c r="C17" i="9"/>
  <c r="BK71" i="1"/>
  <c r="AR71" i="1"/>
  <c r="I177" i="9"/>
  <c r="D81" i="9"/>
  <c r="R71" i="1"/>
  <c r="I81" i="9"/>
  <c r="W71" i="1"/>
  <c r="N71" i="1"/>
  <c r="AB71" i="1"/>
  <c r="BX71" i="1"/>
  <c r="G145" i="9"/>
  <c r="AI71" i="1"/>
  <c r="F113" i="9"/>
  <c r="D177" i="9"/>
  <c r="H241" i="9"/>
  <c r="D245" i="9"/>
  <c r="C614" i="1"/>
  <c r="D615" i="1" s="1"/>
  <c r="D647" i="1" s="1"/>
  <c r="C71" i="1"/>
  <c r="C496" i="1" s="1"/>
  <c r="G496" i="1" s="1"/>
  <c r="C273" i="9"/>
  <c r="AJ71" i="1"/>
  <c r="F273" i="9"/>
  <c r="BJ71" i="1"/>
  <c r="C49" i="9"/>
  <c r="J71" i="1"/>
  <c r="Z71" i="1"/>
  <c r="H113" i="9"/>
  <c r="H71" i="1"/>
  <c r="H17" i="9"/>
  <c r="C145" i="9"/>
  <c r="AE71" i="1"/>
  <c r="BS71" i="1"/>
  <c r="E241" i="9"/>
  <c r="O71" i="1"/>
  <c r="H49" i="9"/>
  <c r="C181" i="9"/>
  <c r="E245" i="9"/>
  <c r="D181" i="9"/>
  <c r="I149" i="9"/>
  <c r="AQ71" i="1"/>
  <c r="BG71" i="1"/>
  <c r="D113" i="9"/>
  <c r="E209" i="9"/>
  <c r="AU71" i="1"/>
  <c r="H245" i="9"/>
  <c r="C505" i="1"/>
  <c r="G505" i="1" s="1"/>
  <c r="BO71" i="1"/>
  <c r="D305" i="9"/>
  <c r="D273" i="9"/>
  <c r="BH71" i="1"/>
  <c r="G81" i="9"/>
  <c r="U71" i="1"/>
  <c r="G337" i="9"/>
  <c r="AT71" i="1"/>
  <c r="CC71" i="1"/>
  <c r="BL71" i="1"/>
  <c r="E49" i="9"/>
  <c r="AG71" i="1"/>
  <c r="C81" i="9"/>
  <c r="Q71" i="1"/>
  <c r="BI71" i="1"/>
  <c r="CA71" i="1"/>
  <c r="AF71" i="1"/>
  <c r="D145" i="9"/>
  <c r="C209" i="9"/>
  <c r="AS71" i="1"/>
  <c r="BU71" i="1"/>
  <c r="C337" i="9"/>
  <c r="H81" i="9"/>
  <c r="V71" i="1"/>
  <c r="C674" i="1"/>
  <c r="I21" i="9"/>
  <c r="C690" i="1"/>
  <c r="C518" i="1"/>
  <c r="G518" i="1" s="1"/>
  <c r="D117" i="9"/>
  <c r="I49" i="9"/>
  <c r="I17" i="9"/>
  <c r="BC71" i="1"/>
  <c r="F241" i="9"/>
  <c r="C512" i="1"/>
  <c r="G512" i="1" s="1"/>
  <c r="E85" i="9"/>
  <c r="C684" i="1"/>
  <c r="F209" i="9"/>
  <c r="AV71" i="1"/>
  <c r="C546" i="1"/>
  <c r="G546" i="1" s="1"/>
  <c r="C645" i="1"/>
  <c r="G341" i="9"/>
  <c r="C563" i="1"/>
  <c r="C626" i="1"/>
  <c r="I364" i="9"/>
  <c r="C509" i="1"/>
  <c r="G509" i="1" s="1"/>
  <c r="C428" i="1"/>
  <c r="C681" i="1"/>
  <c r="H520" i="1"/>
  <c r="F522" i="1"/>
  <c r="F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F508" i="1"/>
  <c r="F514" i="1"/>
  <c r="F507" i="1"/>
  <c r="F518" i="1"/>
  <c r="F546" i="1"/>
  <c r="F506" i="1"/>
  <c r="H500" i="1"/>
  <c r="F500" i="1"/>
  <c r="F509" i="1"/>
  <c r="C517" i="1" l="1"/>
  <c r="C699" i="1"/>
  <c r="C640" i="1"/>
  <c r="C523" i="1"/>
  <c r="G523" i="1" s="1"/>
  <c r="C21" i="9"/>
  <c r="E181" i="9"/>
  <c r="C695" i="1"/>
  <c r="I309" i="9"/>
  <c r="F149" i="9"/>
  <c r="C498" i="1"/>
  <c r="G498" i="1" s="1"/>
  <c r="C670" i="1"/>
  <c r="C705" i="1"/>
  <c r="C535" i="1"/>
  <c r="G535" i="1" s="1"/>
  <c r="C707" i="1"/>
  <c r="C689" i="1"/>
  <c r="D688" i="1"/>
  <c r="D675" i="1"/>
  <c r="D677" i="1"/>
  <c r="D713" i="1"/>
  <c r="G499" i="1"/>
  <c r="C534" i="1"/>
  <c r="G534" i="1" s="1"/>
  <c r="H512" i="1"/>
  <c r="D692" i="1"/>
  <c r="D682" i="1"/>
  <c r="D689" i="1"/>
  <c r="D668" i="1"/>
  <c r="D708" i="1"/>
  <c r="H341" i="9"/>
  <c r="D700" i="1"/>
  <c r="D620" i="1"/>
  <c r="D696" i="1"/>
  <c r="D695" i="1"/>
  <c r="D707" i="1"/>
  <c r="D686" i="1"/>
  <c r="D691" i="1"/>
  <c r="D716" i="1"/>
  <c r="D681" i="1"/>
  <c r="D694" i="1"/>
  <c r="D645" i="1"/>
  <c r="D639" i="1"/>
  <c r="D705" i="1"/>
  <c r="D631" i="1"/>
  <c r="D676" i="1"/>
  <c r="D634" i="1"/>
  <c r="D703" i="1"/>
  <c r="D627" i="1"/>
  <c r="D712" i="1"/>
  <c r="D684" i="1"/>
  <c r="D709" i="1"/>
  <c r="D698" i="1"/>
  <c r="D680" i="1"/>
  <c r="D683" i="1"/>
  <c r="D672" i="1"/>
  <c r="D693" i="1"/>
  <c r="D679" i="1"/>
  <c r="D635" i="1"/>
  <c r="D685" i="1"/>
  <c r="D622" i="1"/>
  <c r="D623" i="1"/>
  <c r="D699" i="1"/>
  <c r="D630" i="1"/>
  <c r="D629" i="1"/>
  <c r="D669" i="1"/>
  <c r="D673" i="1"/>
  <c r="D640" i="1"/>
  <c r="D701" i="1"/>
  <c r="D642" i="1"/>
  <c r="D636" i="1"/>
  <c r="D616" i="1"/>
  <c r="D643" i="1"/>
  <c r="D624" i="1"/>
  <c r="D641" i="1"/>
  <c r="D626" i="1"/>
  <c r="D618" i="1"/>
  <c r="D697" i="1"/>
  <c r="D690" i="1"/>
  <c r="E309" i="9"/>
  <c r="D644" i="1"/>
  <c r="D704" i="1"/>
  <c r="D628" i="1"/>
  <c r="D711" i="1"/>
  <c r="D706" i="1"/>
  <c r="D671" i="1"/>
  <c r="D638" i="1"/>
  <c r="D670" i="1"/>
  <c r="D621" i="1"/>
  <c r="D678" i="1"/>
  <c r="D674" i="1"/>
  <c r="D702" i="1"/>
  <c r="D710" i="1"/>
  <c r="D619" i="1"/>
  <c r="D625" i="1"/>
  <c r="D646" i="1"/>
  <c r="D633" i="1"/>
  <c r="D617" i="1"/>
  <c r="D637" i="1"/>
  <c r="C646" i="1"/>
  <c r="C706" i="1"/>
  <c r="C621" i="1"/>
  <c r="H496" i="1"/>
  <c r="H497" i="1"/>
  <c r="H522" i="1"/>
  <c r="H506" i="1"/>
  <c r="H518" i="1"/>
  <c r="E341" i="9"/>
  <c r="C643" i="1"/>
  <c r="C668" i="1"/>
  <c r="C508" i="1"/>
  <c r="H53" i="9"/>
  <c r="C680" i="1"/>
  <c r="G149" i="9"/>
  <c r="C528" i="1"/>
  <c r="G528" i="1" s="1"/>
  <c r="C700" i="1"/>
  <c r="C524" i="1"/>
  <c r="C696" i="1"/>
  <c r="C149" i="9"/>
  <c r="E117" i="9"/>
  <c r="C519" i="1"/>
  <c r="G519" i="1" s="1"/>
  <c r="C691" i="1"/>
  <c r="C555" i="1"/>
  <c r="C617" i="1"/>
  <c r="F277" i="9"/>
  <c r="C529" i="1"/>
  <c r="G529" i="1" s="1"/>
  <c r="H149" i="9"/>
  <c r="C701" i="1"/>
  <c r="D687" i="1"/>
  <c r="D632" i="1"/>
  <c r="F341" i="9"/>
  <c r="C569" i="1"/>
  <c r="C644" i="1"/>
  <c r="C679" i="1"/>
  <c r="G53" i="9"/>
  <c r="C507" i="1"/>
  <c r="I369" i="9"/>
  <c r="C433" i="1"/>
  <c r="C441" i="1" s="1"/>
  <c r="CE71" i="1"/>
  <c r="C716" i="1" s="1"/>
  <c r="C639" i="1"/>
  <c r="C564" i="1"/>
  <c r="H309" i="9"/>
  <c r="C503" i="1"/>
  <c r="G503" i="1" s="1"/>
  <c r="C53" i="9"/>
  <c r="C675" i="1"/>
  <c r="C688" i="1"/>
  <c r="I85" i="9"/>
  <c r="C516" i="1"/>
  <c r="C511" i="1"/>
  <c r="D85" i="9"/>
  <c r="C683" i="1"/>
  <c r="C709" i="1"/>
  <c r="I181" i="9"/>
  <c r="C537" i="1"/>
  <c r="G537" i="1" s="1"/>
  <c r="D53" i="9"/>
  <c r="C676" i="1"/>
  <c r="C504" i="1"/>
  <c r="G504" i="1" s="1"/>
  <c r="C501" i="1"/>
  <c r="G501" i="1" s="1"/>
  <c r="C673" i="1"/>
  <c r="H21" i="9"/>
  <c r="G117" i="9"/>
  <c r="C521" i="1"/>
  <c r="G521" i="1" s="1"/>
  <c r="C693" i="1"/>
  <c r="G277" i="9"/>
  <c r="C556" i="1"/>
  <c r="C635" i="1"/>
  <c r="C245" i="9"/>
  <c r="C545" i="1"/>
  <c r="G545" i="1" s="1"/>
  <c r="C628" i="1"/>
  <c r="C552" i="1"/>
  <c r="C277" i="9"/>
  <c r="C618" i="1"/>
  <c r="C708" i="1"/>
  <c r="C536" i="1"/>
  <c r="H181" i="9"/>
  <c r="H546" i="1"/>
  <c r="C620" i="1"/>
  <c r="C574" i="1"/>
  <c r="D373" i="9"/>
  <c r="C636" i="1"/>
  <c r="D277" i="9"/>
  <c r="C553" i="1"/>
  <c r="C560" i="1"/>
  <c r="D309" i="9"/>
  <c r="C627" i="1"/>
  <c r="C540" i="1"/>
  <c r="G540" i="1" s="1"/>
  <c r="C712" i="1"/>
  <c r="E213" i="9"/>
  <c r="C525" i="1"/>
  <c r="G525" i="1" s="1"/>
  <c r="C697" i="1"/>
  <c r="D149" i="9"/>
  <c r="C510" i="1"/>
  <c r="C85" i="9"/>
  <c r="C682" i="1"/>
  <c r="C698" i="1"/>
  <c r="C526" i="1"/>
  <c r="E149" i="9"/>
  <c r="C711" i="1"/>
  <c r="D213" i="9"/>
  <c r="C539" i="1"/>
  <c r="G539" i="1" s="1"/>
  <c r="G85" i="9"/>
  <c r="C514" i="1"/>
  <c r="C686" i="1"/>
  <c r="E277" i="9"/>
  <c r="C554" i="1"/>
  <c r="C634" i="1"/>
  <c r="I341" i="9"/>
  <c r="C572" i="1"/>
  <c r="C647" i="1"/>
  <c r="C637" i="1"/>
  <c r="C557" i="1"/>
  <c r="H277" i="9"/>
  <c r="C633" i="1"/>
  <c r="F245" i="9"/>
  <c r="C548" i="1"/>
  <c r="C713" i="1"/>
  <c r="C541" i="1"/>
  <c r="F213" i="9"/>
  <c r="C710" i="1"/>
  <c r="C538" i="1"/>
  <c r="G538" i="1" s="1"/>
  <c r="C213" i="9"/>
  <c r="C641" i="1"/>
  <c r="C566" i="1"/>
  <c r="C341" i="9"/>
  <c r="C687" i="1"/>
  <c r="C515" i="1"/>
  <c r="H85" i="9"/>
  <c r="G517" i="1"/>
  <c r="H517" i="1" s="1"/>
  <c r="H509" i="1"/>
  <c r="F545" i="1"/>
  <c r="H525" i="1"/>
  <c r="F525" i="1"/>
  <c r="F529" i="1"/>
  <c r="C146" i="8"/>
  <c r="D396" i="1"/>
  <c r="C151" i="8" s="1"/>
  <c r="F521" i="1"/>
  <c r="F535" i="1"/>
  <c r="H533" i="1"/>
  <c r="F533" i="1"/>
  <c r="H527" i="1"/>
  <c r="F527" i="1"/>
  <c r="F539" i="1"/>
  <c r="H539" i="1"/>
  <c r="F519" i="1"/>
  <c r="F523" i="1"/>
  <c r="H523" i="1"/>
  <c r="F537" i="1"/>
  <c r="F531" i="1"/>
  <c r="H531" i="1"/>
  <c r="C648" i="1" l="1"/>
  <c r="M716" i="1" s="1"/>
  <c r="D715" i="1"/>
  <c r="E612" i="1"/>
  <c r="E623" i="1"/>
  <c r="E716" i="1" s="1"/>
  <c r="H498" i="1"/>
  <c r="H519" i="1"/>
  <c r="H535" i="1"/>
  <c r="C715" i="1"/>
  <c r="H529" i="1"/>
  <c r="H545" i="1"/>
  <c r="H537" i="1"/>
  <c r="I373" i="9"/>
  <c r="H521" i="1"/>
  <c r="G516" i="1"/>
  <c r="H516" i="1" s="1"/>
  <c r="G524" i="1"/>
  <c r="H524" i="1" s="1"/>
  <c r="G507" i="1"/>
  <c r="H507" i="1"/>
  <c r="G511" i="1"/>
  <c r="H511" i="1" s="1"/>
  <c r="G508" i="1"/>
  <c r="H508" i="1" s="1"/>
  <c r="G536" i="1"/>
  <c r="H536" i="1"/>
  <c r="G526" i="1"/>
  <c r="H526" i="1" s="1"/>
  <c r="G510" i="1"/>
  <c r="H510" i="1" s="1"/>
  <c r="G514" i="1"/>
  <c r="H514" i="1" s="1"/>
  <c r="G515" i="1"/>
  <c r="H515" i="1"/>
  <c r="E683" i="1" l="1"/>
  <c r="E639" i="1"/>
  <c r="E634" i="1"/>
  <c r="E701" i="1"/>
  <c r="E642" i="1"/>
  <c r="E707" i="1"/>
  <c r="E678" i="1"/>
  <c r="E669" i="1"/>
  <c r="E705" i="1"/>
  <c r="E689" i="1"/>
  <c r="E635" i="1"/>
  <c r="E687" i="1"/>
  <c r="E624" i="1"/>
  <c r="F624" i="1" s="1"/>
  <c r="F674" i="1" s="1"/>
  <c r="E713" i="1"/>
  <c r="E698" i="1"/>
  <c r="E644" i="1"/>
  <c r="E626" i="1"/>
  <c r="E691" i="1"/>
  <c r="E682" i="1"/>
  <c r="E692" i="1"/>
  <c r="E630" i="1"/>
  <c r="E628" i="1"/>
  <c r="E695" i="1"/>
  <c r="E696" i="1"/>
  <c r="E629" i="1"/>
  <c r="E706" i="1"/>
  <c r="E679" i="1"/>
  <c r="E700" i="1"/>
  <c r="E711" i="1"/>
  <c r="E693" i="1"/>
  <c r="E675" i="1"/>
  <c r="E708" i="1"/>
  <c r="E632" i="1"/>
  <c r="E676" i="1"/>
  <c r="E703" i="1"/>
  <c r="E637" i="1"/>
  <c r="E627" i="1"/>
  <c r="E672" i="1"/>
  <c r="E641" i="1"/>
  <c r="E631" i="1"/>
  <c r="E668" i="1"/>
  <c r="E686" i="1"/>
  <c r="E673" i="1"/>
  <c r="E638" i="1"/>
  <c r="E646" i="1"/>
  <c r="E697" i="1"/>
  <c r="E633" i="1"/>
  <c r="E694" i="1"/>
  <c r="E702" i="1"/>
  <c r="E688" i="1"/>
  <c r="E647" i="1"/>
  <c r="E640" i="1"/>
  <c r="E704" i="1"/>
  <c r="E636" i="1"/>
  <c r="E645" i="1"/>
  <c r="E674" i="1"/>
  <c r="E625" i="1"/>
  <c r="E680" i="1"/>
  <c r="E671" i="1"/>
  <c r="E685" i="1"/>
  <c r="E684" i="1"/>
  <c r="E710" i="1"/>
  <c r="E709" i="1"/>
  <c r="E681" i="1"/>
  <c r="E712" i="1"/>
  <c r="E677" i="1"/>
  <c r="E643" i="1"/>
  <c r="E699" i="1"/>
  <c r="F707" i="1"/>
  <c r="F643" i="1"/>
  <c r="F704" i="1"/>
  <c r="F706" i="1"/>
  <c r="E690" i="1"/>
  <c r="E670" i="1"/>
  <c r="F703" i="1" l="1"/>
  <c r="F626" i="1"/>
  <c r="F709" i="1"/>
  <c r="F625" i="1"/>
  <c r="G625" i="1" s="1"/>
  <c r="G638" i="1" s="1"/>
  <c r="F697" i="1"/>
  <c r="F636" i="1"/>
  <c r="F631" i="1"/>
  <c r="F683" i="1"/>
  <c r="F708" i="1"/>
  <c r="F679" i="1"/>
  <c r="F675" i="1"/>
  <c r="F716" i="1"/>
  <c r="F638" i="1"/>
  <c r="F670" i="1"/>
  <c r="F681" i="1"/>
  <c r="F672" i="1"/>
  <c r="F646" i="1"/>
  <c r="F688" i="1"/>
  <c r="F673" i="1"/>
  <c r="F711" i="1"/>
  <c r="F690" i="1"/>
  <c r="F671" i="1"/>
  <c r="F710" i="1"/>
  <c r="F682" i="1"/>
  <c r="F705" i="1"/>
  <c r="F637" i="1"/>
  <c r="F696" i="1"/>
  <c r="F632" i="1"/>
  <c r="F628" i="1"/>
  <c r="F695" i="1"/>
  <c r="F712" i="1"/>
  <c r="F685" i="1"/>
  <c r="F676" i="1"/>
  <c r="F669" i="1"/>
  <c r="F680" i="1"/>
  <c r="F639" i="1"/>
  <c r="F677" i="1"/>
  <c r="F627" i="1"/>
  <c r="F693" i="1"/>
  <c r="F691" i="1"/>
  <c r="F630" i="1"/>
  <c r="F633" i="1"/>
  <c r="F702" i="1"/>
  <c r="F641" i="1"/>
  <c r="F689" i="1"/>
  <c r="F668" i="1"/>
  <c r="F687" i="1"/>
  <c r="F701" i="1"/>
  <c r="F700" i="1"/>
  <c r="F635" i="1"/>
  <c r="F686" i="1"/>
  <c r="F692" i="1"/>
  <c r="F640" i="1"/>
  <c r="F678" i="1"/>
  <c r="F647" i="1"/>
  <c r="F642" i="1"/>
  <c r="F629" i="1"/>
  <c r="F698" i="1"/>
  <c r="F699" i="1"/>
  <c r="F694" i="1"/>
  <c r="F644" i="1"/>
  <c r="F713" i="1"/>
  <c r="F684" i="1"/>
  <c r="F645" i="1"/>
  <c r="F634" i="1"/>
  <c r="E715" i="1"/>
  <c r="G678" i="1" l="1"/>
  <c r="G684" i="1"/>
  <c r="G698" i="1"/>
  <c r="G646" i="1"/>
  <c r="G697" i="1"/>
  <c r="G680" i="1"/>
  <c r="G687" i="1"/>
  <c r="G627" i="1"/>
  <c r="G709" i="1"/>
  <c r="G672" i="1"/>
  <c r="G707" i="1"/>
  <c r="G716" i="1"/>
  <c r="G703" i="1"/>
  <c r="G682" i="1"/>
  <c r="G634" i="1"/>
  <c r="G695" i="1"/>
  <c r="G668" i="1"/>
  <c r="G630" i="1"/>
  <c r="G671" i="1"/>
  <c r="G626" i="1"/>
  <c r="G644" i="1"/>
  <c r="F715" i="1"/>
  <c r="G711" i="1"/>
  <c r="G713" i="1"/>
  <c r="G677" i="1"/>
  <c r="G681" i="1"/>
  <c r="G696" i="1"/>
  <c r="G645" i="1"/>
  <c r="G699" i="1"/>
  <c r="G633" i="1"/>
  <c r="G685" i="1"/>
  <c r="G637" i="1"/>
  <c r="G647" i="1"/>
  <c r="G701" i="1"/>
  <c r="G631" i="1"/>
  <c r="G670" i="1"/>
  <c r="G679" i="1"/>
  <c r="G694" i="1"/>
  <c r="G700" i="1"/>
  <c r="G639" i="1"/>
  <c r="G676" i="1"/>
  <c r="G706" i="1"/>
  <c r="G636" i="1"/>
  <c r="G710" i="1"/>
  <c r="G690" i="1"/>
  <c r="G688" i="1"/>
  <c r="G641" i="1"/>
  <c r="G704" i="1"/>
  <c r="G673" i="1"/>
  <c r="G642" i="1"/>
  <c r="G705" i="1"/>
  <c r="G628" i="1"/>
  <c r="G702" i="1"/>
  <c r="G708" i="1"/>
  <c r="G643" i="1"/>
  <c r="G635" i="1"/>
  <c r="G675" i="1"/>
  <c r="G683" i="1"/>
  <c r="G692" i="1"/>
  <c r="G691" i="1"/>
  <c r="G693" i="1"/>
  <c r="G712" i="1"/>
  <c r="G629" i="1"/>
  <c r="G686" i="1"/>
  <c r="G632" i="1"/>
  <c r="G674" i="1"/>
  <c r="G689" i="1"/>
  <c r="G640" i="1"/>
  <c r="G669" i="1"/>
  <c r="G715" i="1" l="1"/>
  <c r="H628" i="1"/>
  <c r="H681" i="1" s="1"/>
  <c r="H712" i="1" l="1"/>
  <c r="H642" i="1"/>
  <c r="H639" i="1"/>
  <c r="H690" i="1"/>
  <c r="H702" i="1"/>
  <c r="H693" i="1"/>
  <c r="H708" i="1"/>
  <c r="H716" i="1"/>
  <c r="H636" i="1"/>
  <c r="H710" i="1"/>
  <c r="H713" i="1"/>
  <c r="H638" i="1"/>
  <c r="H709" i="1"/>
  <c r="H680" i="1"/>
  <c r="H630" i="1"/>
  <c r="H671" i="1"/>
  <c r="H695" i="1"/>
  <c r="H647" i="1"/>
  <c r="H634" i="1"/>
  <c r="H675" i="1"/>
  <c r="H669" i="1"/>
  <c r="H685" i="1"/>
  <c r="H643" i="1"/>
  <c r="H637" i="1"/>
  <c r="H641" i="1"/>
  <c r="H682" i="1"/>
  <c r="H700" i="1"/>
  <c r="H698" i="1"/>
  <c r="H632" i="1"/>
  <c r="H679" i="1"/>
  <c r="H640" i="1"/>
  <c r="H684" i="1"/>
  <c r="H677" i="1"/>
  <c r="H686" i="1"/>
  <c r="H688" i="1"/>
  <c r="H670" i="1"/>
  <c r="H689" i="1"/>
  <c r="H696" i="1"/>
  <c r="H645" i="1"/>
  <c r="H633" i="1"/>
  <c r="H672" i="1"/>
  <c r="H631" i="1"/>
  <c r="H701" i="1"/>
  <c r="H692" i="1"/>
  <c r="H706" i="1"/>
  <c r="H674" i="1"/>
  <c r="H704" i="1"/>
  <c r="H694" i="1"/>
  <c r="H635" i="1"/>
  <c r="H646" i="1"/>
  <c r="H703" i="1"/>
  <c r="H699" i="1"/>
  <c r="H668" i="1"/>
  <c r="H678" i="1"/>
  <c r="H691" i="1"/>
  <c r="H687" i="1"/>
  <c r="H707" i="1"/>
  <c r="H683" i="1"/>
  <c r="H697" i="1"/>
  <c r="H676" i="1"/>
  <c r="H711" i="1"/>
  <c r="H673" i="1"/>
  <c r="H705" i="1"/>
  <c r="H629" i="1"/>
  <c r="H644" i="1"/>
  <c r="H715" i="1" l="1"/>
  <c r="I629" i="1"/>
  <c r="I636" i="1" s="1"/>
  <c r="I698" i="1" l="1"/>
  <c r="I632" i="1"/>
  <c r="I699" i="1"/>
  <c r="I668" i="1"/>
  <c r="I680" i="1"/>
  <c r="I630" i="1"/>
  <c r="J630" i="1" s="1"/>
  <c r="I669" i="1"/>
  <c r="I683" i="1"/>
  <c r="I673" i="1"/>
  <c r="I697" i="1"/>
  <c r="I638" i="1"/>
  <c r="I678" i="1"/>
  <c r="I688" i="1"/>
  <c r="I712" i="1"/>
  <c r="I679" i="1"/>
  <c r="I705" i="1"/>
  <c r="I701" i="1"/>
  <c r="I670" i="1"/>
  <c r="I709" i="1"/>
  <c r="I684" i="1"/>
  <c r="I644" i="1"/>
  <c r="I637" i="1"/>
  <c r="I686" i="1"/>
  <c r="I674" i="1"/>
  <c r="I711" i="1"/>
  <c r="I703" i="1"/>
  <c r="I631" i="1"/>
  <c r="I646" i="1"/>
  <c r="I640" i="1"/>
  <c r="I690" i="1"/>
  <c r="I689" i="1"/>
  <c r="I710" i="1"/>
  <c r="I692" i="1"/>
  <c r="I647" i="1"/>
  <c r="I645" i="1"/>
  <c r="I642" i="1"/>
  <c r="I682" i="1"/>
  <c r="I643" i="1"/>
  <c r="I704" i="1"/>
  <c r="I700" i="1"/>
  <c r="I695" i="1"/>
  <c r="I675" i="1"/>
  <c r="I681" i="1"/>
  <c r="I641" i="1"/>
  <c r="I707" i="1"/>
  <c r="I708" i="1"/>
  <c r="I671" i="1"/>
  <c r="I633" i="1"/>
  <c r="I677" i="1"/>
  <c r="I713" i="1"/>
  <c r="I706" i="1"/>
  <c r="I676" i="1"/>
  <c r="I702" i="1"/>
  <c r="I691" i="1"/>
  <c r="I696" i="1"/>
  <c r="I716" i="1"/>
  <c r="I687" i="1"/>
  <c r="I639" i="1"/>
  <c r="I634" i="1"/>
  <c r="I694" i="1"/>
  <c r="I685" i="1"/>
  <c r="I635" i="1"/>
  <c r="I693" i="1"/>
  <c r="I672" i="1"/>
  <c r="I715" i="1" l="1"/>
  <c r="J694" i="1"/>
  <c r="J644" i="1"/>
  <c r="J704" i="1"/>
  <c r="J692" i="1"/>
  <c r="J708" i="1"/>
  <c r="J645" i="1"/>
  <c r="J669" i="1"/>
  <c r="J673" i="1"/>
  <c r="J632" i="1"/>
  <c r="J678" i="1"/>
  <c r="J697" i="1"/>
  <c r="J642" i="1"/>
  <c r="J703" i="1"/>
  <c r="J640" i="1"/>
  <c r="J647" i="1"/>
  <c r="J688" i="1"/>
  <c r="J631" i="1"/>
  <c r="J636" i="1"/>
  <c r="J638" i="1"/>
  <c r="J668" i="1"/>
  <c r="J713" i="1"/>
  <c r="J681" i="1"/>
  <c r="J702" i="1"/>
  <c r="J687" i="1"/>
  <c r="J680" i="1"/>
  <c r="J672" i="1"/>
  <c r="J696" i="1"/>
  <c r="J716" i="1"/>
  <c r="J695" i="1"/>
  <c r="J690" i="1"/>
  <c r="J674" i="1"/>
  <c r="J675" i="1"/>
  <c r="J707" i="1"/>
  <c r="J683" i="1"/>
  <c r="J637" i="1"/>
  <c r="J705" i="1"/>
  <c r="J639" i="1"/>
  <c r="J709" i="1"/>
  <c r="J684" i="1"/>
  <c r="J679" i="1"/>
  <c r="J633" i="1"/>
  <c r="J671" i="1"/>
  <c r="J635" i="1"/>
  <c r="J686" i="1"/>
  <c r="J670" i="1"/>
  <c r="J700" i="1"/>
  <c r="J641" i="1"/>
  <c r="J710" i="1"/>
  <c r="J676" i="1"/>
  <c r="J643" i="1"/>
  <c r="J706" i="1"/>
  <c r="J677" i="1"/>
  <c r="J711" i="1"/>
  <c r="J691" i="1"/>
  <c r="J646" i="1"/>
  <c r="J689" i="1"/>
  <c r="J685" i="1"/>
  <c r="J698" i="1"/>
  <c r="J682" i="1"/>
  <c r="J701" i="1"/>
  <c r="J712" i="1"/>
  <c r="J699" i="1"/>
  <c r="J634" i="1"/>
  <c r="J693" i="1"/>
  <c r="L647" i="1" l="1"/>
  <c r="L672" i="1" s="1"/>
  <c r="K644" i="1"/>
  <c r="K716" i="1" s="1"/>
  <c r="J715" i="1"/>
  <c r="K702" i="1" l="1"/>
  <c r="K690" i="1"/>
  <c r="L688" i="1"/>
  <c r="K713" i="1"/>
  <c r="K698" i="1"/>
  <c r="K693" i="1"/>
  <c r="K696" i="1"/>
  <c r="L689" i="1"/>
  <c r="L690" i="1"/>
  <c r="L671" i="1"/>
  <c r="L674" i="1"/>
  <c r="K674" i="1"/>
  <c r="K681" i="1"/>
  <c r="K676" i="1"/>
  <c r="L687" i="1"/>
  <c r="L678" i="1"/>
  <c r="L670" i="1"/>
  <c r="L713" i="1"/>
  <c r="L681" i="1"/>
  <c r="K691" i="1"/>
  <c r="K679" i="1"/>
  <c r="L679" i="1"/>
  <c r="L706" i="1"/>
  <c r="L668" i="1"/>
  <c r="L684" i="1"/>
  <c r="L716" i="1"/>
  <c r="L686" i="1"/>
  <c r="L676" i="1"/>
  <c r="L699" i="1"/>
  <c r="L711" i="1"/>
  <c r="L683" i="1"/>
  <c r="L698" i="1"/>
  <c r="L695" i="1"/>
  <c r="L705" i="1"/>
  <c r="L685" i="1"/>
  <c r="L669" i="1"/>
  <c r="L673" i="1"/>
  <c r="L697" i="1"/>
  <c r="L680" i="1"/>
  <c r="L710" i="1"/>
  <c r="L703" i="1"/>
  <c r="L704" i="1"/>
  <c r="L700" i="1"/>
  <c r="L675" i="1"/>
  <c r="L696" i="1"/>
  <c r="M696" i="1" s="1"/>
  <c r="L712" i="1"/>
  <c r="L707" i="1"/>
  <c r="L677" i="1"/>
  <c r="L693" i="1"/>
  <c r="L701" i="1"/>
  <c r="L702" i="1"/>
  <c r="L691" i="1"/>
  <c r="M691" i="1" s="1"/>
  <c r="E119" i="9" s="1"/>
  <c r="L709" i="1"/>
  <c r="L692" i="1"/>
  <c r="L708" i="1"/>
  <c r="L682" i="1"/>
  <c r="M682" i="1" s="1"/>
  <c r="C87" i="9" s="1"/>
  <c r="L694" i="1"/>
  <c r="K682" i="1"/>
  <c r="K697" i="1"/>
  <c r="K675" i="1"/>
  <c r="K694" i="1"/>
  <c r="K672" i="1"/>
  <c r="M672" i="1" s="1"/>
  <c r="K706" i="1"/>
  <c r="K707" i="1"/>
  <c r="K692" i="1"/>
  <c r="K686" i="1"/>
  <c r="K703" i="1"/>
  <c r="K670" i="1"/>
  <c r="K677" i="1"/>
  <c r="K689" i="1"/>
  <c r="K687" i="1"/>
  <c r="K695" i="1"/>
  <c r="K705" i="1"/>
  <c r="K704" i="1"/>
  <c r="K700" i="1"/>
  <c r="K709" i="1"/>
  <c r="K685" i="1"/>
  <c r="K678" i="1"/>
  <c r="K680" i="1"/>
  <c r="K712" i="1"/>
  <c r="K708" i="1"/>
  <c r="K683" i="1"/>
  <c r="K710" i="1"/>
  <c r="K668" i="1"/>
  <c r="K669" i="1"/>
  <c r="K684" i="1"/>
  <c r="K688" i="1"/>
  <c r="K699" i="1"/>
  <c r="K711" i="1"/>
  <c r="K671" i="1"/>
  <c r="K673" i="1"/>
  <c r="K701" i="1"/>
  <c r="M676" i="1" l="1"/>
  <c r="D55" i="9" s="1"/>
  <c r="M693" i="1"/>
  <c r="G119" i="9" s="1"/>
  <c r="M690" i="1"/>
  <c r="L715" i="1"/>
  <c r="M698" i="1"/>
  <c r="M702" i="1"/>
  <c r="D119" i="9"/>
  <c r="K715" i="1"/>
  <c r="M681" i="1"/>
  <c r="M674" i="1"/>
  <c r="M713" i="1"/>
  <c r="G23" i="9"/>
  <c r="M677" i="1"/>
  <c r="E55" i="9" s="1"/>
  <c r="M675" i="1"/>
  <c r="C55" i="9" s="1"/>
  <c r="M710" i="1"/>
  <c r="M669" i="1"/>
  <c r="D23" i="9" s="1"/>
  <c r="M678" i="1"/>
  <c r="M689" i="1"/>
  <c r="M708" i="1"/>
  <c r="H183" i="9" s="1"/>
  <c r="M707" i="1"/>
  <c r="G183" i="9" s="1"/>
  <c r="M700" i="1"/>
  <c r="G151" i="9" s="1"/>
  <c r="M680" i="1"/>
  <c r="M685" i="1"/>
  <c r="F87" i="9" s="1"/>
  <c r="M683" i="1"/>
  <c r="M686" i="1"/>
  <c r="G87" i="9" s="1"/>
  <c r="M706" i="1"/>
  <c r="F183" i="9" s="1"/>
  <c r="M687" i="1"/>
  <c r="H87" i="9" s="1"/>
  <c r="M688" i="1"/>
  <c r="M668" i="1"/>
  <c r="M692" i="1"/>
  <c r="M701" i="1"/>
  <c r="M712" i="1"/>
  <c r="M704" i="1"/>
  <c r="D183" i="9" s="1"/>
  <c r="M697" i="1"/>
  <c r="D151" i="9" s="1"/>
  <c r="M705" i="1"/>
  <c r="E183" i="9" s="1"/>
  <c r="M711" i="1"/>
  <c r="D215" i="9" s="1"/>
  <c r="M679" i="1"/>
  <c r="G55" i="9" s="1"/>
  <c r="M671" i="1"/>
  <c r="M694" i="1"/>
  <c r="M709" i="1"/>
  <c r="I183" i="9" s="1"/>
  <c r="M703" i="1"/>
  <c r="M673" i="1"/>
  <c r="H23" i="9" s="1"/>
  <c r="M695" i="1"/>
  <c r="M699" i="1"/>
  <c r="M684" i="1"/>
  <c r="M670" i="1"/>
  <c r="I55" i="9"/>
  <c r="F215" i="9"/>
  <c r="C151" i="9"/>
  <c r="E151" i="9"/>
  <c r="D87" i="9" l="1"/>
  <c r="C23" i="9"/>
  <c r="H55" i="9"/>
  <c r="I151" i="9"/>
  <c r="M715" i="1"/>
  <c r="H151" i="9"/>
  <c r="E215" i="9"/>
  <c r="I23" i="9"/>
  <c r="E23" i="9"/>
  <c r="F23" i="9"/>
  <c r="C119" i="9"/>
  <c r="E87" i="9"/>
  <c r="C183" i="9"/>
  <c r="F55" i="9"/>
  <c r="F151" i="9"/>
  <c r="I87" i="9"/>
  <c r="F119" i="9"/>
  <c r="I119" i="9"/>
  <c r="H119" i="9"/>
  <c r="C215" i="9"/>
</calcChain>
</file>

<file path=xl/sharedStrings.xml><?xml version="1.0" encoding="utf-8"?>
<sst xmlns="http://schemas.openxmlformats.org/spreadsheetml/2006/main" count="4670" uniqueCount="1281">
  <si>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</si>
  <si>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</si>
  <si>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</si>
  <si>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</si>
  <si>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</si>
  <si>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</si>
  <si>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</si>
  <si>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</si>
  <si>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</si>
  <si>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</si>
  <si>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</si>
  <si>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</si>
  <si>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</si>
  <si>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</si>
  <si>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</si>
  <si>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</si>
  <si>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</si>
  <si>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</si>
  <si>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</si>
  <si>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</si>
  <si>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</si>
  <si>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</si>
  <si>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</si>
  <si>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</si>
  <si>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</si>
  <si>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</si>
  <si>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</si>
  <si>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</si>
  <si>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</si>
  <si>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</si>
  <si>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</si>
  <si>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</si>
  <si>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</si>
  <si>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</si>
  <si>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</si>
  <si>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</si>
  <si>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</si>
  <si>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</si>
  <si>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</si>
  <si>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</si>
  <si>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</si>
  <si>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</si>
  <si>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</si>
  <si>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</si>
  <si>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</si>
  <si>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</si>
  <si>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</si>
  <si>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</si>
  <si>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</si>
  <si>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</si>
  <si>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</si>
  <si>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</si>
  <si>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</si>
  <si>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</si>
  <si>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</si>
  <si>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</si>
  <si>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</si>
  <si>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</si>
  <si>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</si>
  <si>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</si>
  <si>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</si>
  <si>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</si>
  <si>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</si>
  <si>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</si>
  <si>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</si>
  <si>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</si>
  <si>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</si>
  <si>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</si>
  <si>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</si>
  <si>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</si>
  <si>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</si>
  <si>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</si>
  <si>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</si>
  <si>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</si>
  <si>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</si>
  <si>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</si>
  <si>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</si>
  <si>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</si>
  <si>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</si>
  <si>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</si>
  <si>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</si>
  <si>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</si>
  <si>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</si>
  <si>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</si>
  <si>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</si>
  <si>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</si>
  <si>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</si>
  <si>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</si>
  <si>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</si>
  <si>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</si>
  <si>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</si>
  <si>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</si>
  <si>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</si>
  <si>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</si>
  <si>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</si>
  <si>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</si>
  <si>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</si>
  <si>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</si>
  <si>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</si>
  <si>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</si>
  <si>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</si>
  <si>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</si>
  <si>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</si>
  <si>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</si>
  <si>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</si>
  <si>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</si>
  <si>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</si>
  <si>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</si>
  <si>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</si>
  <si>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</si>
  <si>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</si>
  <si>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</si>
  <si>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</si>
  <si>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</si>
  <si>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</si>
  <si>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</si>
  <si>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</si>
  <si>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</si>
  <si>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</si>
  <si>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</si>
  <si>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</si>
  <si>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</si>
  <si>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</si>
  <si>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</si>
  <si>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</si>
  <si>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</si>
  <si>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</si>
  <si>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</si>
  <si>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</si>
  <si>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</si>
  <si>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</si>
  <si>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</si>
  <si>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</si>
  <si>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</si>
  <si>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</si>
  <si>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</si>
  <si>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</si>
  <si>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</si>
  <si>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</si>
  <si>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</si>
  <si>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</si>
  <si>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</si>
  <si>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</si>
  <si>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</si>
  <si>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</si>
  <si>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</si>
  <si>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</si>
  <si>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</si>
  <si>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</si>
  <si>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</si>
  <si>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</si>
  <si>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</si>
  <si>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</si>
  <si>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</si>
  <si>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</si>
  <si>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</si>
  <si>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</si>
  <si>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</si>
  <si>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</si>
  <si>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</si>
  <si>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</si>
  <si>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</si>
  <si>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</si>
  <si>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</si>
  <si>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</si>
  <si>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</si>
  <si>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</si>
  <si>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</si>
  <si>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</si>
  <si>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</si>
  <si>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</si>
  <si>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</si>
  <si>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</si>
  <si>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</si>
  <si>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</si>
  <si>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</si>
  <si>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</si>
  <si>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</si>
  <si>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</si>
  <si>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</si>
  <si>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</si>
  <si>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</si>
  <si>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</si>
  <si>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</si>
  <si>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</si>
  <si>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</si>
  <si>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</si>
  <si>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</si>
  <si>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</si>
  <si>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</si>
  <si>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</si>
  <si>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</si>
  <si>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</si>
  <si>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</si>
  <si>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</si>
  <si>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</si>
  <si>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</si>
  <si>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</si>
  <si>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</si>
  <si>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</si>
  <si>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</si>
  <si>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</si>
  <si>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</si>
  <si>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</si>
  <si>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</si>
  <si>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</si>
  <si>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</si>
  <si>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</si>
  <si>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</si>
  <si>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</si>
  <si>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</si>
  <si>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</si>
  <si>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</si>
  <si>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</si>
  <si>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</si>
  <si>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</si>
  <si>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</si>
  <si>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</si>
  <si>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</si>
  <si>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</si>
  <si>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</si>
  <si>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</si>
  <si>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</si>
  <si>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</si>
  <si>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</si>
  <si>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</si>
  <si>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</si>
  <si>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</si>
  <si>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</si>
  <si>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</si>
  <si>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</si>
  <si>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</si>
  <si>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</si>
  <si>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</si>
  <si>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</si>
  <si>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</si>
  <si>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</si>
  <si>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</si>
  <si>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</si>
  <si>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</si>
  <si>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</si>
  <si>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</si>
  <si>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</si>
  <si>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</si>
  <si>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</si>
  <si>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</si>
  <si>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</si>
  <si>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</si>
  <si>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</si>
  <si>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</si>
  <si>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</si>
  <si>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</si>
  <si>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</si>
  <si>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</si>
  <si>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</si>
  <si>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</si>
  <si>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</si>
  <si>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</si>
  <si>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</si>
  <si>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</si>
  <si>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</si>
  <si>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</si>
  <si>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</si>
  <si>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</si>
  <si>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</si>
  <si>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</si>
  <si>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</si>
  <si>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</si>
  <si>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</si>
  <si>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</si>
  <si>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</si>
  <si>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</si>
  <si>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</si>
  <si>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</si>
  <si>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</si>
  <si>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</si>
  <si>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</si>
  <si>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</si>
  <si>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</si>
  <si>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</si>
  <si>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</si>
  <si>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</si>
  <si>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</si>
  <si>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</si>
  <si>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</si>
  <si>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</si>
  <si>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</si>
  <si>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</si>
  <si>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</si>
  <si>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</si>
  <si>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</si>
  <si>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</si>
  <si>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</si>
  <si>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</si>
  <si>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</si>
  <si>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</si>
  <si>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</si>
  <si>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</si>
  <si>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</si>
  <si>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</si>
  <si>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</si>
  <si>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</si>
  <si>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</si>
  <si>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</si>
  <si>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</si>
  <si>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</si>
  <si>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</si>
  <si>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</si>
  <si>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</si>
  <si>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</si>
  <si>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</si>
  <si>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</si>
  <si>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</si>
  <si>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</si>
  <si>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</si>
  <si>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</si>
  <si>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</si>
  <si>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</si>
  <si>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</si>
  <si>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</si>
  <si>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</si>
  <si>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</si>
  <si>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</si>
  <si>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</si>
  <si>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</si>
  <si>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</si>
  <si>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</si>
  <si>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</si>
  <si>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</si>
  <si>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</si>
  <si>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</si>
  <si>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</si>
  <si>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</si>
  <si>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</si>
  <si>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</si>
  <si>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</si>
  <si>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</si>
  <si>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</si>
  <si>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</si>
  <si>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</si>
  <si>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</si>
  <si>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</si>
  <si>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</si>
  <si>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</si>
  <si>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</si>
  <si>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</si>
  <si>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</si>
  <si>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</si>
  <si>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</si>
  <si>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</si>
  <si>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</si>
  <si>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</si>
  <si>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</si>
  <si>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</si>
  <si>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</si>
  <si>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</si>
  <si>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</si>
  <si>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</si>
  <si>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</si>
  <si>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</si>
  <si>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</si>
  <si>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</si>
  <si>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</si>
  <si>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</si>
  <si>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</si>
  <si>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</si>
  <si>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</si>
  <si>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</si>
  <si>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</si>
  <si>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</si>
  <si>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</si>
  <si>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</si>
  <si>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</si>
  <si>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</si>
  <si>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</si>
  <si>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</si>
  <si>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</si>
  <si>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</si>
  <si>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</si>
  <si>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</si>
  <si>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</si>
  <si>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</si>
  <si>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</si>
  <si>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</si>
  <si>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</si>
  <si>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</si>
  <si>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</si>
  <si>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</si>
  <si>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</si>
  <si>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</si>
  <si>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</si>
  <si>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</si>
  <si>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</si>
  <si>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</si>
  <si>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</si>
  <si>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</si>
  <si>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</si>
  <si>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</si>
  <si>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</si>
  <si>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</si>
  <si>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</si>
  <si>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</si>
  <si>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</si>
  <si>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</si>
  <si>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</si>
  <si>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</si>
  <si>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</si>
  <si>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</si>
  <si>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</si>
  <si>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</si>
  <si>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</si>
  <si>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</si>
  <si>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</si>
  <si>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</si>
  <si>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</si>
  <si>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</si>
  <si>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</si>
  <si>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</si>
  <si>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</si>
  <si>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</si>
  <si>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</si>
  <si>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</si>
  <si>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</si>
  <si>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</si>
  <si>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</si>
  <si>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</si>
  <si>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</si>
  <si>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</si>
  <si>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</si>
  <si>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</si>
  <si>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</si>
  <si>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</si>
  <si>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</si>
  <si>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</si>
  <si>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</si>
  <si>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</si>
  <si>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</si>
  <si>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</si>
  <si>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</si>
  <si>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</si>
  <si>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</si>
  <si>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</si>
  <si>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</si>
  <si>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</si>
  <si>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</si>
  <si>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</si>
  <si>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</si>
  <si>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</si>
  <si>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</si>
  <si>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</si>
  <si>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</si>
  <si>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</si>
  <si>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</si>
  <si>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</si>
  <si>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</si>
  <si>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</si>
  <si>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</si>
  <si>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</si>
  <si>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</si>
  <si>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</si>
  <si>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</si>
  <si>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</si>
  <si>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</si>
  <si>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</si>
  <si>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</si>
  <si>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</si>
  <si>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</si>
  <si>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</si>
  <si>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</si>
  <si>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</si>
  <si>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</si>
  <si>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</si>
  <si>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</si>
  <si>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</si>
  <si>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</si>
  <si>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</si>
  <si>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</si>
  <si>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</si>
  <si>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</si>
  <si>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</si>
  <si>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</si>
  <si>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</si>
  <si>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</si>
  <si>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</si>
  <si>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</si>
  <si>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</si>
  <si>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</si>
  <si>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</si>
  <si>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</si>
  <si>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</si>
  <si>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</si>
  <si>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</si>
  <si>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</si>
  <si>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</si>
  <si>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</si>
  <si>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</si>
  <si>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</si>
  <si>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</si>
  <si>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</si>
  <si>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</si>
  <si>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</si>
  <si>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</si>
  <si>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</si>
  <si>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</si>
  <si>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</si>
  <si>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</si>
  <si>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</si>
  <si>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</si>
  <si>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</si>
  <si>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</si>
  <si>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</si>
  <si>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</si>
  <si>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</si>
  <si>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</si>
  <si>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</si>
  <si>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</si>
  <si>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</si>
  <si>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</si>
  <si>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</si>
  <si>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</si>
  <si>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</si>
  <si>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</si>
  <si>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</si>
  <si>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</si>
  <si>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</si>
  <si>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</si>
  <si>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</si>
  <si>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</si>
  <si>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</si>
  <si>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</si>
  <si>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</si>
  <si>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</si>
  <si>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</si>
  <si>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</si>
  <si>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</si>
  <si>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</si>
  <si>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</si>
  <si>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</si>
  <si>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</si>
  <si>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</si>
  <si>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</si>
  <si>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</si>
  <si>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</si>
  <si>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</si>
  <si>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</si>
  <si>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</si>
  <si>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</si>
  <si>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</si>
  <si>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</si>
  <si>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</si>
  <si>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</si>
  <si>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</si>
  <si>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</si>
  <si>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</si>
  <si>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</si>
  <si>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</si>
  <si>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</si>
  <si>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</si>
  <si>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</si>
  <si>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</si>
  <si>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</si>
  <si>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</si>
  <si>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</si>
  <si>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</si>
  <si>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</si>
  <si>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</si>
  <si>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</si>
  <si>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</si>
  <si>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</si>
  <si>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</si>
  <si>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</si>
  <si>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</si>
  <si>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</si>
  <si>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</si>
  <si>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</si>
  <si>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</si>
  <si>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</si>
  <si>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</si>
  <si>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</si>
  <si>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</si>
  <si>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</si>
  <si>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</si>
  <si>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</si>
  <si>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</si>
  <si>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</si>
  <si>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</si>
  <si>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</si>
  <si>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</si>
  <si>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</si>
  <si>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</si>
  <si>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</si>
  <si>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</si>
  <si>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</si>
  <si>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</si>
  <si>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</si>
  <si>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</si>
  <si>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</si>
  <si>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</si>
  <si>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</si>
  <si>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</si>
  <si>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</si>
  <si>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</si>
  <si>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</si>
  <si>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</si>
  <si>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</si>
  <si>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</si>
  <si>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</si>
  <si>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</si>
  <si>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</si>
  <si>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</si>
  <si>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</si>
  <si>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</si>
  <si>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</si>
  <si>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</si>
  <si>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</si>
  <si>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</si>
  <si>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</si>
  <si>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</si>
  <si>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</si>
  <si>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</si>
  <si>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</si>
  <si>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</si>
  <si>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</si>
  <si>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</si>
  <si>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</si>
  <si>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</si>
  <si>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</si>
  <si>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</si>
  <si>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</si>
  <si>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</si>
  <si>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</si>
  <si>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</si>
  <si>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</si>
  <si>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</si>
  <si>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</si>
  <si>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</si>
  <si>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</si>
  <si>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</si>
  <si>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</si>
  <si>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</si>
  <si>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</si>
  <si>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</si>
  <si>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</si>
  <si>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</si>
  <si>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</si>
  <si>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</si>
  <si>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</si>
  <si>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</si>
  <si>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</si>
  <si>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</si>
  <si>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</si>
  <si>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</si>
  <si>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</si>
  <si>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</si>
  <si>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</si>
  <si>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</si>
  <si>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</si>
  <si>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</si>
  <si>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</si>
  <si>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</si>
  <si>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</si>
  <si>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</si>
  <si>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</si>
  <si>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</si>
  <si>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</si>
  <si>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</si>
  <si>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</si>
  <si>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</si>
  <si>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</si>
  <si>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</si>
  <si>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</si>
  <si>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</si>
  <si>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</si>
  <si>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</si>
  <si>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</si>
  <si>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</si>
  <si>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</si>
  <si>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</si>
  <si>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</si>
  <si>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</si>
  <si>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</si>
  <si>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</si>
  <si>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</si>
  <si>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</si>
  <si>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</si>
  <si>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</si>
  <si>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</si>
  <si>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</si>
  <si>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</si>
  <si>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</si>
  <si>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</si>
  <si>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</si>
  <si>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</si>
  <si>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</si>
  <si>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</si>
  <si>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</si>
  <si>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</si>
  <si>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</si>
  <si>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</si>
  <si>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</si>
  <si>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</si>
  <si>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</si>
  <si>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</si>
  <si>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</si>
  <si>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</si>
  <si>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</si>
  <si>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</si>
  <si>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</si>
  <si>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</si>
  <si>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</si>
  <si>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</si>
  <si>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</si>
  <si>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</si>
  <si>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</si>
  <si>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</si>
  <si>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</si>
  <si>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</si>
  <si>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</si>
  <si>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</si>
  <si>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</si>
  <si>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</si>
  <si>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</si>
  <si>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</si>
  <si>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</si>
  <si>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</si>
  <si>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</si>
  <si>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</si>
  <si>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</si>
  <si>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</si>
  <si>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</si>
  <si>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</si>
  <si>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</si>
  <si>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</si>
  <si>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</si>
  <si>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</si>
  <si>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</si>
  <si>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</si>
  <si>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</si>
  <si>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</si>
  <si>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</si>
  <si>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</si>
  <si>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</si>
  <si>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</si>
  <si>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</si>
  <si>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</si>
  <si>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</si>
  <si>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</si>
  <si>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</si>
  <si>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</si>
  <si>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</si>
  <si>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</si>
  <si>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</si>
  <si>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</si>
  <si>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</si>
  <si>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</si>
  <si>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</si>
  <si>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</si>
  <si>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</si>
  <si>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</si>
  <si>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</si>
  <si>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</si>
  <si>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</si>
  <si>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</si>
  <si>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</si>
  <si>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</si>
  <si>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</si>
  <si>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</si>
  <si>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</si>
  <si>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</si>
  <si>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</si>
  <si>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</si>
  <si>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</si>
  <si>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</si>
  <si>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</si>
  <si>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</si>
  <si>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</si>
  <si>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</si>
  <si>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</si>
  <si>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</si>
  <si>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</si>
  <si>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</si>
  <si>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</si>
  <si>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</si>
  <si>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</si>
  <si>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</si>
  <si>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</si>
  <si>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</si>
  <si>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</si>
  <si>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</si>
  <si>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</si>
  <si>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</si>
  <si>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</si>
  <si>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</si>
  <si>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</si>
  <si>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</si>
  <si>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</si>
  <si>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</si>
  <si>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</si>
  <si>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</si>
  <si>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</si>
  <si>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</si>
  <si>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</si>
  <si>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</si>
  <si>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</si>
  <si>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</si>
  <si>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</si>
  <si>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</si>
  <si>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</si>
  <si>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</si>
  <si>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</si>
  <si>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</si>
  <si>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</si>
  <si>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</si>
  <si>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</si>
  <si>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</si>
  <si>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</si>
  <si>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</si>
  <si>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</si>
  <si>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</si>
  <si>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</si>
  <si>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</si>
  <si>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</si>
  <si>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</si>
  <si>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</si>
  <si>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</si>
  <si>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</si>
  <si>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</si>
  <si>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</si>
  <si>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</si>
  <si>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</si>
  <si>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</si>
  <si>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</si>
  <si>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</si>
  <si>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</si>
  <si>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</si>
  <si>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</si>
  <si>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</si>
  <si>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</si>
  <si>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</si>
  <si>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</si>
  <si>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</si>
  <si>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</si>
  <si>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</si>
  <si>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</si>
  <si>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</si>
  <si>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</si>
  <si>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</si>
  <si>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</si>
  <si>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</si>
  <si>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</si>
  <si>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</si>
  <si>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</si>
  <si>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</si>
  <si>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</si>
  <si>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</si>
  <si>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</si>
  <si>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</si>
  <si>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</si>
  <si>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</si>
  <si>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</si>
  <si>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</si>
  <si>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</si>
  <si>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</si>
  <si>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</si>
  <si>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</si>
  <si>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</si>
  <si>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</si>
  <si>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</si>
  <si>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</si>
  <si>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</si>
  <si>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</si>
  <si>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</si>
  <si>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</si>
  <si>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</si>
  <si>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</si>
  <si>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</si>
  <si>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</si>
  <si>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</si>
  <si>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</si>
  <si>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</si>
  <si>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</si>
  <si>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</si>
  <si>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</si>
  <si>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</si>
  <si>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</si>
  <si>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</si>
  <si>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</si>
  <si>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</si>
  <si>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</si>
  <si>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</si>
  <si>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</si>
  <si>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</si>
  <si>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</si>
  <si>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</si>
  <si>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</si>
  <si>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</si>
  <si>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</si>
  <si>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</si>
  <si>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</si>
  <si>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</si>
  <si>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</si>
  <si>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</si>
  <si>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</si>
  <si>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</si>
  <si>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</si>
  <si>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</si>
  <si>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</si>
  <si>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</si>
  <si>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</si>
  <si>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</si>
  <si>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</si>
  <si>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</si>
  <si>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</si>
  <si>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</si>
  <si>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</si>
  <si>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</si>
  <si>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</si>
  <si>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</si>
  <si>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</si>
  <si>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</si>
  <si>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</si>
  <si>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</si>
  <si>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</si>
  <si>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</si>
  <si>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</si>
  <si>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</si>
  <si>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</si>
  <si>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</si>
  <si>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</si>
  <si>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</si>
  <si>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</si>
  <si>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</si>
  <si>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</si>
  <si>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</si>
  <si>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</si>
  <si>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</si>
  <si>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</si>
  <si>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</si>
  <si>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</si>
  <si>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</si>
  <si>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</si>
  <si>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</si>
  <si>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</si>
  <si>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</si>
  <si>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</si>
  <si>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</si>
  <si>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</si>
  <si>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</si>
  <si>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</si>
  <si>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</si>
  <si>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</si>
  <si>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</si>
  <si>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</si>
  <si>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</si>
  <si>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</si>
  <si>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</si>
  <si>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</si>
  <si>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</si>
  <si>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</si>
  <si>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</si>
  <si>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</si>
  <si>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</si>
  <si>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</si>
  <si>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</si>
  <si>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</si>
  <si>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</si>
  <si>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</si>
  <si>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</si>
  <si>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</si>
  <si>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</si>
  <si>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</si>
  <si>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</si>
  <si>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</si>
  <si>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</si>
  <si>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</si>
  <si>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</si>
  <si>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</si>
  <si>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</si>
  <si>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</si>
  <si>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</si>
  <si>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</si>
  <si>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</si>
  <si>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</si>
  <si>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</si>
  <si>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</si>
  <si>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</si>
  <si>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</si>
  <si>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</si>
  <si>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</si>
  <si>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</si>
  <si>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</si>
  <si>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</si>
  <si>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</si>
  <si>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</si>
  <si>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</si>
  <si>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</si>
  <si>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</si>
  <si>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</si>
  <si>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</si>
  <si>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</si>
  <si>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</si>
  <si>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</si>
  <si>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</si>
  <si>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</si>
  <si>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</si>
  <si>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</si>
  <si>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</si>
  <si>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</si>
  <si>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</si>
  <si>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</si>
  <si>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</si>
  <si>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</si>
  <si>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</si>
  <si>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</si>
  <si>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</si>
  <si>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</si>
  <si>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</si>
  <si>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</si>
  <si>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</si>
  <si>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</si>
  <si>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</si>
  <si>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</si>
  <si>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</si>
  <si>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</si>
  <si>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</si>
  <si>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</si>
  <si>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</si>
  <si>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</si>
  <si>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</si>
  <si>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</si>
  <si>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</si>
  <si>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</si>
  <si>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</si>
  <si>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</si>
  <si>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</si>
  <si>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</si>
  <si>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</si>
  <si>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</si>
  <si>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</si>
  <si>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</si>
  <si>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</si>
  <si>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</si>
  <si>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</si>
  <si>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</si>
  <si>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</si>
  <si>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</si>
  <si>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</si>
  <si>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</si>
  <si>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</si>
  <si>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</si>
  <si>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</si>
  <si>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</si>
  <si>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</si>
  <si>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</si>
  <si>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</si>
  <si>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</si>
  <si>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</si>
  <si>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</si>
  <si>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</si>
  <si>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</si>
  <si>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</si>
  <si>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</si>
  <si>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</si>
  <si>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</si>
  <si>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</si>
  <si>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</si>
  <si>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</si>
  <si>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</si>
  <si>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</si>
  <si>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</si>
  <si>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</si>
  <si>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</si>
  <si>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</si>
  <si>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</si>
  <si>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</si>
  <si>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</si>
  <si>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</si>
  <si>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</si>
  <si>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</si>
  <si>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</si>
  <si>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</si>
  <si>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</si>
  <si>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</si>
  <si>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</si>
  <si>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</si>
  <si>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</si>
  <si>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</si>
  <si>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</si>
  <si>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</si>
  <si>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</si>
  <si>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</si>
  <si>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</si>
  <si>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</si>
  <si>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</si>
  <si>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</si>
  <si>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</si>
  <si>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</si>
  <si>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</si>
  <si>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</si>
  <si>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</si>
  <si>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</si>
  <si>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</si>
  <si>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</si>
  <si>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</si>
  <si>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</si>
  <si>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</si>
  <si>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</si>
  <si>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</si>
  <si>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</si>
  <si>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</si>
  <si>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</si>
  <si>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</si>
  <si>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</si>
  <si>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</si>
  <si>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</si>
  <si>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</si>
  <si>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</si>
  <si>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</si>
  <si>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</si>
  <si>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</si>
  <si>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</si>
  <si>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</si>
  <si>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</si>
  <si>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</si>
  <si>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</si>
  <si>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</si>
  <si>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</si>
  <si>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</si>
  <si>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</si>
  <si>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</si>
  <si>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</si>
  <si>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</si>
  <si>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</si>
  <si>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</si>
  <si>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</si>
  <si>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</si>
  <si>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</si>
  <si>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</si>
  <si>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</si>
  <si>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</si>
  <si>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</si>
  <si>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</si>
  <si>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</si>
  <si>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</si>
  <si>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</si>
  <si>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</si>
  <si>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</si>
  <si>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</si>
  <si>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</si>
  <si>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</si>
  <si>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</si>
  <si>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</si>
  <si>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</si>
  <si>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</si>
  <si>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</si>
  <si>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</si>
  <si>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</si>
  <si>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</si>
  <si>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</si>
  <si>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</si>
  <si>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</si>
  <si>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</si>
  <si>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</si>
  <si>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</si>
  <si>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</si>
  <si>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</si>
  <si>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</si>
  <si>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</si>
  <si>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</si>
  <si>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</si>
  <si>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</si>
  <si>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</si>
  <si>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</si>
  <si>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</si>
  <si>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</si>
  <si>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</si>
  <si>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</si>
  <si>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</si>
  <si>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</si>
  <si>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</si>
  <si>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</si>
  <si>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</si>
  <si>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</si>
  <si>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</si>
  <si>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</si>
  <si>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</si>
  <si>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</si>
  <si>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</si>
  <si>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</si>
  <si>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</si>
  <si>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</si>
  <si>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</si>
  <si>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</si>
  <si>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</si>
  <si>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</si>
  <si>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</si>
  <si>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</si>
  <si>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</si>
  <si>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</si>
  <si>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</si>
  <si>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</si>
  <si>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</si>
  <si>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</si>
  <si>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</si>
  <si>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</si>
  <si>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</si>
  <si>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</si>
  <si>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</si>
  <si>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</si>
  <si>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</si>
  <si>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</si>
  <si>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</si>
  <si>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</si>
  <si>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</si>
  <si>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</si>
  <si>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</si>
  <si>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</si>
  <si>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</si>
  <si>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</si>
  <si>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</si>
  <si>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</si>
  <si>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</si>
  <si>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</si>
  <si>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</si>
  <si>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</si>
  <si>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</si>
  <si>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</si>
  <si>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</si>
  <si>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</si>
  <si>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</si>
  <si>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</si>
  <si>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</si>
  <si>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</si>
  <si>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</si>
  <si>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</si>
  <si>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</si>
  <si>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</si>
  <si>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</si>
  <si>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</si>
  <si>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</si>
  <si>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</si>
  <si>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</si>
  <si>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</si>
  <si>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</si>
  <si>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</si>
  <si>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</si>
  <si>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</si>
  <si>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</si>
  <si>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</si>
  <si>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</si>
  <si>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</si>
  <si>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</si>
  <si>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</si>
  <si>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</si>
  <si>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</si>
  <si>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</si>
  <si>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</si>
  <si>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</si>
  <si>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</si>
  <si>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</si>
  <si>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</si>
  <si>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</si>
  <si>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</si>
  <si>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</si>
  <si>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</si>
  <si>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</si>
  <si>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</si>
  <si>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</si>
  <si>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164</t>
  </si>
  <si>
    <t>EvergreenHealth</t>
  </si>
  <si>
    <t>12040 NE 128th St.</t>
  </si>
  <si>
    <t>Kirkland, WA 98034</t>
  </si>
  <si>
    <t>King</t>
  </si>
  <si>
    <t>Robert Malte</t>
  </si>
  <si>
    <t>Tina Mycroft</t>
  </si>
  <si>
    <t>425-899-1000</t>
  </si>
  <si>
    <t>Several clinics were reclassified between the 7260 Clinics category and the 7380 Free Standing Clinics category</t>
  </si>
  <si>
    <t>Jeff Tomlin</t>
  </si>
  <si>
    <t>12040 NE 128th Street</t>
  </si>
  <si>
    <t>Certain Administrative Adjustments are now classified as Contractual Adj</t>
  </si>
  <si>
    <t>Certain Administrative Adjustments are now classified as Contractual Adj-OTHER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</si>
</sst>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6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37" fontId="7" fillId="0" borderId="0"/>
    <xf numFmtId="9" fontId="2" fillId="0" borderId="0" applyFont="0" applyFill="0" applyBorder="0" applyAlignment="0" applyProtection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0" fontId="6" fillId="0" borderId="0"/>
    <xf numFmtId="37" fontId="15" fillId="0" borderId="0"/>
    <xf numFmtId="0" fontId="1" fillId="0" borderId="0"/>
    <xf numFmtId="0" fontId="2" fillId="0" borderId="0"/>
  </cellStyleXfs>
  <cellXfs count="287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7" fontId="4" fillId="2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>
      <alignment horizontal="left"/>
    </xf>
    <xf numFmtId="37" fontId="4" fillId="2" borderId="0" xfId="0" applyFont="1" applyFill="1" applyAlignment="1" applyProtection="1">
      <alignment horizontal="center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/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49" fontId="10" fillId="4" borderId="1" xfId="0" applyNumberFormat="1" applyFont="1" applyFill="1" applyBorder="1" applyAlignment="1" applyProtection="1">
      <alignment horizontal="left"/>
      <protection locked="0"/>
    </xf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37" fontId="4" fillId="2" borderId="0" xfId="0" applyFont="1" applyFill="1" applyAlignment="1" applyProtection="1">
      <alignment horizontal="right"/>
    </xf>
    <xf numFmtId="37" fontId="4" fillId="0" borderId="0" xfId="0" applyFont="1" applyAlignment="1" applyProtection="1">
      <alignment horizontal="right"/>
    </xf>
    <xf numFmtId="4" fontId="4" fillId="2" borderId="0" xfId="0" applyNumberFormat="1" applyFont="1" applyFill="1" applyAlignment="1" applyProtection="1">
      <alignment horizontal="right"/>
    </xf>
    <xf numFmtId="39" fontId="4" fillId="2" borderId="0" xfId="0" applyNumberFormat="1" applyFont="1" applyFill="1" applyAlignment="1" applyProtection="1">
      <alignment horizontal="right"/>
    </xf>
    <xf numFmtId="37" fontId="4" fillId="0" borderId="0" xfId="0" quotePrefix="1" applyFont="1" applyAlignment="1" applyProtection="1">
      <alignment horizontal="right"/>
    </xf>
    <xf numFmtId="2" fontId="4" fillId="0" borderId="0" xfId="0" applyNumberFormat="1" applyFont="1" applyAlignment="1" applyProtection="1">
      <alignment horizontal="right"/>
    </xf>
    <xf numFmtId="49" fontId="10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40" fontId="16" fillId="0" borderId="0" xfId="0" applyNumberFormat="1" applyFont="1" applyFill="1" applyAlignment="1" applyProtection="1">
      <alignment horizontal="right"/>
      <protection locked="0"/>
    </xf>
    <xf numFmtId="37" fontId="10" fillId="3" borderId="0" xfId="0" applyFont="1" applyFill="1" applyAlignment="1" applyProtection="1">
      <alignment horizontal="center" vertical="center"/>
    </xf>
  </cellXfs>
  <cellStyles count="26">
    <cellStyle name="Comma" xfId="1" builtinId="3"/>
    <cellStyle name="Hyperlink" xfId="2" builtinId="8"/>
    <cellStyle name="Normal" xfId="0" builtinId="0"/>
    <cellStyle name="Normal 10 2" xfId="25"/>
    <cellStyle name="Normal 10 2 3" xfId="4"/>
    <cellStyle name="Normal 11" xfId="16"/>
    <cellStyle name="Normal 158" xfId="15"/>
    <cellStyle name="Normal 163" xfId="21"/>
    <cellStyle name="Normal 168" xfId="13"/>
    <cellStyle name="Normal 170" xfId="14"/>
    <cellStyle name="Normal 175" xfId="6"/>
    <cellStyle name="Normal 2" xfId="23"/>
    <cellStyle name="Normal 213" xfId="20"/>
    <cellStyle name="Normal 220" xfId="7"/>
    <cellStyle name="Normal 240" xfId="8"/>
    <cellStyle name="Normal 277" xfId="9"/>
    <cellStyle name="Normal 288" xfId="10"/>
    <cellStyle name="Normal 326" xfId="11"/>
    <cellStyle name="Normal 346" xfId="12"/>
    <cellStyle name="Normal 4" xfId="24"/>
    <cellStyle name="Normal 420" xfId="17"/>
    <cellStyle name="Normal 428" xfId="18"/>
    <cellStyle name="Normal 448" xfId="19"/>
    <cellStyle name="Normal 6" xfId="22"/>
    <cellStyle name="Percent" xfId="3" builtinId="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79" customWidth="1"/>
    <col min="2" max="2" width="15.58203125" style="179" customWidth="1"/>
    <col min="3" max="3" width="14.75" style="179" customWidth="1"/>
    <col min="4" max="4" width="13.25" style="179" customWidth="1"/>
    <col min="5" max="16384" width="11.75" style="179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8"/>
      <c r="C3" s="235"/>
    </row>
    <row r="4" spans="1:6" ht="12.75" customHeight="1" x14ac:dyDescent="0.25">
      <c r="C4" s="235"/>
    </row>
    <row r="5" spans="1:6" ht="12.75" customHeight="1" x14ac:dyDescent="0.25">
      <c r="A5" s="198" t="s">
        <v>1258</v>
      </c>
      <c r="C5" s="235"/>
    </row>
    <row r="6" spans="1:6" ht="12.75" customHeight="1" x14ac:dyDescent="0.25">
      <c r="A6" s="198" t="s">
        <v>0</v>
      </c>
      <c r="C6" s="235"/>
    </row>
    <row r="7" spans="1:6" ht="12.75" customHeight="1" x14ac:dyDescent="0.25">
      <c r="A7" s="198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7" t="s">
        <v>1228</v>
      </c>
      <c r="C10" s="235"/>
    </row>
    <row r="11" spans="1:6" ht="12.75" customHeight="1" x14ac:dyDescent="0.25">
      <c r="A11" s="197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8" t="s">
        <v>2</v>
      </c>
      <c r="C14" s="235"/>
    </row>
    <row r="15" spans="1:6" ht="12.75" customHeight="1" x14ac:dyDescent="0.25">
      <c r="A15" s="198"/>
      <c r="C15" s="235"/>
    </row>
    <row r="16" spans="1:6" ht="12.75" customHeight="1" x14ac:dyDescent="0.25">
      <c r="A16" s="179" t="s">
        <v>1260</v>
      </c>
      <c r="C16" s="235"/>
      <c r="F16" s="282" t="s">
        <v>1259</v>
      </c>
    </row>
    <row r="17" spans="1:6" ht="12.75" customHeight="1" x14ac:dyDescent="0.25">
      <c r="A17" s="179" t="s">
        <v>1230</v>
      </c>
      <c r="C17" s="282" t="s">
        <v>1259</v>
      </c>
    </row>
    <row r="18" spans="1:6" ht="12.75" customHeight="1" x14ac:dyDescent="0.25">
      <c r="A18" s="227"/>
      <c r="C18" s="235"/>
    </row>
    <row r="19" spans="1:6" ht="12.75" customHeight="1" x14ac:dyDescent="0.25">
      <c r="C19" s="235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8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8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7" t="s">
        <v>1235</v>
      </c>
      <c r="C25" s="235"/>
    </row>
    <row r="26" spans="1:6" ht="12.6" customHeight="1" x14ac:dyDescent="0.25">
      <c r="A26" s="198" t="s">
        <v>4</v>
      </c>
      <c r="C26" s="235"/>
    </row>
    <row r="27" spans="1:6" ht="12.6" customHeight="1" x14ac:dyDescent="0.25">
      <c r="A27" s="197" t="s">
        <v>1236</v>
      </c>
      <c r="C27" s="235"/>
    </row>
    <row r="28" spans="1:6" ht="12.6" customHeight="1" x14ac:dyDescent="0.25">
      <c r="A28" s="198" t="s">
        <v>5</v>
      </c>
      <c r="C28" s="235"/>
    </row>
    <row r="29" spans="1:6" ht="12.6" customHeight="1" x14ac:dyDescent="0.25">
      <c r="A29" s="197"/>
      <c r="C29" s="235"/>
    </row>
    <row r="30" spans="1:6" ht="12.6" customHeight="1" x14ac:dyDescent="0.25">
      <c r="A30" s="179" t="s">
        <v>6</v>
      </c>
      <c r="C30" s="235"/>
    </row>
    <row r="31" spans="1:6" ht="12.6" customHeight="1" x14ac:dyDescent="0.25">
      <c r="A31" s="198" t="s">
        <v>7</v>
      </c>
      <c r="C31" s="235"/>
    </row>
    <row r="32" spans="1:6" ht="12.6" customHeight="1" x14ac:dyDescent="0.25">
      <c r="A32" s="198" t="s">
        <v>8</v>
      </c>
      <c r="C32" s="235"/>
    </row>
    <row r="33" spans="1:83" ht="12.6" customHeight="1" x14ac:dyDescent="0.25">
      <c r="A33" s="197" t="s">
        <v>1237</v>
      </c>
      <c r="C33" s="235"/>
    </row>
    <row r="34" spans="1:83" ht="12.6" customHeight="1" x14ac:dyDescent="0.25">
      <c r="A34" s="198" t="s">
        <v>9</v>
      </c>
      <c r="C34" s="235"/>
    </row>
    <row r="35" spans="1:83" ht="12.6" customHeight="1" x14ac:dyDescent="0.25">
      <c r="A35" s="198"/>
      <c r="C35" s="235"/>
    </row>
    <row r="36" spans="1:83" ht="12.6" customHeight="1" x14ac:dyDescent="0.25">
      <c r="A36" s="197" t="s">
        <v>1238</v>
      </c>
      <c r="C36" s="235"/>
    </row>
    <row r="37" spans="1:83" ht="12.6" customHeight="1" x14ac:dyDescent="0.25">
      <c r="A37" s="198" t="s">
        <v>1229</v>
      </c>
      <c r="C37" s="235"/>
    </row>
    <row r="38" spans="1:83" ht="12" customHeight="1" x14ac:dyDescent="0.25">
      <c r="A38" s="197"/>
      <c r="C38" s="235"/>
    </row>
    <row r="39" spans="1:83" ht="12.6" customHeight="1" x14ac:dyDescent="0.25">
      <c r="A39" s="198"/>
      <c r="C39" s="235"/>
    </row>
    <row r="40" spans="1:83" ht="12" customHeight="1" x14ac:dyDescent="0.25">
      <c r="A40" s="198"/>
      <c r="C40" s="235"/>
    </row>
    <row r="41" spans="1:83" ht="12" customHeight="1" x14ac:dyDescent="0.25">
      <c r="A41" s="198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8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8"/>
      <c r="C43" s="235"/>
      <c r="F43" s="180"/>
    </row>
    <row r="44" spans="1:83" ht="12" customHeight="1" x14ac:dyDescent="0.25">
      <c r="A44" s="174"/>
      <c r="B44" s="174"/>
      <c r="C44" s="181" t="s">
        <v>10</v>
      </c>
      <c r="D44" s="169" t="s">
        <v>11</v>
      </c>
      <c r="E44" s="169" t="s">
        <v>12</v>
      </c>
      <c r="F44" s="169" t="s">
        <v>13</v>
      </c>
      <c r="G44" s="169" t="s">
        <v>14</v>
      </c>
      <c r="H44" s="169" t="s">
        <v>15</v>
      </c>
      <c r="I44" s="169" t="s">
        <v>16</v>
      </c>
      <c r="J44" s="169" t="s">
        <v>17</v>
      </c>
      <c r="K44" s="169" t="s">
        <v>18</v>
      </c>
      <c r="L44" s="169" t="s">
        <v>19</v>
      </c>
      <c r="M44" s="169" t="s">
        <v>20</v>
      </c>
      <c r="N44" s="169" t="s">
        <v>21</v>
      </c>
      <c r="O44" s="169" t="s">
        <v>22</v>
      </c>
      <c r="P44" s="169" t="s">
        <v>23</v>
      </c>
      <c r="Q44" s="169" t="s">
        <v>24</v>
      </c>
      <c r="R44" s="169" t="s">
        <v>25</v>
      </c>
      <c r="S44" s="169" t="s">
        <v>26</v>
      </c>
      <c r="T44" s="169" t="s">
        <v>27</v>
      </c>
      <c r="U44" s="169" t="s">
        <v>28</v>
      </c>
      <c r="V44" s="169" t="s">
        <v>29</v>
      </c>
      <c r="W44" s="169" t="s">
        <v>30</v>
      </c>
      <c r="X44" s="169" t="s">
        <v>31</v>
      </c>
      <c r="Y44" s="169" t="s">
        <v>32</v>
      </c>
      <c r="Z44" s="169" t="s">
        <v>33</v>
      </c>
      <c r="AA44" s="169" t="s">
        <v>34</v>
      </c>
      <c r="AB44" s="169" t="s">
        <v>35</v>
      </c>
      <c r="AC44" s="169" t="s">
        <v>36</v>
      </c>
      <c r="AD44" s="169" t="s">
        <v>37</v>
      </c>
      <c r="AE44" s="169" t="s">
        <v>38</v>
      </c>
      <c r="AF44" s="169" t="s">
        <v>39</v>
      </c>
      <c r="AG44" s="169" t="s">
        <v>40</v>
      </c>
      <c r="AH44" s="169" t="s">
        <v>41</v>
      </c>
      <c r="AI44" s="169" t="s">
        <v>42</v>
      </c>
      <c r="AJ44" s="169" t="s">
        <v>43</v>
      </c>
      <c r="AK44" s="169" t="s">
        <v>44</v>
      </c>
      <c r="AL44" s="169" t="s">
        <v>45</v>
      </c>
      <c r="AM44" s="169" t="s">
        <v>46</v>
      </c>
      <c r="AN44" s="169" t="s">
        <v>47</v>
      </c>
      <c r="AO44" s="169" t="s">
        <v>48</v>
      </c>
      <c r="AP44" s="169" t="s">
        <v>49</v>
      </c>
      <c r="AQ44" s="169" t="s">
        <v>50</v>
      </c>
      <c r="AR44" s="169" t="s">
        <v>51</v>
      </c>
      <c r="AS44" s="169" t="s">
        <v>52</v>
      </c>
      <c r="AT44" s="169" t="s">
        <v>53</v>
      </c>
      <c r="AU44" s="169" t="s">
        <v>54</v>
      </c>
      <c r="AV44" s="169" t="s">
        <v>55</v>
      </c>
      <c r="AW44" s="169" t="s">
        <v>56</v>
      </c>
      <c r="AX44" s="169" t="s">
        <v>57</v>
      </c>
      <c r="AY44" s="169" t="s">
        <v>58</v>
      </c>
      <c r="AZ44" s="169" t="s">
        <v>59</v>
      </c>
      <c r="BA44" s="169" t="s">
        <v>60</v>
      </c>
      <c r="BB44" s="169" t="s">
        <v>61</v>
      </c>
      <c r="BC44" s="169" t="s">
        <v>62</v>
      </c>
      <c r="BD44" s="169" t="s">
        <v>63</v>
      </c>
      <c r="BE44" s="169" t="s">
        <v>64</v>
      </c>
      <c r="BF44" s="169" t="s">
        <v>65</v>
      </c>
      <c r="BG44" s="169" t="s">
        <v>66</v>
      </c>
      <c r="BH44" s="169" t="s">
        <v>67</v>
      </c>
      <c r="BI44" s="169" t="s">
        <v>68</v>
      </c>
      <c r="BJ44" s="169" t="s">
        <v>69</v>
      </c>
      <c r="BK44" s="169" t="s">
        <v>70</v>
      </c>
      <c r="BL44" s="169" t="s">
        <v>71</v>
      </c>
      <c r="BM44" s="169" t="s">
        <v>72</v>
      </c>
      <c r="BN44" s="169" t="s">
        <v>73</v>
      </c>
      <c r="BO44" s="169" t="s">
        <v>74</v>
      </c>
      <c r="BP44" s="169" t="s">
        <v>75</v>
      </c>
      <c r="BQ44" s="169" t="s">
        <v>76</v>
      </c>
      <c r="BR44" s="169" t="s">
        <v>77</v>
      </c>
      <c r="BS44" s="169" t="s">
        <v>78</v>
      </c>
      <c r="BT44" s="169" t="s">
        <v>79</v>
      </c>
      <c r="BU44" s="169" t="s">
        <v>80</v>
      </c>
      <c r="BV44" s="169" t="s">
        <v>81</v>
      </c>
      <c r="BW44" s="169" t="s">
        <v>82</v>
      </c>
      <c r="BX44" s="169" t="s">
        <v>83</v>
      </c>
      <c r="BY44" s="169" t="s">
        <v>84</v>
      </c>
      <c r="BZ44" s="169" t="s">
        <v>85</v>
      </c>
      <c r="CA44" s="169" t="s">
        <v>86</v>
      </c>
      <c r="CB44" s="169" t="s">
        <v>87</v>
      </c>
      <c r="CC44" s="169" t="s">
        <v>88</v>
      </c>
      <c r="CD44" s="169" t="s">
        <v>89</v>
      </c>
      <c r="CE44" s="169" t="s">
        <v>90</v>
      </c>
    </row>
    <row r="45" spans="1:83" ht="12" customHeight="1" x14ac:dyDescent="0.25">
      <c r="A45" s="174"/>
      <c r="B45" s="243" t="s">
        <v>91</v>
      </c>
      <c r="C45" s="181" t="s">
        <v>92</v>
      </c>
      <c r="D45" s="169" t="s">
        <v>93</v>
      </c>
      <c r="E45" s="169" t="s">
        <v>94</v>
      </c>
      <c r="F45" s="169" t="s">
        <v>95</v>
      </c>
      <c r="G45" s="169" t="s">
        <v>96</v>
      </c>
      <c r="H45" s="169" t="s">
        <v>97</v>
      </c>
      <c r="I45" s="169" t="s">
        <v>98</v>
      </c>
      <c r="J45" s="169" t="s">
        <v>99</v>
      </c>
      <c r="K45" s="169" t="s">
        <v>100</v>
      </c>
      <c r="L45" s="169" t="s">
        <v>101</v>
      </c>
      <c r="M45" s="169" t="s">
        <v>102</v>
      </c>
      <c r="N45" s="169" t="s">
        <v>103</v>
      </c>
      <c r="O45" s="169" t="s">
        <v>104</v>
      </c>
      <c r="P45" s="169" t="s">
        <v>105</v>
      </c>
      <c r="Q45" s="169" t="s">
        <v>106</v>
      </c>
      <c r="R45" s="169" t="s">
        <v>107</v>
      </c>
      <c r="S45" s="169" t="s">
        <v>108</v>
      </c>
      <c r="T45" s="169" t="s">
        <v>1194</v>
      </c>
      <c r="U45" s="169" t="s">
        <v>109</v>
      </c>
      <c r="V45" s="169" t="s">
        <v>110</v>
      </c>
      <c r="W45" s="169" t="s">
        <v>111</v>
      </c>
      <c r="X45" s="169" t="s">
        <v>112</v>
      </c>
      <c r="Y45" s="169" t="s">
        <v>113</v>
      </c>
      <c r="Z45" s="169" t="s">
        <v>113</v>
      </c>
      <c r="AA45" s="169" t="s">
        <v>114</v>
      </c>
      <c r="AB45" s="169" t="s">
        <v>115</v>
      </c>
      <c r="AC45" s="169" t="s">
        <v>116</v>
      </c>
      <c r="AD45" s="169" t="s">
        <v>117</v>
      </c>
      <c r="AE45" s="169" t="s">
        <v>96</v>
      </c>
      <c r="AF45" s="169" t="s">
        <v>97</v>
      </c>
      <c r="AG45" s="169" t="s">
        <v>118</v>
      </c>
      <c r="AH45" s="169" t="s">
        <v>119</v>
      </c>
      <c r="AI45" s="169" t="s">
        <v>120</v>
      </c>
      <c r="AJ45" s="169" t="s">
        <v>121</v>
      </c>
      <c r="AK45" s="169" t="s">
        <v>122</v>
      </c>
      <c r="AL45" s="169" t="s">
        <v>123</v>
      </c>
      <c r="AM45" s="169" t="s">
        <v>124</v>
      </c>
      <c r="AN45" s="169" t="s">
        <v>110</v>
      </c>
      <c r="AO45" s="169" t="s">
        <v>125</v>
      </c>
      <c r="AP45" s="169" t="s">
        <v>126</v>
      </c>
      <c r="AQ45" s="169" t="s">
        <v>127</v>
      </c>
      <c r="AR45" s="169" t="s">
        <v>128</v>
      </c>
      <c r="AS45" s="169" t="s">
        <v>129</v>
      </c>
      <c r="AT45" s="169" t="s">
        <v>130</v>
      </c>
      <c r="AU45" s="169" t="s">
        <v>131</v>
      </c>
      <c r="AV45" s="169" t="s">
        <v>132</v>
      </c>
      <c r="AW45" s="169" t="s">
        <v>133</v>
      </c>
      <c r="AX45" s="169" t="s">
        <v>134</v>
      </c>
      <c r="AY45" s="169" t="s">
        <v>135</v>
      </c>
      <c r="AZ45" s="169" t="s">
        <v>136</v>
      </c>
      <c r="BA45" s="169" t="s">
        <v>137</v>
      </c>
      <c r="BB45" s="169" t="s">
        <v>138</v>
      </c>
      <c r="BC45" s="169" t="s">
        <v>108</v>
      </c>
      <c r="BD45" s="169" t="s">
        <v>139</v>
      </c>
      <c r="BE45" s="169" t="s">
        <v>140</v>
      </c>
      <c r="BF45" s="169" t="s">
        <v>141</v>
      </c>
      <c r="BG45" s="169" t="s">
        <v>142</v>
      </c>
      <c r="BH45" s="169" t="s">
        <v>143</v>
      </c>
      <c r="BI45" s="169" t="s">
        <v>144</v>
      </c>
      <c r="BJ45" s="169" t="s">
        <v>145</v>
      </c>
      <c r="BK45" s="169" t="s">
        <v>146</v>
      </c>
      <c r="BL45" s="169" t="s">
        <v>147</v>
      </c>
      <c r="BM45" s="169" t="s">
        <v>132</v>
      </c>
      <c r="BN45" s="169" t="s">
        <v>148</v>
      </c>
      <c r="BO45" s="169" t="s">
        <v>149</v>
      </c>
      <c r="BP45" s="169" t="s">
        <v>150</v>
      </c>
      <c r="BQ45" s="169" t="s">
        <v>151</v>
      </c>
      <c r="BR45" s="169" t="s">
        <v>152</v>
      </c>
      <c r="BS45" s="169" t="s">
        <v>153</v>
      </c>
      <c r="BT45" s="169" t="s">
        <v>154</v>
      </c>
      <c r="BU45" s="169" t="s">
        <v>155</v>
      </c>
      <c r="BV45" s="169" t="s">
        <v>155</v>
      </c>
      <c r="BW45" s="169" t="s">
        <v>155</v>
      </c>
      <c r="BX45" s="169" t="s">
        <v>156</v>
      </c>
      <c r="BY45" s="169" t="s">
        <v>157</v>
      </c>
      <c r="BZ45" s="169" t="s">
        <v>158</v>
      </c>
      <c r="CA45" s="169" t="s">
        <v>159</v>
      </c>
      <c r="CB45" s="169" t="s">
        <v>160</v>
      </c>
      <c r="CC45" s="169" t="s">
        <v>132</v>
      </c>
      <c r="CD45" s="169"/>
      <c r="CE45" s="169" t="s">
        <v>161</v>
      </c>
    </row>
    <row r="46" spans="1:83" ht="12.6" customHeight="1" x14ac:dyDescent="0.25">
      <c r="A46" s="174" t="s">
        <v>3</v>
      </c>
      <c r="B46" s="169" t="s">
        <v>162</v>
      </c>
      <c r="C46" s="181" t="s">
        <v>163</v>
      </c>
      <c r="D46" s="169" t="s">
        <v>163</v>
      </c>
      <c r="E46" s="169" t="s">
        <v>163</v>
      </c>
      <c r="F46" s="169" t="s">
        <v>164</v>
      </c>
      <c r="G46" s="169" t="s">
        <v>165</v>
      </c>
      <c r="H46" s="169" t="s">
        <v>163</v>
      </c>
      <c r="I46" s="169" t="s">
        <v>166</v>
      </c>
      <c r="J46" s="169"/>
      <c r="K46" s="169" t="s">
        <v>157</v>
      </c>
      <c r="L46" s="169" t="s">
        <v>167</v>
      </c>
      <c r="M46" s="169" t="s">
        <v>168</v>
      </c>
      <c r="N46" s="169" t="s">
        <v>169</v>
      </c>
      <c r="O46" s="169" t="s">
        <v>170</v>
      </c>
      <c r="P46" s="169" t="s">
        <v>169</v>
      </c>
      <c r="Q46" s="169" t="s">
        <v>171</v>
      </c>
      <c r="R46" s="169"/>
      <c r="S46" s="169" t="s">
        <v>169</v>
      </c>
      <c r="T46" s="169" t="s">
        <v>172</v>
      </c>
      <c r="U46" s="169"/>
      <c r="V46" s="169" t="s">
        <v>173</v>
      </c>
      <c r="W46" s="169" t="s">
        <v>174</v>
      </c>
      <c r="X46" s="169" t="s">
        <v>175</v>
      </c>
      <c r="Y46" s="169" t="s">
        <v>176</v>
      </c>
      <c r="Z46" s="169" t="s">
        <v>177</v>
      </c>
      <c r="AA46" s="169" t="s">
        <v>178</v>
      </c>
      <c r="AB46" s="169"/>
      <c r="AC46" s="169" t="s">
        <v>172</v>
      </c>
      <c r="AD46" s="169"/>
      <c r="AE46" s="169" t="s">
        <v>172</v>
      </c>
      <c r="AF46" s="169" t="s">
        <v>179</v>
      </c>
      <c r="AG46" s="169" t="s">
        <v>171</v>
      </c>
      <c r="AH46" s="169"/>
      <c r="AI46" s="169" t="s">
        <v>180</v>
      </c>
      <c r="AJ46" s="169"/>
      <c r="AK46" s="169" t="s">
        <v>172</v>
      </c>
      <c r="AL46" s="169" t="s">
        <v>172</v>
      </c>
      <c r="AM46" s="169" t="s">
        <v>172</v>
      </c>
      <c r="AN46" s="169" t="s">
        <v>181</v>
      </c>
      <c r="AO46" s="169" t="s">
        <v>182</v>
      </c>
      <c r="AP46" s="169" t="s">
        <v>121</v>
      </c>
      <c r="AQ46" s="169" t="s">
        <v>183</v>
      </c>
      <c r="AR46" s="169" t="s">
        <v>169</v>
      </c>
      <c r="AS46" s="169"/>
      <c r="AT46" s="169" t="s">
        <v>184</v>
      </c>
      <c r="AU46" s="169" t="s">
        <v>185</v>
      </c>
      <c r="AV46" s="169" t="s">
        <v>186</v>
      </c>
      <c r="AW46" s="169" t="s">
        <v>187</v>
      </c>
      <c r="AX46" s="169" t="s">
        <v>188</v>
      </c>
      <c r="AY46" s="169"/>
      <c r="AZ46" s="169"/>
      <c r="BA46" s="169" t="s">
        <v>189</v>
      </c>
      <c r="BB46" s="169" t="s">
        <v>169</v>
      </c>
      <c r="BC46" s="169" t="s">
        <v>183</v>
      </c>
      <c r="BD46" s="169"/>
      <c r="BE46" s="169"/>
      <c r="BF46" s="169"/>
      <c r="BG46" s="169"/>
      <c r="BH46" s="169" t="s">
        <v>190</v>
      </c>
      <c r="BI46" s="169" t="s">
        <v>169</v>
      </c>
      <c r="BJ46" s="169"/>
      <c r="BK46" s="169" t="s">
        <v>191</v>
      </c>
      <c r="BL46" s="169"/>
      <c r="BM46" s="169" t="s">
        <v>192</v>
      </c>
      <c r="BN46" s="169" t="s">
        <v>193</v>
      </c>
      <c r="BO46" s="169" t="s">
        <v>194</v>
      </c>
      <c r="BP46" s="169" t="s">
        <v>195</v>
      </c>
      <c r="BQ46" s="169" t="s">
        <v>196</v>
      </c>
      <c r="BR46" s="169"/>
      <c r="BS46" s="169" t="s">
        <v>197</v>
      </c>
      <c r="BT46" s="169" t="s">
        <v>169</v>
      </c>
      <c r="BU46" s="169" t="s">
        <v>198</v>
      </c>
      <c r="BV46" s="169" t="s">
        <v>199</v>
      </c>
      <c r="BW46" s="169" t="s">
        <v>200</v>
      </c>
      <c r="BX46" s="169" t="s">
        <v>151</v>
      </c>
      <c r="BY46" s="169" t="s">
        <v>193</v>
      </c>
      <c r="BZ46" s="169" t="s">
        <v>152</v>
      </c>
      <c r="CA46" s="169" t="s">
        <v>201</v>
      </c>
      <c r="CB46" s="169" t="s">
        <v>201</v>
      </c>
      <c r="CC46" s="169" t="s">
        <v>202</v>
      </c>
      <c r="CD46" s="169"/>
      <c r="CE46" s="169" t="s">
        <v>203</v>
      </c>
    </row>
    <row r="47" spans="1:83" ht="12.6" customHeight="1" x14ac:dyDescent="0.25">
      <c r="A47" s="174" t="s">
        <v>204</v>
      </c>
      <c r="B47" s="182"/>
      <c r="C47" s="183">
        <v>3083796.3600000003</v>
      </c>
      <c r="D47" s="183">
        <v>1665697.2400000002</v>
      </c>
      <c r="E47" s="183">
        <v>4398986.2300000004</v>
      </c>
      <c r="F47" s="183">
        <v>0</v>
      </c>
      <c r="G47" s="183">
        <v>408027.39</v>
      </c>
      <c r="H47" s="183"/>
      <c r="I47" s="183"/>
      <c r="J47" s="183"/>
      <c r="K47" s="183"/>
      <c r="L47" s="183"/>
      <c r="M47" s="183">
        <f>890780.42+193264.888</f>
        <v>1084045.308</v>
      </c>
      <c r="N47" s="183">
        <v>2374635.4500000002</v>
      </c>
      <c r="O47" s="183">
        <v>4494699.0200000005</v>
      </c>
      <c r="P47" s="183">
        <v>3022104.79</v>
      </c>
      <c r="Q47" s="183">
        <v>893734.23</v>
      </c>
      <c r="R47" s="183">
        <v>123053.07</v>
      </c>
      <c r="S47" s="183">
        <v>294428.44</v>
      </c>
      <c r="T47" s="183">
        <v>0</v>
      </c>
      <c r="U47" s="183">
        <v>1374719.0799999998</v>
      </c>
      <c r="V47" s="183">
        <v>40861.020000000004</v>
      </c>
      <c r="W47" s="183">
        <v>108347.04</v>
      </c>
      <c r="X47" s="183">
        <v>277121.89</v>
      </c>
      <c r="Y47" s="183">
        <v>2879706.05</v>
      </c>
      <c r="Z47" s="183">
        <v>645249.84000000008</v>
      </c>
      <c r="AA47" s="183">
        <v>85387.42</v>
      </c>
      <c r="AB47" s="183">
        <v>1232402.1099999999</v>
      </c>
      <c r="AC47" s="183">
        <v>505762.42</v>
      </c>
      <c r="AD47" s="183">
        <v>0</v>
      </c>
      <c r="AE47" s="183">
        <v>1171502.3399999999</v>
      </c>
      <c r="AF47" s="183"/>
      <c r="AG47" s="183">
        <v>2504107.56</v>
      </c>
      <c r="AH47" s="183"/>
      <c r="AI47" s="183"/>
      <c r="AJ47" s="183">
        <v>12123695.290000001</v>
      </c>
      <c r="AK47" s="183"/>
      <c r="AL47" s="183"/>
      <c r="AM47" s="183"/>
      <c r="AN47" s="183"/>
      <c r="AO47" s="183"/>
      <c r="AP47" s="183">
        <v>8922928.1000000015</v>
      </c>
      <c r="AQ47" s="183"/>
      <c r="AR47" s="183">
        <f>8336611.3+1659706.12</f>
        <v>9996317.4199999999</v>
      </c>
      <c r="AS47" s="183"/>
      <c r="AT47" s="183"/>
      <c r="AU47" s="183"/>
      <c r="AV47" s="183">
        <v>548436.42999999993</v>
      </c>
      <c r="AW47" s="183">
        <v>192576.46</v>
      </c>
      <c r="AX47" s="183"/>
      <c r="AY47" s="183"/>
      <c r="AZ47" s="183">
        <v>963587.31</v>
      </c>
      <c r="BA47" s="183">
        <v>88694.03</v>
      </c>
      <c r="BB47" s="183">
        <v>0</v>
      </c>
      <c r="BC47" s="183">
        <v>97759.65</v>
      </c>
      <c r="BD47" s="183">
        <v>572485.47</v>
      </c>
      <c r="BE47" s="183">
        <v>908115.42999999993</v>
      </c>
      <c r="BF47" s="183">
        <v>1565488.44</v>
      </c>
      <c r="BG47" s="183">
        <v>335421.08999999997</v>
      </c>
      <c r="BH47" s="183">
        <v>2289734.84</v>
      </c>
      <c r="BI47" s="183">
        <v>400676.75</v>
      </c>
      <c r="BJ47" s="183">
        <v>357954.30000000005</v>
      </c>
      <c r="BK47" s="183">
        <v>1554206.34</v>
      </c>
      <c r="BL47" s="183">
        <v>1071440.74</v>
      </c>
      <c r="BM47" s="183">
        <v>645583.15</v>
      </c>
      <c r="BN47" s="183">
        <v>1685773.9600000002</v>
      </c>
      <c r="BO47" s="183">
        <v>127830.51000000001</v>
      </c>
      <c r="BP47" s="183">
        <v>302959.44</v>
      </c>
      <c r="BQ47" s="183">
        <v>100875.17</v>
      </c>
      <c r="BR47" s="183">
        <v>558773.96</v>
      </c>
      <c r="BS47" s="183">
        <v>71781.06</v>
      </c>
      <c r="BT47" s="183">
        <v>48530.64</v>
      </c>
      <c r="BU47" s="183">
        <v>0</v>
      </c>
      <c r="BV47" s="183">
        <v>1014771.5</v>
      </c>
      <c r="BW47" s="183">
        <v>113668.26</v>
      </c>
      <c r="BX47" s="183">
        <v>1085996.94</v>
      </c>
      <c r="BY47" s="183">
        <v>393950.89</v>
      </c>
      <c r="BZ47" s="183">
        <v>1110610.8600000001</v>
      </c>
      <c r="CA47" s="183">
        <v>164880.60999999999</v>
      </c>
      <c r="CB47" s="183">
        <v>1214992.3400000001</v>
      </c>
      <c r="CC47" s="183">
        <v>993591.74</v>
      </c>
      <c r="CD47" s="194"/>
      <c r="CE47" s="194">
        <f>SUM(C47:CC47)</f>
        <v>84292463.418000013</v>
      </c>
    </row>
    <row r="48" spans="1:83" ht="12.6" customHeight="1" x14ac:dyDescent="0.25">
      <c r="A48" s="174" t="s">
        <v>205</v>
      </c>
      <c r="B48" s="182">
        <f>566914.78-75560.61</f>
        <v>491354.17000000004</v>
      </c>
      <c r="C48" s="244">
        <f>ROUND(((B48/CE61)*C61),0)</f>
        <v>18106</v>
      </c>
      <c r="D48" s="244">
        <f>ROUND(((B48/CE61)*D61),0)</f>
        <v>8908</v>
      </c>
      <c r="E48" s="194">
        <f>ROUND(((B48/CE61)*E61),0)</f>
        <v>25871</v>
      </c>
      <c r="F48" s="194">
        <f>ROUND(((B48/CE61)*F61),0)</f>
        <v>0</v>
      </c>
      <c r="G48" s="194">
        <f>ROUND(((B48/CE61)*G61),0)</f>
        <v>2099</v>
      </c>
      <c r="H48" s="194">
        <f>ROUND(((B48/CE61)*H61),0)</f>
        <v>0</v>
      </c>
      <c r="I48" s="194">
        <f>ROUND(((B48/CE61)*I61),0)</f>
        <v>0</v>
      </c>
      <c r="J48" s="194">
        <f>ROUND(((B48/CE61)*J61),0)</f>
        <v>0</v>
      </c>
      <c r="K48" s="194">
        <f>ROUND(((B48/CE61)*K61),0)</f>
        <v>0</v>
      </c>
      <c r="L48" s="194">
        <f>ROUND(((B48/CE61)*L61),0)</f>
        <v>0</v>
      </c>
      <c r="M48" s="194">
        <f>ROUND(((B48/CE61)*M61),0)</f>
        <v>5958</v>
      </c>
      <c r="N48" s="194">
        <f>ROUND(((B48/CE61)*N61),0)</f>
        <v>16974</v>
      </c>
      <c r="O48" s="194">
        <f>ROUND(((B48/CE61)*O61),0)</f>
        <v>22862</v>
      </c>
      <c r="P48" s="194">
        <f>ROUND(((B48/CE61)*P61),0)</f>
        <v>17101</v>
      </c>
      <c r="Q48" s="194">
        <f>ROUND(((B48/CE61)*Q61),0)</f>
        <v>5116</v>
      </c>
      <c r="R48" s="194">
        <f>ROUND(((B48/CE61)*R61),0)</f>
        <v>786</v>
      </c>
      <c r="S48" s="194">
        <f>ROUND(((B48/CE61)*S61),0)</f>
        <v>1419</v>
      </c>
      <c r="T48" s="194">
        <f>ROUND(((B48/CE61)*T61),0)</f>
        <v>0</v>
      </c>
      <c r="U48" s="194">
        <f>ROUND(((B48/CE61)*U61),0)</f>
        <v>7066</v>
      </c>
      <c r="V48" s="194">
        <f>ROUND(((B48/CE61)*V61),0)</f>
        <v>186</v>
      </c>
      <c r="W48" s="194">
        <f>ROUND(((B48/CE61)*W61),0)</f>
        <v>974</v>
      </c>
      <c r="X48" s="194">
        <f>ROUND(((B48/CE61)*X61),0)</f>
        <v>1616</v>
      </c>
      <c r="Y48" s="194">
        <f>ROUND(((B48/CE61)*Y61),0)</f>
        <v>16531</v>
      </c>
      <c r="Z48" s="194">
        <f>ROUND(((B48/CE61)*Z61),0)</f>
        <v>5391</v>
      </c>
      <c r="AA48" s="194">
        <f>ROUND(((B48/CE61)*AA61),0)</f>
        <v>543</v>
      </c>
      <c r="AB48" s="194">
        <f>ROUND(((B48/CE61)*AB61),0)</f>
        <v>7194</v>
      </c>
      <c r="AC48" s="194">
        <f>ROUND(((B48/CE61)*AC61),0)</f>
        <v>2742</v>
      </c>
      <c r="AD48" s="194">
        <f>ROUND(((B48/CE61)*AD61),0)</f>
        <v>0</v>
      </c>
      <c r="AE48" s="194">
        <f>ROUND(((B48/CE61)*AE61),0)</f>
        <v>6702</v>
      </c>
      <c r="AF48" s="194">
        <f>ROUND(((B48/CE61)*AF61),0)</f>
        <v>0</v>
      </c>
      <c r="AG48" s="194">
        <f>ROUND(((B48/CE61)*AG61),0)</f>
        <v>12528</v>
      </c>
      <c r="AH48" s="194">
        <f>ROUND(((B48/CE61)*AH61),0)</f>
        <v>0</v>
      </c>
      <c r="AI48" s="194">
        <f>ROUND(((B48/CE61)*AI61),0)</f>
        <v>0</v>
      </c>
      <c r="AJ48" s="194">
        <f>ROUND(((B48/CE61)*AJ61),0)</f>
        <v>91423</v>
      </c>
      <c r="AK48" s="194">
        <f>ROUND(((B48/CE61)*AK61),0)</f>
        <v>0</v>
      </c>
      <c r="AL48" s="194">
        <f>ROUND(((B48/CE61)*AL61),0)</f>
        <v>0</v>
      </c>
      <c r="AM48" s="194">
        <f>ROUND(((B48/CE61)*AM61),0)</f>
        <v>0</v>
      </c>
      <c r="AN48" s="194">
        <f>ROUND(((B48/CE61)*AN61),0)</f>
        <v>0</v>
      </c>
      <c r="AO48" s="194">
        <f>ROUND(((B48/CE61)*AO61),0)</f>
        <v>0</v>
      </c>
      <c r="AP48" s="194">
        <f>ROUND(((B48/CE61)*AP61),0)</f>
        <v>55459</v>
      </c>
      <c r="AQ48" s="194">
        <f>ROUND(((B48/CE61)*AQ61),0)</f>
        <v>0</v>
      </c>
      <c r="AR48" s="194">
        <f>ROUND(((B48/CE61)*AR61),0)</f>
        <v>56392</v>
      </c>
      <c r="AS48" s="194">
        <f>ROUND(((B48/CE61)*AS61),0)</f>
        <v>0</v>
      </c>
      <c r="AT48" s="194">
        <f>ROUND(((B48/CE61)*AT61),0)</f>
        <v>0</v>
      </c>
      <c r="AU48" s="194">
        <f>ROUND(((B48/CE61)*AU61),0)</f>
        <v>0</v>
      </c>
      <c r="AV48" s="194">
        <f>ROUND(((B48/CE61)*AV61),0)</f>
        <v>3047</v>
      </c>
      <c r="AW48" s="194">
        <f>ROUND(((B48/CE61)*AW61),0)</f>
        <v>989</v>
      </c>
      <c r="AX48" s="194">
        <f>ROUND(((B48/CE61)*AX61),0)</f>
        <v>2</v>
      </c>
      <c r="AY48" s="194">
        <f>ROUND(((B48/CE61)*AY61),0)</f>
        <v>0</v>
      </c>
      <c r="AZ48" s="194">
        <f>ROUND(((B48/CE61)*AZ61),0)</f>
        <v>3660</v>
      </c>
      <c r="BA48" s="194">
        <f>ROUND(((B48/CE61)*BA61),0)</f>
        <v>343</v>
      </c>
      <c r="BB48" s="194">
        <f>ROUND(((B48/CE61)*BB61),0)</f>
        <v>0</v>
      </c>
      <c r="BC48" s="194">
        <f>ROUND(((B48/CE61)*BC61),0)</f>
        <v>419</v>
      </c>
      <c r="BD48" s="194">
        <f>ROUND(((B48/CE61)*BD61),0)</f>
        <v>2496</v>
      </c>
      <c r="BE48" s="194">
        <f>ROUND(((B48/CE61)*BE61),0)</f>
        <v>4067</v>
      </c>
      <c r="BF48" s="194">
        <f>ROUND(((B48/CE61)*BF61),0)</f>
        <v>5768</v>
      </c>
      <c r="BG48" s="194">
        <f>ROUND(((B48/CE61)*BG61),0)</f>
        <v>1432</v>
      </c>
      <c r="BH48" s="194">
        <f>ROUND(((B48/CE61)*BH61),0)</f>
        <v>13207</v>
      </c>
      <c r="BI48" s="194">
        <f>ROUND(((B48/CE61)*BI61),0)</f>
        <v>2263</v>
      </c>
      <c r="BJ48" s="194">
        <f>ROUND(((B48/CE61)*BJ61),0)</f>
        <v>1836</v>
      </c>
      <c r="BK48" s="194">
        <f>ROUND(((B48/CE61)*BK61),0)</f>
        <v>6619</v>
      </c>
      <c r="BL48" s="194">
        <f>ROUND(((B48/CE61)*BL61),0)</f>
        <v>4419</v>
      </c>
      <c r="BM48" s="194">
        <f>ROUND(((B48/CE61)*BM61),0)</f>
        <v>3246</v>
      </c>
      <c r="BN48" s="194">
        <f>ROUND(((B48/CE61)*BN61),0)</f>
        <v>8445</v>
      </c>
      <c r="BO48" s="194">
        <f>ROUND(((B48/CE61)*BO61),0)</f>
        <v>931</v>
      </c>
      <c r="BP48" s="194">
        <f>ROUND(((B48/CE61)*BP61),0)</f>
        <v>983</v>
      </c>
      <c r="BQ48" s="194">
        <f>ROUND(((B48/CE61)*BQ61),0)</f>
        <v>570</v>
      </c>
      <c r="BR48" s="194">
        <f>ROUND(((B48/CE61)*BR61),0)</f>
        <v>3134</v>
      </c>
      <c r="BS48" s="194">
        <f>ROUND(((B48/CE61)*BS61),0)</f>
        <v>368</v>
      </c>
      <c r="BT48" s="194">
        <f>ROUND(((B48/CE61)*BT61),0)</f>
        <v>160</v>
      </c>
      <c r="BU48" s="194">
        <f>ROUND(((B48/CE61)*BU61),0)</f>
        <v>0</v>
      </c>
      <c r="BV48" s="194">
        <f>ROUND(((B48/CE61)*BV61),0)</f>
        <v>4719</v>
      </c>
      <c r="BW48" s="194">
        <f>ROUND(((B48/CE61)*BW61),0)</f>
        <v>1461</v>
      </c>
      <c r="BX48" s="194">
        <f>ROUND(((B48/CE61)*BX61),0)</f>
        <v>6926</v>
      </c>
      <c r="BY48" s="194">
        <f>ROUND(((B48/CE61)*BY61),0)</f>
        <v>2219</v>
      </c>
      <c r="BZ48" s="194">
        <f>ROUND(((B48/CE61)*BZ61),0)</f>
        <v>3990</v>
      </c>
      <c r="CA48" s="194">
        <f>ROUND(((B48/CE61)*CA61),0)</f>
        <v>961</v>
      </c>
      <c r="CB48" s="194">
        <f>ROUND(((B48/CE61)*CB61),0)</f>
        <v>5785</v>
      </c>
      <c r="CC48" s="194">
        <f>ROUND(((B48/CE61)*CC61),0)</f>
        <v>6942</v>
      </c>
      <c r="CD48" s="194"/>
      <c r="CE48" s="194">
        <f>SUM(C48:CD48)</f>
        <v>491354</v>
      </c>
    </row>
    <row r="49" spans="1:84" ht="12.6" customHeight="1" x14ac:dyDescent="0.25">
      <c r="A49" s="174" t="s">
        <v>206</v>
      </c>
      <c r="B49" s="194">
        <f>B47+B48</f>
        <v>491354.17000000004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4"/>
      <c r="CA49" s="194"/>
      <c r="CB49" s="194"/>
      <c r="CC49" s="194"/>
      <c r="CD49" s="194"/>
      <c r="CE49" s="194"/>
    </row>
    <row r="50" spans="1:84" ht="12.6" customHeight="1" x14ac:dyDescent="0.25">
      <c r="A50" s="174" t="s">
        <v>6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4"/>
      <c r="BZ50" s="194"/>
      <c r="CA50" s="194"/>
      <c r="CB50" s="194"/>
      <c r="CC50" s="194"/>
      <c r="CD50" s="194"/>
      <c r="CE50" s="194"/>
    </row>
    <row r="51" spans="1:84" ht="12.6" customHeight="1" x14ac:dyDescent="0.25">
      <c r="A51" s="170" t="s">
        <v>207</v>
      </c>
      <c r="B51" s="183"/>
      <c r="C51" s="183">
        <v>429750.73999999993</v>
      </c>
      <c r="D51" s="183">
        <v>1575197.32</v>
      </c>
      <c r="E51" s="183">
        <v>2298973.4299999997</v>
      </c>
      <c r="F51" s="183">
        <v>0</v>
      </c>
      <c r="G51" s="183">
        <v>101764.13</v>
      </c>
      <c r="H51" s="183"/>
      <c r="I51" s="183"/>
      <c r="J51" s="183"/>
      <c r="K51" s="183"/>
      <c r="L51" s="183"/>
      <c r="M51" s="183">
        <f>84313.37+11654.92</f>
        <v>95968.29</v>
      </c>
      <c r="N51" s="183">
        <v>6319.2</v>
      </c>
      <c r="O51" s="183">
        <v>885774.95000000007</v>
      </c>
      <c r="P51" s="183">
        <v>3127696.44</v>
      </c>
      <c r="Q51" s="183">
        <v>62588.200000000004</v>
      </c>
      <c r="R51" s="183">
        <v>148038.25</v>
      </c>
      <c r="S51" s="183">
        <v>453763.06000000006</v>
      </c>
      <c r="T51" s="183">
        <v>0</v>
      </c>
      <c r="U51" s="183">
        <v>605014.89</v>
      </c>
      <c r="V51" s="183">
        <v>15797.77</v>
      </c>
      <c r="W51" s="183">
        <v>210500.58000000002</v>
      </c>
      <c r="X51" s="183">
        <v>164523.69</v>
      </c>
      <c r="Y51" s="183">
        <v>2430216.2899999996</v>
      </c>
      <c r="Z51" s="183">
        <v>1426094.64</v>
      </c>
      <c r="AA51" s="183">
        <v>163066.53</v>
      </c>
      <c r="AB51" s="183">
        <v>199835.15999999997</v>
      </c>
      <c r="AC51" s="183">
        <v>99179.12</v>
      </c>
      <c r="AD51" s="183">
        <v>0</v>
      </c>
      <c r="AE51" s="183">
        <v>228439.42</v>
      </c>
      <c r="AF51" s="183"/>
      <c r="AG51" s="183">
        <v>864551.52</v>
      </c>
      <c r="AH51" s="183">
        <v>0</v>
      </c>
      <c r="AI51" s="183">
        <v>0</v>
      </c>
      <c r="AJ51" s="183">
        <v>3387940.4</v>
      </c>
      <c r="AK51" s="183"/>
      <c r="AL51" s="183"/>
      <c r="AM51" s="183"/>
      <c r="AN51" s="183"/>
      <c r="AO51" s="183"/>
      <c r="AP51" s="183">
        <v>2823425.61</v>
      </c>
      <c r="AQ51" s="183"/>
      <c r="AR51" s="183">
        <f>1423.5+100089.27</f>
        <v>101512.77</v>
      </c>
      <c r="AS51" s="183"/>
      <c r="AT51" s="183"/>
      <c r="AU51" s="183"/>
      <c r="AV51" s="183">
        <v>271857.90000000002</v>
      </c>
      <c r="AW51" s="183">
        <v>30206.71</v>
      </c>
      <c r="AX51" s="183">
        <v>0</v>
      </c>
      <c r="AY51" s="183"/>
      <c r="AZ51" s="183">
        <v>767044.22</v>
      </c>
      <c r="BA51" s="183">
        <v>8492.02</v>
      </c>
      <c r="BB51" s="183">
        <v>0</v>
      </c>
      <c r="BC51" s="183">
        <v>20785.28</v>
      </c>
      <c r="BD51" s="183">
        <v>77447.03</v>
      </c>
      <c r="BE51" s="183">
        <f>6253163.643+8576.81+125900.97+3599</f>
        <v>6391240.4229999995</v>
      </c>
      <c r="BF51" s="183">
        <v>47010.649999999994</v>
      </c>
      <c r="BG51" s="183">
        <v>24372.94</v>
      </c>
      <c r="BH51" s="183">
        <v>4495560.16</v>
      </c>
      <c r="BI51" s="183">
        <v>173619.47</v>
      </c>
      <c r="BJ51" s="183">
        <v>73563.23</v>
      </c>
      <c r="BK51" s="183">
        <v>135198.45000000001</v>
      </c>
      <c r="BL51" s="183">
        <v>29324.27</v>
      </c>
      <c r="BM51" s="183">
        <v>59503.19</v>
      </c>
      <c r="BN51" s="183">
        <v>225864.38</v>
      </c>
      <c r="BO51" s="183">
        <v>36911.919999999998</v>
      </c>
      <c r="BP51" s="183">
        <v>92707.209999999992</v>
      </c>
      <c r="BQ51" s="183">
        <v>4790.0599999999995</v>
      </c>
      <c r="BR51" s="183">
        <v>12458.98</v>
      </c>
      <c r="BS51" s="183">
        <v>17757.84</v>
      </c>
      <c r="BT51" s="183">
        <v>23471.670000000002</v>
      </c>
      <c r="BU51" s="183">
        <v>163</v>
      </c>
      <c r="BV51" s="183">
        <v>74171.64</v>
      </c>
      <c r="BW51" s="183">
        <v>25534.77</v>
      </c>
      <c r="BX51" s="183">
        <v>20728.400000000001</v>
      </c>
      <c r="BY51" s="183">
        <v>283714.12999999995</v>
      </c>
      <c r="BZ51" s="183">
        <v>11464.65</v>
      </c>
      <c r="CA51" s="183">
        <v>4538.9400000000005</v>
      </c>
      <c r="CB51" s="183">
        <v>88308.44</v>
      </c>
      <c r="CC51" s="183">
        <v>89265.939999999988</v>
      </c>
      <c r="CD51" s="194"/>
      <c r="CE51" s="194">
        <f>SUM(C51:CD51)</f>
        <v>35523010.313000001</v>
      </c>
    </row>
    <row r="52" spans="1:84" ht="12.6" customHeight="1" x14ac:dyDescent="0.25">
      <c r="A52" s="170" t="s">
        <v>208</v>
      </c>
      <c r="B52" s="183"/>
      <c r="C52" s="194">
        <f>ROUND((B52/(CE76+CF76)*C76),0)</f>
        <v>0</v>
      </c>
      <c r="D52" s="194">
        <f>ROUND((B52/(CE76+CF76)*D76),0)</f>
        <v>0</v>
      </c>
      <c r="E52" s="194">
        <f>ROUND((B52/(CE76+CF76)*E76),0)</f>
        <v>0</v>
      </c>
      <c r="F52" s="194">
        <f>ROUND((B52/(CE76+CF76)*F76),0)</f>
        <v>0</v>
      </c>
      <c r="G52" s="194">
        <f>ROUND((B52/(CE76+CF76)*G76),0)</f>
        <v>0</v>
      </c>
      <c r="H52" s="194">
        <f>ROUND((B52/(CE76+CF76)*H76),0)</f>
        <v>0</v>
      </c>
      <c r="I52" s="194">
        <f>ROUND((B52/(CE76+CF76)*I76),0)</f>
        <v>0</v>
      </c>
      <c r="J52" s="194">
        <f>ROUND((B52/(CE76+CF76)*J76),0)</f>
        <v>0</v>
      </c>
      <c r="K52" s="194">
        <f>ROUND((B52/(CE76+CF76)*K76),0)</f>
        <v>0</v>
      </c>
      <c r="L52" s="194">
        <f>ROUND((B52/(CE76+CF76)*L76),0)</f>
        <v>0</v>
      </c>
      <c r="M52" s="194">
        <f>ROUND((B52/(CE76+CF76)*M76),0)</f>
        <v>0</v>
      </c>
      <c r="N52" s="194">
        <f>ROUND((B52/(CE76+CF76)*N76),0)</f>
        <v>0</v>
      </c>
      <c r="O52" s="194">
        <f>ROUND((B52/(CE76+CF76)*O76),0)</f>
        <v>0</v>
      </c>
      <c r="P52" s="194">
        <f>ROUND((B52/(CE76+CF76)*P76),0)</f>
        <v>0</v>
      </c>
      <c r="Q52" s="194">
        <f>ROUND((B52/(CE76+CF76)*Q76),0)</f>
        <v>0</v>
      </c>
      <c r="R52" s="194">
        <f>ROUND((B52/(CE76+CF76)*R76),0)</f>
        <v>0</v>
      </c>
      <c r="S52" s="194">
        <f>ROUND((B52/(CE76+CF76)*S76),0)</f>
        <v>0</v>
      </c>
      <c r="T52" s="194">
        <f>ROUND((B52/(CE76+CF76)*T76),0)</f>
        <v>0</v>
      </c>
      <c r="U52" s="194">
        <f>ROUND((B52/(CE76+CF76)*U76),0)</f>
        <v>0</v>
      </c>
      <c r="V52" s="194">
        <f>ROUND((B52/(CE76+CF76)*V76),0)</f>
        <v>0</v>
      </c>
      <c r="W52" s="194">
        <f>ROUND((B52/(CE76+CF76)*W76),0)</f>
        <v>0</v>
      </c>
      <c r="X52" s="194">
        <f>ROUND((B52/(CE76+CF76)*X76),0)</f>
        <v>0</v>
      </c>
      <c r="Y52" s="194">
        <f>ROUND((B52/(CE76+CF76)*Y76),0)</f>
        <v>0</v>
      </c>
      <c r="Z52" s="194">
        <f>ROUND((B52/(CE76+CF76)*Z76),0)</f>
        <v>0</v>
      </c>
      <c r="AA52" s="194">
        <f>ROUND((B52/(CE76+CF76)*AA76),0)</f>
        <v>0</v>
      </c>
      <c r="AB52" s="194">
        <f>ROUND((B52/(CE76+CF76)*AB76),0)</f>
        <v>0</v>
      </c>
      <c r="AC52" s="194">
        <f>ROUND((B52/(CE76+CF76)*AC76),0)</f>
        <v>0</v>
      </c>
      <c r="AD52" s="194">
        <f>ROUND((B52/(CE76+CF76)*AD76),0)</f>
        <v>0</v>
      </c>
      <c r="AE52" s="194">
        <f>ROUND((B52/(CE76+CF76)*AE76),0)</f>
        <v>0</v>
      </c>
      <c r="AF52" s="194">
        <f>ROUND((B52/(CE76+CF76)*AF76),0)</f>
        <v>0</v>
      </c>
      <c r="AG52" s="194">
        <f>ROUND((B52/(CE76+CF76)*AG76),0)</f>
        <v>0</v>
      </c>
      <c r="AH52" s="194">
        <f>ROUND((B52/(CE76+CF76)*AH76),0)</f>
        <v>0</v>
      </c>
      <c r="AI52" s="194">
        <f>ROUND((B52/(CE76+CF76)*AI76),0)</f>
        <v>0</v>
      </c>
      <c r="AJ52" s="194">
        <f>ROUND((B52/(CE76+CF76)*AJ76),0)</f>
        <v>0</v>
      </c>
      <c r="AK52" s="194">
        <f>ROUND((B52/(CE76+CF76)*AK76),0)</f>
        <v>0</v>
      </c>
      <c r="AL52" s="194">
        <f>ROUND((B52/(CE76+CF76)*AL76),0)</f>
        <v>0</v>
      </c>
      <c r="AM52" s="194">
        <f>ROUND((B52/(CE76+CF76)*AM76),0)</f>
        <v>0</v>
      </c>
      <c r="AN52" s="194">
        <f>ROUND((B52/(CE76+CF76)*AN76),0)</f>
        <v>0</v>
      </c>
      <c r="AO52" s="194">
        <f>ROUND((B52/(CE76+CF76)*AO76),0)</f>
        <v>0</v>
      </c>
      <c r="AP52" s="194">
        <f>ROUND((B52/(CE76+CF76)*AP76),0)</f>
        <v>0</v>
      </c>
      <c r="AQ52" s="194">
        <f>ROUND((B52/(CE76+CF76)*AQ76),0)</f>
        <v>0</v>
      </c>
      <c r="AR52" s="194">
        <f>ROUND((B52/(CE76+CF76)*AR76),0)</f>
        <v>0</v>
      </c>
      <c r="AS52" s="194">
        <f>ROUND((B52/(CE76+CF76)*AS76),0)</f>
        <v>0</v>
      </c>
      <c r="AT52" s="194">
        <f>ROUND((B52/(CE76+CF76)*AT76),0)</f>
        <v>0</v>
      </c>
      <c r="AU52" s="194">
        <f>ROUND((B52/(CE76+CF76)*AU76),0)</f>
        <v>0</v>
      </c>
      <c r="AV52" s="194">
        <f>ROUND((B52/(CE76+CF76)*AV76),0)</f>
        <v>0</v>
      </c>
      <c r="AW52" s="194">
        <f>ROUND((B52/(CE76+CF76)*AW76),0)</f>
        <v>0</v>
      </c>
      <c r="AX52" s="194">
        <f>ROUND((B52/(CE76+CF76)*AX76),0)</f>
        <v>0</v>
      </c>
      <c r="AY52" s="194">
        <f>ROUND((B52/(CE76+CF76)*AY76),0)</f>
        <v>0</v>
      </c>
      <c r="AZ52" s="194">
        <f>ROUND((B52/(CE76+CF76)*AZ76),0)</f>
        <v>0</v>
      </c>
      <c r="BA52" s="194">
        <f>ROUND((B52/(CE76+CF76)*BA76),0)</f>
        <v>0</v>
      </c>
      <c r="BB52" s="194">
        <f>ROUND((B52/(CE76+CF76)*BB76),0)</f>
        <v>0</v>
      </c>
      <c r="BC52" s="194">
        <f>ROUND((B52/(CE76+CF76)*BC76),0)</f>
        <v>0</v>
      </c>
      <c r="BD52" s="194">
        <f>ROUND((B52/(CE76+CF76)*BD76),0)</f>
        <v>0</v>
      </c>
      <c r="BE52" s="194">
        <f>ROUND((B52/(CE76+CF76)*BE76),0)</f>
        <v>0</v>
      </c>
      <c r="BF52" s="194">
        <f>ROUND((B52/(CE76+CF76)*BF76),0)</f>
        <v>0</v>
      </c>
      <c r="BG52" s="194">
        <f>ROUND((B52/(CE76+CF76)*BG76),0)</f>
        <v>0</v>
      </c>
      <c r="BH52" s="194">
        <f>ROUND((B52/(CE76+CF76)*BH76),0)</f>
        <v>0</v>
      </c>
      <c r="BI52" s="194">
        <f>ROUND((B52/(CE76+CF76)*BI76),0)</f>
        <v>0</v>
      </c>
      <c r="BJ52" s="194">
        <f>ROUND((B52/(CE76+CF76)*BJ76),0)</f>
        <v>0</v>
      </c>
      <c r="BK52" s="194">
        <f>ROUND((B52/(CE76+CF76)*BK76),0)</f>
        <v>0</v>
      </c>
      <c r="BL52" s="194">
        <f>ROUND((B52/(CE76+CF76)*BL76),0)</f>
        <v>0</v>
      </c>
      <c r="BM52" s="194">
        <f>ROUND((B52/(CE76+CF76)*BM76),0)</f>
        <v>0</v>
      </c>
      <c r="BN52" s="194">
        <f>ROUND((B52/(CE76+CF76)*BN76),0)</f>
        <v>0</v>
      </c>
      <c r="BO52" s="194">
        <f>ROUND((B52/(CE76+CF76)*BO76),0)</f>
        <v>0</v>
      </c>
      <c r="BP52" s="194">
        <f>ROUND((B52/(CE76+CF76)*BP76),0)</f>
        <v>0</v>
      </c>
      <c r="BQ52" s="194">
        <f>ROUND((B52/(CE76+CF76)*BQ76),0)</f>
        <v>0</v>
      </c>
      <c r="BR52" s="194">
        <f>ROUND((B52/(CE76+CF76)*BR76),0)</f>
        <v>0</v>
      </c>
      <c r="BS52" s="194">
        <f>ROUND((B52/(CE76+CF76)*BS76),0)</f>
        <v>0</v>
      </c>
      <c r="BT52" s="194">
        <f>ROUND((B52/(CE76+CF76)*BT76),0)</f>
        <v>0</v>
      </c>
      <c r="BU52" s="194">
        <f>ROUND((B52/(CE76+CF76)*BU76),0)</f>
        <v>0</v>
      </c>
      <c r="BV52" s="194">
        <f>ROUND((B52/(CE76+CF76)*BV76),0)</f>
        <v>0</v>
      </c>
      <c r="BW52" s="194">
        <f>ROUND((B52/(CE76+CF76)*BW76),0)</f>
        <v>0</v>
      </c>
      <c r="BX52" s="194">
        <f>ROUND((B52/(CE76+CF76)*BX76),0)</f>
        <v>0</v>
      </c>
      <c r="BY52" s="194">
        <f>ROUND((B52/(CE76+CF76)*BY76),0)</f>
        <v>0</v>
      </c>
      <c r="BZ52" s="194">
        <f>ROUND((B52/(CE76+CF76)*BZ76),0)</f>
        <v>0</v>
      </c>
      <c r="CA52" s="194">
        <f>ROUND((B52/(CE76+CF76)*CA76),0)</f>
        <v>0</v>
      </c>
      <c r="CB52" s="194">
        <f>ROUND((B52/(CE76+CF76)*CB76),0)</f>
        <v>0</v>
      </c>
      <c r="CC52" s="194">
        <f>ROUND((B52/(CE76+CF76)*CC76),0)</f>
        <v>0</v>
      </c>
      <c r="CD52" s="194"/>
      <c r="CE52" s="194">
        <f>SUM(C52:CD52)</f>
        <v>0</v>
      </c>
    </row>
    <row r="53" spans="1:84" ht="12.6" customHeight="1" x14ac:dyDescent="0.25">
      <c r="A53" s="174" t="s">
        <v>206</v>
      </c>
      <c r="B53" s="194">
        <f>B51+B52</f>
        <v>0</v>
      </c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4"/>
      <c r="BQ53" s="194"/>
      <c r="BR53" s="194"/>
      <c r="BS53" s="194"/>
      <c r="BT53" s="194"/>
      <c r="BU53" s="194"/>
      <c r="BV53" s="194"/>
      <c r="BW53" s="194"/>
      <c r="BX53" s="194"/>
      <c r="BY53" s="194"/>
      <c r="BZ53" s="194"/>
      <c r="CA53" s="194"/>
      <c r="CB53" s="194"/>
      <c r="CC53" s="194"/>
      <c r="CD53" s="194"/>
      <c r="CE53" s="194"/>
    </row>
    <row r="54" spans="1:84" ht="15.75" customHeight="1" x14ac:dyDescent="0.25">
      <c r="A54" s="174"/>
      <c r="B54" s="174"/>
      <c r="C54" s="190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4"/>
      <c r="BR54" s="174"/>
      <c r="BS54" s="174"/>
      <c r="BT54" s="174"/>
      <c r="BU54" s="174"/>
      <c r="BV54" s="174"/>
      <c r="BW54" s="174"/>
      <c r="BX54" s="174"/>
      <c r="BY54" s="174"/>
      <c r="BZ54" s="174"/>
      <c r="CA54" s="174"/>
      <c r="CB54" s="174"/>
      <c r="CC54" s="174"/>
      <c r="CD54" s="174"/>
      <c r="CE54" s="174"/>
    </row>
    <row r="55" spans="1:84" ht="12.6" customHeight="1" x14ac:dyDescent="0.25">
      <c r="A55" s="170" t="s">
        <v>209</v>
      </c>
      <c r="B55" s="174"/>
      <c r="C55" s="181" t="s">
        <v>10</v>
      </c>
      <c r="D55" s="169" t="s">
        <v>11</v>
      </c>
      <c r="E55" s="169" t="s">
        <v>12</v>
      </c>
      <c r="F55" s="169" t="s">
        <v>13</v>
      </c>
      <c r="G55" s="169" t="s">
        <v>14</v>
      </c>
      <c r="H55" s="169" t="s">
        <v>15</v>
      </c>
      <c r="I55" s="169" t="s">
        <v>16</v>
      </c>
      <c r="J55" s="169" t="s">
        <v>17</v>
      </c>
      <c r="K55" s="169" t="s">
        <v>18</v>
      </c>
      <c r="L55" s="169" t="s">
        <v>19</v>
      </c>
      <c r="M55" s="169" t="s">
        <v>20</v>
      </c>
      <c r="N55" s="169" t="s">
        <v>21</v>
      </c>
      <c r="O55" s="169" t="s">
        <v>22</v>
      </c>
      <c r="P55" s="169" t="s">
        <v>23</v>
      </c>
      <c r="Q55" s="169" t="s">
        <v>24</v>
      </c>
      <c r="R55" s="169" t="s">
        <v>25</v>
      </c>
      <c r="S55" s="169" t="s">
        <v>26</v>
      </c>
      <c r="T55" s="245" t="s">
        <v>27</v>
      </c>
      <c r="U55" s="169" t="s">
        <v>28</v>
      </c>
      <c r="V55" s="169" t="s">
        <v>29</v>
      </c>
      <c r="W55" s="169" t="s">
        <v>30</v>
      </c>
      <c r="X55" s="169" t="s">
        <v>31</v>
      </c>
      <c r="Y55" s="169" t="s">
        <v>32</v>
      </c>
      <c r="Z55" s="169" t="s">
        <v>33</v>
      </c>
      <c r="AA55" s="169" t="s">
        <v>34</v>
      </c>
      <c r="AB55" s="169" t="s">
        <v>35</v>
      </c>
      <c r="AC55" s="169" t="s">
        <v>36</v>
      </c>
      <c r="AD55" s="169" t="s">
        <v>37</v>
      </c>
      <c r="AE55" s="169" t="s">
        <v>38</v>
      </c>
      <c r="AF55" s="169" t="s">
        <v>39</v>
      </c>
      <c r="AG55" s="169" t="s">
        <v>40</v>
      </c>
      <c r="AH55" s="169" t="s">
        <v>41</v>
      </c>
      <c r="AI55" s="169" t="s">
        <v>42</v>
      </c>
      <c r="AJ55" s="169" t="s">
        <v>43</v>
      </c>
      <c r="AK55" s="169" t="s">
        <v>44</v>
      </c>
      <c r="AL55" s="169" t="s">
        <v>45</v>
      </c>
      <c r="AM55" s="169" t="s">
        <v>46</v>
      </c>
      <c r="AN55" s="169" t="s">
        <v>47</v>
      </c>
      <c r="AO55" s="169" t="s">
        <v>48</v>
      </c>
      <c r="AP55" s="169" t="s">
        <v>49</v>
      </c>
      <c r="AQ55" s="169" t="s">
        <v>50</v>
      </c>
      <c r="AR55" s="169" t="s">
        <v>51</v>
      </c>
      <c r="AS55" s="169" t="s">
        <v>52</v>
      </c>
      <c r="AT55" s="169" t="s">
        <v>53</v>
      </c>
      <c r="AU55" s="169" t="s">
        <v>54</v>
      </c>
      <c r="AV55" s="169" t="s">
        <v>55</v>
      </c>
      <c r="AW55" s="169" t="s">
        <v>56</v>
      </c>
      <c r="AX55" s="169" t="s">
        <v>57</v>
      </c>
      <c r="AY55" s="169" t="s">
        <v>58</v>
      </c>
      <c r="AZ55" s="169" t="s">
        <v>59</v>
      </c>
      <c r="BA55" s="169" t="s">
        <v>60</v>
      </c>
      <c r="BB55" s="169" t="s">
        <v>61</v>
      </c>
      <c r="BC55" s="169" t="s">
        <v>62</v>
      </c>
      <c r="BD55" s="169" t="s">
        <v>63</v>
      </c>
      <c r="BE55" s="169" t="s">
        <v>64</v>
      </c>
      <c r="BF55" s="169" t="s">
        <v>65</v>
      </c>
      <c r="BG55" s="169" t="s">
        <v>66</v>
      </c>
      <c r="BH55" s="169" t="s">
        <v>67</v>
      </c>
      <c r="BI55" s="169" t="s">
        <v>68</v>
      </c>
      <c r="BJ55" s="169" t="s">
        <v>69</v>
      </c>
      <c r="BK55" s="169" t="s">
        <v>70</v>
      </c>
      <c r="BL55" s="169" t="s">
        <v>71</v>
      </c>
      <c r="BM55" s="169" t="s">
        <v>72</v>
      </c>
      <c r="BN55" s="169" t="s">
        <v>73</v>
      </c>
      <c r="BO55" s="169" t="s">
        <v>74</v>
      </c>
      <c r="BP55" s="169" t="s">
        <v>75</v>
      </c>
      <c r="BQ55" s="169" t="s">
        <v>76</v>
      </c>
      <c r="BR55" s="169" t="s">
        <v>77</v>
      </c>
      <c r="BS55" s="169" t="s">
        <v>78</v>
      </c>
      <c r="BT55" s="169" t="s">
        <v>79</v>
      </c>
      <c r="BU55" s="169" t="s">
        <v>80</v>
      </c>
      <c r="BV55" s="169" t="s">
        <v>81</v>
      </c>
      <c r="BW55" s="169" t="s">
        <v>82</v>
      </c>
      <c r="BX55" s="169" t="s">
        <v>83</v>
      </c>
      <c r="BY55" s="169" t="s">
        <v>84</v>
      </c>
      <c r="BZ55" s="169" t="s">
        <v>85</v>
      </c>
      <c r="CA55" s="169" t="s">
        <v>86</v>
      </c>
      <c r="CB55" s="169" t="s">
        <v>87</v>
      </c>
      <c r="CC55" s="169" t="s">
        <v>88</v>
      </c>
      <c r="CD55" s="169" t="s">
        <v>89</v>
      </c>
      <c r="CE55" s="169" t="s">
        <v>90</v>
      </c>
    </row>
    <row r="56" spans="1:84" ht="12.6" customHeight="1" x14ac:dyDescent="0.25">
      <c r="A56" s="170" t="s">
        <v>210</v>
      </c>
      <c r="B56" s="174"/>
      <c r="C56" s="181" t="s">
        <v>92</v>
      </c>
      <c r="D56" s="169" t="s">
        <v>93</v>
      </c>
      <c r="E56" s="169" t="s">
        <v>94</v>
      </c>
      <c r="F56" s="169" t="s">
        <v>95</v>
      </c>
      <c r="G56" s="169" t="s">
        <v>96</v>
      </c>
      <c r="H56" s="169" t="s">
        <v>97</v>
      </c>
      <c r="I56" s="169" t="s">
        <v>98</v>
      </c>
      <c r="J56" s="169" t="s">
        <v>99</v>
      </c>
      <c r="K56" s="169" t="s">
        <v>100</v>
      </c>
      <c r="L56" s="169" t="s">
        <v>101</v>
      </c>
      <c r="M56" s="169" t="s">
        <v>102</v>
      </c>
      <c r="N56" s="169" t="s">
        <v>103</v>
      </c>
      <c r="O56" s="169" t="s">
        <v>104</v>
      </c>
      <c r="P56" s="169" t="s">
        <v>105</v>
      </c>
      <c r="Q56" s="169" t="s">
        <v>106</v>
      </c>
      <c r="R56" s="169" t="s">
        <v>107</v>
      </c>
      <c r="S56" s="169" t="s">
        <v>108</v>
      </c>
      <c r="T56" s="169" t="s">
        <v>1194</v>
      </c>
      <c r="U56" s="169" t="s">
        <v>109</v>
      </c>
      <c r="V56" s="169" t="s">
        <v>110</v>
      </c>
      <c r="W56" s="169" t="s">
        <v>111</v>
      </c>
      <c r="X56" s="169" t="s">
        <v>112</v>
      </c>
      <c r="Y56" s="169" t="s">
        <v>113</v>
      </c>
      <c r="Z56" s="169" t="s">
        <v>113</v>
      </c>
      <c r="AA56" s="169" t="s">
        <v>114</v>
      </c>
      <c r="AB56" s="169" t="s">
        <v>115</v>
      </c>
      <c r="AC56" s="169" t="s">
        <v>116</v>
      </c>
      <c r="AD56" s="169" t="s">
        <v>117</v>
      </c>
      <c r="AE56" s="169" t="s">
        <v>96</v>
      </c>
      <c r="AF56" s="169" t="s">
        <v>97</v>
      </c>
      <c r="AG56" s="169" t="s">
        <v>118</v>
      </c>
      <c r="AH56" s="169" t="s">
        <v>119</v>
      </c>
      <c r="AI56" s="169" t="s">
        <v>120</v>
      </c>
      <c r="AJ56" s="169" t="s">
        <v>121</v>
      </c>
      <c r="AK56" s="169" t="s">
        <v>122</v>
      </c>
      <c r="AL56" s="169" t="s">
        <v>123</v>
      </c>
      <c r="AM56" s="169" t="s">
        <v>124</v>
      </c>
      <c r="AN56" s="169" t="s">
        <v>110</v>
      </c>
      <c r="AO56" s="169" t="s">
        <v>125</v>
      </c>
      <c r="AP56" s="169" t="s">
        <v>126</v>
      </c>
      <c r="AQ56" s="169" t="s">
        <v>127</v>
      </c>
      <c r="AR56" s="169" t="s">
        <v>128</v>
      </c>
      <c r="AS56" s="169" t="s">
        <v>129</v>
      </c>
      <c r="AT56" s="169" t="s">
        <v>130</v>
      </c>
      <c r="AU56" s="169" t="s">
        <v>131</v>
      </c>
      <c r="AV56" s="169" t="s">
        <v>132</v>
      </c>
      <c r="AW56" s="169" t="s">
        <v>133</v>
      </c>
      <c r="AX56" s="169" t="s">
        <v>134</v>
      </c>
      <c r="AY56" s="169" t="s">
        <v>135</v>
      </c>
      <c r="AZ56" s="169" t="s">
        <v>136</v>
      </c>
      <c r="BA56" s="169" t="s">
        <v>137</v>
      </c>
      <c r="BB56" s="169" t="s">
        <v>138</v>
      </c>
      <c r="BC56" s="169" t="s">
        <v>108</v>
      </c>
      <c r="BD56" s="169" t="s">
        <v>139</v>
      </c>
      <c r="BE56" s="169" t="s">
        <v>140</v>
      </c>
      <c r="BF56" s="169" t="s">
        <v>141</v>
      </c>
      <c r="BG56" s="169" t="s">
        <v>142</v>
      </c>
      <c r="BH56" s="169" t="s">
        <v>143</v>
      </c>
      <c r="BI56" s="169" t="s">
        <v>144</v>
      </c>
      <c r="BJ56" s="169" t="s">
        <v>145</v>
      </c>
      <c r="BK56" s="169" t="s">
        <v>146</v>
      </c>
      <c r="BL56" s="169" t="s">
        <v>147</v>
      </c>
      <c r="BM56" s="169" t="s">
        <v>132</v>
      </c>
      <c r="BN56" s="169" t="s">
        <v>148</v>
      </c>
      <c r="BO56" s="169" t="s">
        <v>149</v>
      </c>
      <c r="BP56" s="169" t="s">
        <v>150</v>
      </c>
      <c r="BQ56" s="169" t="s">
        <v>151</v>
      </c>
      <c r="BR56" s="169" t="s">
        <v>152</v>
      </c>
      <c r="BS56" s="169" t="s">
        <v>153</v>
      </c>
      <c r="BT56" s="169" t="s">
        <v>154</v>
      </c>
      <c r="BU56" s="169" t="s">
        <v>155</v>
      </c>
      <c r="BV56" s="169" t="s">
        <v>155</v>
      </c>
      <c r="BW56" s="169" t="s">
        <v>155</v>
      </c>
      <c r="BX56" s="169" t="s">
        <v>156</v>
      </c>
      <c r="BY56" s="169" t="s">
        <v>157</v>
      </c>
      <c r="BZ56" s="169" t="s">
        <v>158</v>
      </c>
      <c r="CA56" s="169" t="s">
        <v>159</v>
      </c>
      <c r="CB56" s="169" t="s">
        <v>160</v>
      </c>
      <c r="CC56" s="169" t="s">
        <v>132</v>
      </c>
      <c r="CD56" s="169" t="s">
        <v>211</v>
      </c>
      <c r="CE56" s="169" t="s">
        <v>161</v>
      </c>
    </row>
    <row r="57" spans="1:84" ht="12.6" customHeight="1" x14ac:dyDescent="0.25">
      <c r="A57" s="170" t="s">
        <v>212</v>
      </c>
      <c r="B57" s="174"/>
      <c r="C57" s="181" t="s">
        <v>163</v>
      </c>
      <c r="D57" s="169" t="s">
        <v>163</v>
      </c>
      <c r="E57" s="169" t="s">
        <v>163</v>
      </c>
      <c r="F57" s="169" t="s">
        <v>164</v>
      </c>
      <c r="G57" s="169" t="s">
        <v>165</v>
      </c>
      <c r="H57" s="169" t="s">
        <v>163</v>
      </c>
      <c r="I57" s="169" t="s">
        <v>166</v>
      </c>
      <c r="J57" s="169"/>
      <c r="K57" s="169" t="s">
        <v>157</v>
      </c>
      <c r="L57" s="169" t="s">
        <v>167</v>
      </c>
      <c r="M57" s="169" t="s">
        <v>168</v>
      </c>
      <c r="N57" s="169" t="s">
        <v>169</v>
      </c>
      <c r="O57" s="169" t="s">
        <v>170</v>
      </c>
      <c r="P57" s="169" t="s">
        <v>169</v>
      </c>
      <c r="Q57" s="169" t="s">
        <v>171</v>
      </c>
      <c r="R57" s="169"/>
      <c r="S57" s="169" t="s">
        <v>169</v>
      </c>
      <c r="T57" s="169" t="s">
        <v>172</v>
      </c>
      <c r="U57" s="169"/>
      <c r="V57" s="169" t="s">
        <v>173</v>
      </c>
      <c r="W57" s="169" t="s">
        <v>174</v>
      </c>
      <c r="X57" s="169" t="s">
        <v>175</v>
      </c>
      <c r="Y57" s="169" t="s">
        <v>176</v>
      </c>
      <c r="Z57" s="169" t="s">
        <v>177</v>
      </c>
      <c r="AA57" s="169" t="s">
        <v>178</v>
      </c>
      <c r="AB57" s="169"/>
      <c r="AC57" s="169" t="s">
        <v>172</v>
      </c>
      <c r="AD57" s="169"/>
      <c r="AE57" s="169" t="s">
        <v>172</v>
      </c>
      <c r="AF57" s="169" t="s">
        <v>179</v>
      </c>
      <c r="AG57" s="169" t="s">
        <v>171</v>
      </c>
      <c r="AH57" s="169"/>
      <c r="AI57" s="169" t="s">
        <v>180</v>
      </c>
      <c r="AJ57" s="169"/>
      <c r="AK57" s="169" t="s">
        <v>172</v>
      </c>
      <c r="AL57" s="169" t="s">
        <v>172</v>
      </c>
      <c r="AM57" s="169" t="s">
        <v>172</v>
      </c>
      <c r="AN57" s="169" t="s">
        <v>181</v>
      </c>
      <c r="AO57" s="169" t="s">
        <v>182</v>
      </c>
      <c r="AP57" s="169" t="s">
        <v>121</v>
      </c>
      <c r="AQ57" s="169" t="s">
        <v>183</v>
      </c>
      <c r="AR57" s="169" t="s">
        <v>169</v>
      </c>
      <c r="AS57" s="169"/>
      <c r="AT57" s="169" t="s">
        <v>184</v>
      </c>
      <c r="AU57" s="169" t="s">
        <v>185</v>
      </c>
      <c r="AV57" s="169" t="s">
        <v>186</v>
      </c>
      <c r="AW57" s="169" t="s">
        <v>187</v>
      </c>
      <c r="AX57" s="169" t="s">
        <v>188</v>
      </c>
      <c r="AY57" s="169"/>
      <c r="AZ57" s="169"/>
      <c r="BA57" s="169" t="s">
        <v>189</v>
      </c>
      <c r="BB57" s="169" t="s">
        <v>169</v>
      </c>
      <c r="BC57" s="169" t="s">
        <v>183</v>
      </c>
      <c r="BD57" s="169"/>
      <c r="BE57" s="169"/>
      <c r="BF57" s="169"/>
      <c r="BG57" s="169"/>
      <c r="BH57" s="169" t="s">
        <v>190</v>
      </c>
      <c r="BI57" s="169" t="s">
        <v>169</v>
      </c>
      <c r="BJ57" s="169"/>
      <c r="BK57" s="169" t="s">
        <v>191</v>
      </c>
      <c r="BL57" s="169"/>
      <c r="BM57" s="169" t="s">
        <v>192</v>
      </c>
      <c r="BN57" s="169" t="s">
        <v>193</v>
      </c>
      <c r="BO57" s="169" t="s">
        <v>194</v>
      </c>
      <c r="BP57" s="169" t="s">
        <v>195</v>
      </c>
      <c r="BQ57" s="169" t="s">
        <v>196</v>
      </c>
      <c r="BR57" s="169"/>
      <c r="BS57" s="169" t="s">
        <v>197</v>
      </c>
      <c r="BT57" s="169" t="s">
        <v>169</v>
      </c>
      <c r="BU57" s="169" t="s">
        <v>198</v>
      </c>
      <c r="BV57" s="169" t="s">
        <v>199</v>
      </c>
      <c r="BW57" s="169" t="s">
        <v>200</v>
      </c>
      <c r="BX57" s="169" t="s">
        <v>151</v>
      </c>
      <c r="BY57" s="169" t="s">
        <v>193</v>
      </c>
      <c r="BZ57" s="169" t="s">
        <v>152</v>
      </c>
      <c r="CA57" s="169" t="s">
        <v>201</v>
      </c>
      <c r="CB57" s="169" t="s">
        <v>201</v>
      </c>
      <c r="CC57" s="169" t="s">
        <v>202</v>
      </c>
      <c r="CD57" s="169" t="s">
        <v>213</v>
      </c>
      <c r="CE57" s="169" t="s">
        <v>203</v>
      </c>
    </row>
    <row r="58" spans="1:84" ht="12.6" customHeight="1" x14ac:dyDescent="0.25">
      <c r="A58" s="170" t="s">
        <v>214</v>
      </c>
      <c r="B58" s="174"/>
      <c r="C58" s="181" t="s">
        <v>215</v>
      </c>
      <c r="D58" s="169" t="s">
        <v>215</v>
      </c>
      <c r="E58" s="169" t="s">
        <v>215</v>
      </c>
      <c r="F58" s="169" t="s">
        <v>215</v>
      </c>
      <c r="G58" s="169" t="s">
        <v>215</v>
      </c>
      <c r="H58" s="169" t="s">
        <v>215</v>
      </c>
      <c r="I58" s="169" t="s">
        <v>215</v>
      </c>
      <c r="J58" s="169" t="s">
        <v>216</v>
      </c>
      <c r="K58" s="169" t="s">
        <v>215</v>
      </c>
      <c r="L58" s="169" t="s">
        <v>215</v>
      </c>
      <c r="M58" s="169" t="s">
        <v>215</v>
      </c>
      <c r="N58" s="169" t="s">
        <v>215</v>
      </c>
      <c r="O58" s="169" t="s">
        <v>217</v>
      </c>
      <c r="P58" s="169" t="s">
        <v>218</v>
      </c>
      <c r="Q58" s="169" t="s">
        <v>219</v>
      </c>
      <c r="R58" s="243" t="s">
        <v>220</v>
      </c>
      <c r="S58" s="246" t="s">
        <v>221</v>
      </c>
      <c r="T58" s="246" t="s">
        <v>221</v>
      </c>
      <c r="U58" s="169" t="s">
        <v>222</v>
      </c>
      <c r="V58" s="169" t="s">
        <v>222</v>
      </c>
      <c r="W58" s="169" t="s">
        <v>223</v>
      </c>
      <c r="X58" s="169" t="s">
        <v>224</v>
      </c>
      <c r="Y58" s="169" t="s">
        <v>225</v>
      </c>
      <c r="Z58" s="169" t="s">
        <v>225</v>
      </c>
      <c r="AA58" s="169" t="s">
        <v>225</v>
      </c>
      <c r="AB58" s="246" t="s">
        <v>221</v>
      </c>
      <c r="AC58" s="169" t="s">
        <v>226</v>
      </c>
      <c r="AD58" s="169" t="s">
        <v>227</v>
      </c>
      <c r="AE58" s="169" t="s">
        <v>226</v>
      </c>
      <c r="AF58" s="169" t="s">
        <v>228</v>
      </c>
      <c r="AG58" s="169" t="s">
        <v>228</v>
      </c>
      <c r="AH58" s="169" t="s">
        <v>229</v>
      </c>
      <c r="AI58" s="169" t="s">
        <v>230</v>
      </c>
      <c r="AJ58" s="169" t="s">
        <v>228</v>
      </c>
      <c r="AK58" s="169" t="s">
        <v>226</v>
      </c>
      <c r="AL58" s="169" t="s">
        <v>226</v>
      </c>
      <c r="AM58" s="169" t="s">
        <v>226</v>
      </c>
      <c r="AN58" s="169" t="s">
        <v>217</v>
      </c>
      <c r="AO58" s="169" t="s">
        <v>227</v>
      </c>
      <c r="AP58" s="169" t="s">
        <v>228</v>
      </c>
      <c r="AQ58" s="169" t="s">
        <v>229</v>
      </c>
      <c r="AR58" s="169" t="s">
        <v>228</v>
      </c>
      <c r="AS58" s="169" t="s">
        <v>226</v>
      </c>
      <c r="AT58" s="169" t="s">
        <v>1212</v>
      </c>
      <c r="AU58" s="169" t="s">
        <v>228</v>
      </c>
      <c r="AV58" s="246" t="s">
        <v>221</v>
      </c>
      <c r="AW58" s="246" t="s">
        <v>221</v>
      </c>
      <c r="AX58" s="246" t="s">
        <v>221</v>
      </c>
      <c r="AY58" s="169" t="s">
        <v>231</v>
      </c>
      <c r="AZ58" s="169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69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0" t="s">
        <v>233</v>
      </c>
      <c r="B59" s="174"/>
      <c r="C59" s="183">
        <v>4913</v>
      </c>
      <c r="D59" s="183">
        <v>9676</v>
      </c>
      <c r="E59" s="183">
        <v>33334</v>
      </c>
      <c r="F59" s="183"/>
      <c r="G59" s="183">
        <v>3183</v>
      </c>
      <c r="H59" s="183"/>
      <c r="I59" s="183"/>
      <c r="J59" s="183"/>
      <c r="K59" s="183"/>
      <c r="L59" s="183"/>
      <c r="M59" s="183">
        <v>3828</v>
      </c>
      <c r="N59" s="183"/>
      <c r="O59" s="183">
        <v>4552</v>
      </c>
      <c r="P59" s="184">
        <v>908664</v>
      </c>
      <c r="Q59" s="184">
        <v>1509023</v>
      </c>
      <c r="R59" s="184">
        <v>947293</v>
      </c>
      <c r="S59" s="247"/>
      <c r="T59" s="247"/>
      <c r="U59" s="223">
        <v>804851</v>
      </c>
      <c r="V59" s="184"/>
      <c r="W59" s="184">
        <v>35394.33</v>
      </c>
      <c r="X59" s="184">
        <v>130386.44</v>
      </c>
      <c r="Y59" s="184">
        <v>356012.05</v>
      </c>
      <c r="Z59" s="184">
        <v>52817.56</v>
      </c>
      <c r="AA59" s="184">
        <v>14083.609999999999</v>
      </c>
      <c r="AB59" s="247"/>
      <c r="AC59" s="184">
        <v>27204.33</v>
      </c>
      <c r="AD59" s="184"/>
      <c r="AE59" s="184">
        <v>83563.179999999993</v>
      </c>
      <c r="AF59" s="184"/>
      <c r="AG59" s="184">
        <v>57153</v>
      </c>
      <c r="AH59" s="184"/>
      <c r="AI59" s="184"/>
      <c r="AJ59" s="184">
        <v>274894</v>
      </c>
      <c r="AK59" s="184"/>
      <c r="AL59" s="184"/>
      <c r="AM59" s="184"/>
      <c r="AN59" s="184"/>
      <c r="AO59" s="184"/>
      <c r="AP59" s="184">
        <v>328699</v>
      </c>
      <c r="AQ59" s="184"/>
      <c r="AR59" s="184"/>
      <c r="AS59" s="184"/>
      <c r="AT59" s="184"/>
      <c r="AU59" s="184"/>
      <c r="AV59" s="247"/>
      <c r="AW59" s="247"/>
      <c r="AX59" s="247"/>
      <c r="AY59" s="184"/>
      <c r="AZ59" s="184">
        <v>795431.23</v>
      </c>
      <c r="BA59" s="247"/>
      <c r="BB59" s="247"/>
      <c r="BC59" s="247"/>
      <c r="BD59" s="247"/>
      <c r="BE59" s="184">
        <v>782365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4"/>
    </row>
    <row r="60" spans="1:84" ht="12.6" customHeight="1" x14ac:dyDescent="0.25">
      <c r="A60" s="249" t="s">
        <v>234</v>
      </c>
      <c r="B60" s="174"/>
      <c r="C60" s="185">
        <v>138.44870673076923</v>
      </c>
      <c r="D60" s="186">
        <v>73.214711538461557</v>
      </c>
      <c r="E60" s="186">
        <v>240.19260576923074</v>
      </c>
      <c r="F60" s="222">
        <v>0</v>
      </c>
      <c r="G60" s="186">
        <v>17.238783653846152</v>
      </c>
      <c r="H60" s="186"/>
      <c r="I60" s="186"/>
      <c r="J60" s="222"/>
      <c r="K60" s="186"/>
      <c r="L60" s="186"/>
      <c r="M60" s="186">
        <f>37.1602451923077+9.16</f>
        <v>46.320245192307695</v>
      </c>
      <c r="N60" s="186">
        <v>44.300591346153844</v>
      </c>
      <c r="O60" s="186">
        <v>180.45926442307692</v>
      </c>
      <c r="P60" s="220">
        <v>148.34665865384613</v>
      </c>
      <c r="Q60" s="220">
        <v>34.646019230769234</v>
      </c>
      <c r="R60" s="220">
        <v>7.1826634615384615</v>
      </c>
      <c r="S60" s="220">
        <v>20.462519230769235</v>
      </c>
      <c r="T60" s="220">
        <v>0</v>
      </c>
      <c r="U60" s="220">
        <v>77.483875000000012</v>
      </c>
      <c r="V60" s="220">
        <v>2.5390048076923075</v>
      </c>
      <c r="W60" s="220">
        <v>7.2128317307692305</v>
      </c>
      <c r="X60" s="220">
        <v>14.294057692307693</v>
      </c>
      <c r="Y60" s="220">
        <v>132.59100961538462</v>
      </c>
      <c r="Z60" s="220">
        <v>20.30889423076923</v>
      </c>
      <c r="AA60" s="220">
        <v>3.1434278846153845</v>
      </c>
      <c r="AB60" s="220">
        <v>54.456086538461541</v>
      </c>
      <c r="AC60" s="220">
        <v>23.373086538461536</v>
      </c>
      <c r="AD60" s="220">
        <v>0</v>
      </c>
      <c r="AE60" s="220">
        <v>62.279850961538457</v>
      </c>
      <c r="AF60" s="220"/>
      <c r="AG60" s="220">
        <v>115.31404326923078</v>
      </c>
      <c r="AH60" s="220"/>
      <c r="AI60" s="220"/>
      <c r="AJ60" s="220">
        <v>478.13485096153846</v>
      </c>
      <c r="AK60" s="220"/>
      <c r="AL60" s="220"/>
      <c r="AM60" s="220"/>
      <c r="AN60" s="220"/>
      <c r="AO60" s="220"/>
      <c r="AP60" s="220">
        <v>382.80062019230769</v>
      </c>
      <c r="AQ60" s="220"/>
      <c r="AR60" s="220">
        <f>365.127269230769+78.7</f>
        <v>443.82726923076899</v>
      </c>
      <c r="AS60" s="220"/>
      <c r="AT60" s="220"/>
      <c r="AU60" s="220"/>
      <c r="AV60" s="220">
        <v>23.373355769230766</v>
      </c>
      <c r="AW60" s="220">
        <v>10.74773076923077</v>
      </c>
      <c r="AX60" s="220">
        <v>1.9350961538461539E-2</v>
      </c>
      <c r="AY60" s="220"/>
      <c r="AZ60" s="220">
        <v>64.099437500000008</v>
      </c>
      <c r="BA60" s="220">
        <v>5.6578557692307694</v>
      </c>
      <c r="BB60" s="220">
        <v>0</v>
      </c>
      <c r="BC60" s="220">
        <v>7.1694182692307686</v>
      </c>
      <c r="BD60" s="220">
        <v>33.097125000000005</v>
      </c>
      <c r="BE60" s="220">
        <v>46.672697115384608</v>
      </c>
      <c r="BF60" s="220">
        <v>100.92447115384617</v>
      </c>
      <c r="BG60" s="220">
        <v>19.892105769230771</v>
      </c>
      <c r="BH60" s="220">
        <v>96.049288461538467</v>
      </c>
      <c r="BI60" s="220">
        <v>18.307504807692307</v>
      </c>
      <c r="BJ60" s="220">
        <v>17.856812500000004</v>
      </c>
      <c r="BK60" s="220">
        <v>93.38579326923076</v>
      </c>
      <c r="BL60" s="220">
        <v>67.692423076923077</v>
      </c>
      <c r="BM60" s="220">
        <v>24.102009615384617</v>
      </c>
      <c r="BN60" s="220">
        <v>24.263903846153845</v>
      </c>
      <c r="BO60" s="220">
        <v>6.7150528846153845</v>
      </c>
      <c r="BP60" s="220">
        <v>7.7197500000000003</v>
      </c>
      <c r="BQ60" s="220">
        <v>3.4907115384615386</v>
      </c>
      <c r="BR60" s="220">
        <v>25.748423076923078</v>
      </c>
      <c r="BS60" s="220">
        <v>4.6359038461538464</v>
      </c>
      <c r="BT60" s="220">
        <v>1.8753798076923076</v>
      </c>
      <c r="BU60" s="220">
        <v>0</v>
      </c>
      <c r="BV60" s="220">
        <v>56.269466346153848</v>
      </c>
      <c r="BW60" s="220">
        <v>6.5753894230769241</v>
      </c>
      <c r="BX60" s="220">
        <v>49.80228846153846</v>
      </c>
      <c r="BY60" s="220">
        <v>16.693725961538462</v>
      </c>
      <c r="BZ60" s="220">
        <v>39.983149038461541</v>
      </c>
      <c r="CA60" s="220">
        <v>8.1659567307692296</v>
      </c>
      <c r="CB60" s="220">
        <v>62.042774038461538</v>
      </c>
      <c r="CC60" s="220">
        <v>39.191312500000002</v>
      </c>
      <c r="CD60" s="248" t="s">
        <v>221</v>
      </c>
      <c r="CE60" s="250">
        <f t="shared" ref="CE60:CE70" si="0">SUM(C60:CD60)</f>
        <v>3750.7922451923091</v>
      </c>
    </row>
    <row r="61" spans="1:84" ht="12.6" customHeight="1" x14ac:dyDescent="0.25">
      <c r="A61" s="170" t="s">
        <v>235</v>
      </c>
      <c r="B61" s="174"/>
      <c r="C61" s="183">
        <v>13823634.804999998</v>
      </c>
      <c r="D61" s="183">
        <v>6801114.7800000003</v>
      </c>
      <c r="E61" s="183">
        <v>19752240.844999999</v>
      </c>
      <c r="F61" s="184">
        <v>0</v>
      </c>
      <c r="G61" s="183">
        <v>1602209.6899999997</v>
      </c>
      <c r="H61" s="183"/>
      <c r="I61" s="184"/>
      <c r="J61" s="184"/>
      <c r="K61" s="184"/>
      <c r="L61" s="184"/>
      <c r="M61" s="183">
        <f>3787666.43+760931.5</f>
        <v>4548597.93</v>
      </c>
      <c r="N61" s="183">
        <v>12959393.320000002</v>
      </c>
      <c r="O61" s="183">
        <v>17454935.34</v>
      </c>
      <c r="P61" s="184">
        <v>13056361.405000001</v>
      </c>
      <c r="Q61" s="184">
        <v>3905750.2100000004</v>
      </c>
      <c r="R61" s="184">
        <v>600332.03999999992</v>
      </c>
      <c r="S61" s="184">
        <v>1083661.83</v>
      </c>
      <c r="T61" s="184">
        <v>0</v>
      </c>
      <c r="U61" s="184">
        <v>5395156.6399999987</v>
      </c>
      <c r="V61" s="184">
        <v>142014.87999999998</v>
      </c>
      <c r="W61" s="184">
        <v>743630.63500000001</v>
      </c>
      <c r="X61" s="184">
        <v>1233974.78</v>
      </c>
      <c r="Y61" s="184">
        <v>12621720.860000001</v>
      </c>
      <c r="Z61" s="184">
        <v>4115814.8200000003</v>
      </c>
      <c r="AA61" s="184">
        <v>414951.37</v>
      </c>
      <c r="AB61" s="184">
        <v>5492652.2799999993</v>
      </c>
      <c r="AC61" s="184">
        <v>2093467.9800000002</v>
      </c>
      <c r="AD61" s="184">
        <v>0</v>
      </c>
      <c r="AE61" s="184">
        <v>5117211.57</v>
      </c>
      <c r="AF61" s="184"/>
      <c r="AG61" s="184">
        <v>9565402.2899999991</v>
      </c>
      <c r="AH61" s="184">
        <v>0</v>
      </c>
      <c r="AI61" s="184">
        <v>0</v>
      </c>
      <c r="AJ61" s="184">
        <v>69801601.974999994</v>
      </c>
      <c r="AK61" s="184"/>
      <c r="AL61" s="184"/>
      <c r="AM61" s="184"/>
      <c r="AN61" s="184"/>
      <c r="AO61" s="184"/>
      <c r="AP61" s="184">
        <v>42343170.471000001</v>
      </c>
      <c r="AQ61" s="184"/>
      <c r="AR61" s="184">
        <f>36520260.79+6534672.5</f>
        <v>43054933.289999999</v>
      </c>
      <c r="AS61" s="184"/>
      <c r="AT61" s="184"/>
      <c r="AU61" s="184"/>
      <c r="AV61" s="184">
        <v>2326464.1699999995</v>
      </c>
      <c r="AW61" s="184">
        <v>755465.34000000008</v>
      </c>
      <c r="AX61" s="184">
        <v>1158.3599999999999</v>
      </c>
      <c r="AY61" s="184"/>
      <c r="AZ61" s="184">
        <v>2794206.98</v>
      </c>
      <c r="BA61" s="184">
        <v>261985.49000000002</v>
      </c>
      <c r="BB61" s="184">
        <v>0</v>
      </c>
      <c r="BC61" s="184">
        <v>319775.44999999995</v>
      </c>
      <c r="BD61" s="184">
        <v>1905718.0600000003</v>
      </c>
      <c r="BE61" s="184">
        <v>3105491.1999999997</v>
      </c>
      <c r="BF61" s="184">
        <v>4404195.95</v>
      </c>
      <c r="BG61" s="184">
        <v>1093320.8399999999</v>
      </c>
      <c r="BH61" s="184">
        <v>10083580.625000002</v>
      </c>
      <c r="BI61" s="184">
        <v>1727988.3500000006</v>
      </c>
      <c r="BJ61" s="184">
        <v>1401852.9</v>
      </c>
      <c r="BK61" s="184">
        <v>5053855.28</v>
      </c>
      <c r="BL61" s="184">
        <v>3373689.61</v>
      </c>
      <c r="BM61" s="184">
        <v>2478411.35</v>
      </c>
      <c r="BN61" s="184">
        <v>6447902.9299999997</v>
      </c>
      <c r="BO61" s="184">
        <v>710882.46</v>
      </c>
      <c r="BP61" s="184">
        <v>750189.7699999999</v>
      </c>
      <c r="BQ61" s="184">
        <v>435209.2</v>
      </c>
      <c r="BR61" s="184">
        <f>2399397.79-6865.17</f>
        <v>2392532.62</v>
      </c>
      <c r="BS61" s="184">
        <v>280600.87</v>
      </c>
      <c r="BT61" s="184">
        <v>121891.5</v>
      </c>
      <c r="BU61" s="184"/>
      <c r="BV61" s="184">
        <v>3603110.2720000008</v>
      </c>
      <c r="BW61" s="184">
        <v>1115218.5999999999</v>
      </c>
      <c r="BX61" s="184">
        <v>5288120.1400000006</v>
      </c>
      <c r="BY61" s="184">
        <v>1694172.77</v>
      </c>
      <c r="BZ61" s="184">
        <v>3046372.6100000003</v>
      </c>
      <c r="CA61" s="184">
        <v>733927.19999999984</v>
      </c>
      <c r="CB61" s="184">
        <v>4416680.0669999998</v>
      </c>
      <c r="CC61" s="184">
        <v>5300547.5199999996</v>
      </c>
      <c r="CD61" s="248" t="s">
        <v>221</v>
      </c>
      <c r="CE61" s="194">
        <f t="shared" si="0"/>
        <v>375148454.51999992</v>
      </c>
      <c r="CF61" s="251"/>
    </row>
    <row r="62" spans="1:84" ht="12.6" customHeight="1" x14ac:dyDescent="0.25">
      <c r="A62" s="170" t="s">
        <v>3</v>
      </c>
      <c r="B62" s="174"/>
      <c r="C62" s="194">
        <f t="shared" ref="C62:BN62" si="1">ROUND(C47+C48,0)</f>
        <v>3101902</v>
      </c>
      <c r="D62" s="194">
        <f t="shared" si="1"/>
        <v>1674605</v>
      </c>
      <c r="E62" s="194">
        <f t="shared" si="1"/>
        <v>4424857</v>
      </c>
      <c r="F62" s="194">
        <f t="shared" si="1"/>
        <v>0</v>
      </c>
      <c r="G62" s="194">
        <f t="shared" si="1"/>
        <v>410126</v>
      </c>
      <c r="H62" s="194">
        <f t="shared" si="1"/>
        <v>0</v>
      </c>
      <c r="I62" s="194">
        <f t="shared" si="1"/>
        <v>0</v>
      </c>
      <c r="J62" s="194">
        <f>ROUND(J47+J48,0)</f>
        <v>0</v>
      </c>
      <c r="K62" s="194">
        <f t="shared" si="1"/>
        <v>0</v>
      </c>
      <c r="L62" s="194">
        <f t="shared" si="1"/>
        <v>0</v>
      </c>
      <c r="M62" s="194">
        <f t="shared" si="1"/>
        <v>1090003</v>
      </c>
      <c r="N62" s="194">
        <f t="shared" si="1"/>
        <v>2391609</v>
      </c>
      <c r="O62" s="194">
        <f t="shared" si="1"/>
        <v>4517561</v>
      </c>
      <c r="P62" s="194">
        <f t="shared" si="1"/>
        <v>3039206</v>
      </c>
      <c r="Q62" s="194">
        <f t="shared" si="1"/>
        <v>898850</v>
      </c>
      <c r="R62" s="194">
        <f t="shared" si="1"/>
        <v>123839</v>
      </c>
      <c r="S62" s="194">
        <f t="shared" si="1"/>
        <v>295847</v>
      </c>
      <c r="T62" s="194">
        <f t="shared" si="1"/>
        <v>0</v>
      </c>
      <c r="U62" s="194">
        <f t="shared" si="1"/>
        <v>1381785</v>
      </c>
      <c r="V62" s="194">
        <f t="shared" si="1"/>
        <v>41047</v>
      </c>
      <c r="W62" s="194">
        <f t="shared" si="1"/>
        <v>109321</v>
      </c>
      <c r="X62" s="194">
        <f t="shared" si="1"/>
        <v>278738</v>
      </c>
      <c r="Y62" s="194">
        <f t="shared" si="1"/>
        <v>2896237</v>
      </c>
      <c r="Z62" s="194">
        <f t="shared" si="1"/>
        <v>650641</v>
      </c>
      <c r="AA62" s="194">
        <f t="shared" si="1"/>
        <v>85930</v>
      </c>
      <c r="AB62" s="194">
        <f t="shared" si="1"/>
        <v>1239596</v>
      </c>
      <c r="AC62" s="194">
        <f t="shared" si="1"/>
        <v>508504</v>
      </c>
      <c r="AD62" s="194">
        <f t="shared" si="1"/>
        <v>0</v>
      </c>
      <c r="AE62" s="194">
        <f t="shared" si="1"/>
        <v>1178204</v>
      </c>
      <c r="AF62" s="194">
        <f t="shared" si="1"/>
        <v>0</v>
      </c>
      <c r="AG62" s="194">
        <f t="shared" si="1"/>
        <v>2516636</v>
      </c>
      <c r="AH62" s="194">
        <f t="shared" si="1"/>
        <v>0</v>
      </c>
      <c r="AI62" s="194">
        <f t="shared" si="1"/>
        <v>0</v>
      </c>
      <c r="AJ62" s="194">
        <f t="shared" si="1"/>
        <v>12215118</v>
      </c>
      <c r="AK62" s="194">
        <f t="shared" si="1"/>
        <v>0</v>
      </c>
      <c r="AL62" s="194">
        <f t="shared" si="1"/>
        <v>0</v>
      </c>
      <c r="AM62" s="194">
        <f t="shared" si="1"/>
        <v>0</v>
      </c>
      <c r="AN62" s="194">
        <f t="shared" si="1"/>
        <v>0</v>
      </c>
      <c r="AO62" s="194">
        <f t="shared" si="1"/>
        <v>0</v>
      </c>
      <c r="AP62" s="194">
        <f t="shared" si="1"/>
        <v>8978387</v>
      </c>
      <c r="AQ62" s="194">
        <f t="shared" si="1"/>
        <v>0</v>
      </c>
      <c r="AR62" s="194">
        <f t="shared" si="1"/>
        <v>10052709</v>
      </c>
      <c r="AS62" s="194">
        <f t="shared" si="1"/>
        <v>0</v>
      </c>
      <c r="AT62" s="194">
        <f t="shared" si="1"/>
        <v>0</v>
      </c>
      <c r="AU62" s="194">
        <f t="shared" si="1"/>
        <v>0</v>
      </c>
      <c r="AV62" s="194">
        <f t="shared" si="1"/>
        <v>551483</v>
      </c>
      <c r="AW62" s="194">
        <f t="shared" si="1"/>
        <v>193565</v>
      </c>
      <c r="AX62" s="194">
        <f t="shared" si="1"/>
        <v>2</v>
      </c>
      <c r="AY62" s="194">
        <f>ROUND(AY47+AY48,0)</f>
        <v>0</v>
      </c>
      <c r="AZ62" s="194">
        <f>ROUND(AZ47+AZ48,0)</f>
        <v>967247</v>
      </c>
      <c r="BA62" s="194">
        <f>ROUND(BA47+BA48,0)</f>
        <v>89037</v>
      </c>
      <c r="BB62" s="194">
        <f t="shared" si="1"/>
        <v>0</v>
      </c>
      <c r="BC62" s="194">
        <f t="shared" si="1"/>
        <v>98179</v>
      </c>
      <c r="BD62" s="194">
        <f t="shared" si="1"/>
        <v>574981</v>
      </c>
      <c r="BE62" s="194">
        <f t="shared" si="1"/>
        <v>912182</v>
      </c>
      <c r="BF62" s="194">
        <f t="shared" si="1"/>
        <v>1571256</v>
      </c>
      <c r="BG62" s="194">
        <f t="shared" si="1"/>
        <v>336853</v>
      </c>
      <c r="BH62" s="194">
        <f t="shared" si="1"/>
        <v>2302942</v>
      </c>
      <c r="BI62" s="194">
        <f t="shared" si="1"/>
        <v>402940</v>
      </c>
      <c r="BJ62" s="194">
        <f t="shared" si="1"/>
        <v>359790</v>
      </c>
      <c r="BK62" s="194">
        <f t="shared" si="1"/>
        <v>1560825</v>
      </c>
      <c r="BL62" s="194">
        <f t="shared" si="1"/>
        <v>1075860</v>
      </c>
      <c r="BM62" s="194">
        <f t="shared" si="1"/>
        <v>648829</v>
      </c>
      <c r="BN62" s="194">
        <f t="shared" si="1"/>
        <v>1694219</v>
      </c>
      <c r="BO62" s="194">
        <f t="shared" ref="BO62:CC62" si="2">ROUND(BO47+BO48,0)</f>
        <v>128762</v>
      </c>
      <c r="BP62" s="194">
        <f t="shared" si="2"/>
        <v>303942</v>
      </c>
      <c r="BQ62" s="194">
        <f t="shared" si="2"/>
        <v>101445</v>
      </c>
      <c r="BR62" s="194">
        <f t="shared" si="2"/>
        <v>561908</v>
      </c>
      <c r="BS62" s="194">
        <f t="shared" si="2"/>
        <v>72149</v>
      </c>
      <c r="BT62" s="194">
        <f t="shared" si="2"/>
        <v>48691</v>
      </c>
      <c r="BU62" s="194">
        <f t="shared" si="2"/>
        <v>0</v>
      </c>
      <c r="BV62" s="194">
        <f t="shared" si="2"/>
        <v>1019491</v>
      </c>
      <c r="BW62" s="194">
        <f t="shared" si="2"/>
        <v>115129</v>
      </c>
      <c r="BX62" s="194">
        <f t="shared" si="2"/>
        <v>1092923</v>
      </c>
      <c r="BY62" s="194">
        <f t="shared" si="2"/>
        <v>396170</v>
      </c>
      <c r="BZ62" s="194">
        <f t="shared" si="2"/>
        <v>1114601</v>
      </c>
      <c r="CA62" s="194">
        <f t="shared" si="2"/>
        <v>165842</v>
      </c>
      <c r="CB62" s="194">
        <f t="shared" si="2"/>
        <v>1220777</v>
      </c>
      <c r="CC62" s="194">
        <f t="shared" si="2"/>
        <v>1000534</v>
      </c>
      <c r="CD62" s="248" t="s">
        <v>221</v>
      </c>
      <c r="CE62" s="194">
        <f t="shared" si="0"/>
        <v>84783812</v>
      </c>
      <c r="CF62" s="251"/>
    </row>
    <row r="63" spans="1:84" ht="12.6" customHeight="1" x14ac:dyDescent="0.25">
      <c r="A63" s="170" t="s">
        <v>236</v>
      </c>
      <c r="B63" s="174"/>
      <c r="C63" s="183">
        <v>607939.15</v>
      </c>
      <c r="D63" s="183">
        <v>0</v>
      </c>
      <c r="E63" s="183">
        <v>-11356</v>
      </c>
      <c r="F63" s="184">
        <v>0</v>
      </c>
      <c r="G63" s="183">
        <v>0</v>
      </c>
      <c r="H63" s="183"/>
      <c r="I63" s="184"/>
      <c r="J63" s="184"/>
      <c r="K63" s="184"/>
      <c r="L63" s="184"/>
      <c r="M63" s="183">
        <v>0</v>
      </c>
      <c r="N63" s="183">
        <v>610332.5</v>
      </c>
      <c r="O63" s="183">
        <v>37910</v>
      </c>
      <c r="P63" s="184">
        <v>-3012.1800000000003</v>
      </c>
      <c r="Q63" s="184">
        <v>0</v>
      </c>
      <c r="R63" s="184">
        <v>0</v>
      </c>
      <c r="S63" s="184">
        <v>0</v>
      </c>
      <c r="T63" s="184">
        <v>0</v>
      </c>
      <c r="U63" s="184">
        <v>153092.54200000002</v>
      </c>
      <c r="V63" s="184">
        <v>2125</v>
      </c>
      <c r="W63" s="184">
        <v>0</v>
      </c>
      <c r="X63" s="184">
        <v>0</v>
      </c>
      <c r="Y63" s="184">
        <v>99758.92</v>
      </c>
      <c r="Z63" s="184">
        <v>0</v>
      </c>
      <c r="AA63" s="184">
        <v>0</v>
      </c>
      <c r="AB63" s="184">
        <v>0</v>
      </c>
      <c r="AC63" s="184">
        <v>0</v>
      </c>
      <c r="AD63" s="184">
        <v>0</v>
      </c>
      <c r="AE63" s="184">
        <v>0</v>
      </c>
      <c r="AF63" s="184">
        <v>0</v>
      </c>
      <c r="AG63" s="184">
        <v>635674.56999999995</v>
      </c>
      <c r="AH63" s="184"/>
      <c r="AI63" s="184"/>
      <c r="AJ63" s="184">
        <v>561627.51</v>
      </c>
      <c r="AK63" s="184"/>
      <c r="AL63" s="184"/>
      <c r="AM63" s="184"/>
      <c r="AN63" s="184"/>
      <c r="AO63" s="184"/>
      <c r="AP63" s="184">
        <v>3520974.25</v>
      </c>
      <c r="AQ63" s="184"/>
      <c r="AR63" s="184">
        <v>41919.990000000005</v>
      </c>
      <c r="AS63" s="184"/>
      <c r="AT63" s="184"/>
      <c r="AU63" s="184"/>
      <c r="AV63" s="184">
        <v>-55</v>
      </c>
      <c r="AW63" s="184">
        <v>345915.56</v>
      </c>
      <c r="AX63" s="184"/>
      <c r="AY63" s="184"/>
      <c r="AZ63" s="184"/>
      <c r="BA63" s="184"/>
      <c r="BB63" s="184"/>
      <c r="BC63" s="184"/>
      <c r="BD63" s="184"/>
      <c r="BE63" s="184">
        <v>337.5</v>
      </c>
      <c r="BF63" s="184"/>
      <c r="BG63" s="184"/>
      <c r="BH63" s="184">
        <v>38610</v>
      </c>
      <c r="BI63" s="184">
        <v>0</v>
      </c>
      <c r="BJ63" s="184">
        <v>252690</v>
      </c>
      <c r="BK63" s="184">
        <v>460452.72</v>
      </c>
      <c r="BL63" s="184">
        <v>37891.480000000003</v>
      </c>
      <c r="BM63" s="184">
        <v>35850</v>
      </c>
      <c r="BN63" s="184">
        <v>2756846.3400000003</v>
      </c>
      <c r="BO63" s="184">
        <v>580.4</v>
      </c>
      <c r="BP63" s="184">
        <v>16800</v>
      </c>
      <c r="BQ63" s="184"/>
      <c r="BR63" s="184">
        <f>528856.82+220124.14</f>
        <v>748980.96</v>
      </c>
      <c r="BS63" s="184">
        <v>0</v>
      </c>
      <c r="BT63" s="184">
        <v>0</v>
      </c>
      <c r="BU63" s="184">
        <v>0</v>
      </c>
      <c r="BV63" s="184">
        <v>0</v>
      </c>
      <c r="BW63" s="184">
        <v>1353757.517</v>
      </c>
      <c r="BX63" s="184">
        <v>181710.82</v>
      </c>
      <c r="BY63" s="184">
        <v>12500</v>
      </c>
      <c r="BZ63" s="184">
        <v>220</v>
      </c>
      <c r="CA63" s="184">
        <v>860121.5</v>
      </c>
      <c r="CB63" s="184"/>
      <c r="CC63" s="184">
        <v>410000</v>
      </c>
      <c r="CD63" s="248" t="s">
        <v>221</v>
      </c>
      <c r="CE63" s="194">
        <f t="shared" si="0"/>
        <v>13770196.049000002</v>
      </c>
      <c r="CF63" s="251"/>
    </row>
    <row r="64" spans="1:84" ht="12.6" customHeight="1" x14ac:dyDescent="0.25">
      <c r="A64" s="170" t="s">
        <v>237</v>
      </c>
      <c r="B64" s="174"/>
      <c r="C64" s="183">
        <v>1322156.5899999999</v>
      </c>
      <c r="D64" s="183">
        <v>565606.80000000005</v>
      </c>
      <c r="E64" s="184">
        <v>1612091.42</v>
      </c>
      <c r="F64" s="184">
        <v>0</v>
      </c>
      <c r="G64" s="183">
        <v>65057.19</v>
      </c>
      <c r="H64" s="183"/>
      <c r="I64" s="184"/>
      <c r="J64" s="184"/>
      <c r="K64" s="184"/>
      <c r="L64" s="184"/>
      <c r="M64" s="183">
        <f>119276.02+38297.5</f>
        <v>157573.52000000002</v>
      </c>
      <c r="N64" s="183">
        <v>5390.8600000000006</v>
      </c>
      <c r="O64" s="183">
        <v>1855331.0800000003</v>
      </c>
      <c r="P64" s="184">
        <v>38149867.559999995</v>
      </c>
      <c r="Q64" s="184">
        <v>303361.62999999995</v>
      </c>
      <c r="R64" s="184">
        <v>399390.32999999996</v>
      </c>
      <c r="S64" s="184">
        <v>617588.31999999995</v>
      </c>
      <c r="T64" s="184">
        <v>0</v>
      </c>
      <c r="U64" s="184">
        <v>3429379.1799999992</v>
      </c>
      <c r="V64" s="184">
        <v>6548.7499999999991</v>
      </c>
      <c r="W64" s="184">
        <v>206061.81999999998</v>
      </c>
      <c r="X64" s="184">
        <v>414472.24999999994</v>
      </c>
      <c r="Y64" s="184">
        <v>5505979.9300000016</v>
      </c>
      <c r="Z64" s="184">
        <v>374746.22999999992</v>
      </c>
      <c r="AA64" s="184">
        <v>350558.48</v>
      </c>
      <c r="AB64" s="184">
        <v>16583251.699999997</v>
      </c>
      <c r="AC64" s="184">
        <v>304345.03999999998</v>
      </c>
      <c r="AD64" s="184">
        <v>0</v>
      </c>
      <c r="AE64" s="184">
        <v>113925.67</v>
      </c>
      <c r="AF64" s="184"/>
      <c r="AG64" s="184">
        <v>1321878.94</v>
      </c>
      <c r="AH64" s="184"/>
      <c r="AI64" s="184"/>
      <c r="AJ64" s="184">
        <v>5338277.2200000016</v>
      </c>
      <c r="AK64" s="184"/>
      <c r="AL64" s="184"/>
      <c r="AM64" s="184"/>
      <c r="AN64" s="184"/>
      <c r="AO64" s="184"/>
      <c r="AP64" s="184">
        <v>4809864.9899999993</v>
      </c>
      <c r="AQ64" s="184"/>
      <c r="AR64" s="184">
        <f>3170409.962+328888.5</f>
        <v>3499298.4619999998</v>
      </c>
      <c r="AS64" s="184"/>
      <c r="AT64" s="184"/>
      <c r="AU64" s="184"/>
      <c r="AV64" s="184">
        <v>4919734.5199999996</v>
      </c>
      <c r="AW64" s="184">
        <v>33140.800000000003</v>
      </c>
      <c r="AX64" s="184">
        <v>233331.85</v>
      </c>
      <c r="AY64" s="184"/>
      <c r="AZ64" s="184">
        <v>1685366.0300000003</v>
      </c>
      <c r="BA64" s="184">
        <v>35638.43</v>
      </c>
      <c r="BB64" s="184">
        <v>24.02</v>
      </c>
      <c r="BC64" s="184">
        <v>4277.57</v>
      </c>
      <c r="BD64" s="184">
        <v>43035.849999999991</v>
      </c>
      <c r="BE64" s="184">
        <v>536729.92000000004</v>
      </c>
      <c r="BF64" s="184">
        <v>355854.32</v>
      </c>
      <c r="BG64" s="184">
        <v>137024.88</v>
      </c>
      <c r="BH64" s="184">
        <v>689229.6399999999</v>
      </c>
      <c r="BI64" s="184">
        <v>35157.740000000005</v>
      </c>
      <c r="BJ64" s="184">
        <v>13535.15</v>
      </c>
      <c r="BK64" s="184">
        <v>72724.180000000008</v>
      </c>
      <c r="BL64" s="184">
        <v>39660.31</v>
      </c>
      <c r="BM64" s="184">
        <v>8446.1500000000015</v>
      </c>
      <c r="BN64" s="184">
        <v>39821.130000000005</v>
      </c>
      <c r="BO64" s="184">
        <v>184669.07000000007</v>
      </c>
      <c r="BP64" s="184">
        <v>72381.73000000001</v>
      </c>
      <c r="BQ64" s="184">
        <v>3623.54</v>
      </c>
      <c r="BR64" s="184">
        <f>31820.75+6253.52</f>
        <v>38074.270000000004</v>
      </c>
      <c r="BS64" s="184">
        <v>453653.34</v>
      </c>
      <c r="BT64" s="184">
        <v>209.54</v>
      </c>
      <c r="BU64" s="184"/>
      <c r="BV64" s="184">
        <v>24516.9</v>
      </c>
      <c r="BW64" s="184">
        <v>42710.32</v>
      </c>
      <c r="BX64" s="184">
        <v>45158.479999999996</v>
      </c>
      <c r="BY64" s="184">
        <v>2317.7300000000005</v>
      </c>
      <c r="BZ64" s="184">
        <v>404.02000000000004</v>
      </c>
      <c r="CA64" s="184">
        <v>43319.69</v>
      </c>
      <c r="CB64" s="184">
        <v>94417.820000000022</v>
      </c>
      <c r="CC64" s="184">
        <f>122405.47-1699581.43</f>
        <v>-1577175.96</v>
      </c>
      <c r="CD64" s="248" t="s">
        <v>221</v>
      </c>
      <c r="CE64" s="194">
        <f t="shared" si="0"/>
        <v>95623016.941999972</v>
      </c>
      <c r="CF64" s="251"/>
    </row>
    <row r="65" spans="1:84" ht="12.6" customHeight="1" x14ac:dyDescent="0.25">
      <c r="A65" s="170" t="s">
        <v>238</v>
      </c>
      <c r="B65" s="174"/>
      <c r="C65" s="183">
        <v>6197.77</v>
      </c>
      <c r="D65" s="183"/>
      <c r="E65" s="183"/>
      <c r="F65" s="183"/>
      <c r="G65" s="183"/>
      <c r="H65" s="183"/>
      <c r="I65" s="184"/>
      <c r="J65" s="183"/>
      <c r="K65" s="184"/>
      <c r="L65" s="184"/>
      <c r="M65" s="183">
        <f>5097.65+4702.06</f>
        <v>9799.7099999999991</v>
      </c>
      <c r="N65" s="183">
        <v>38746.400000000001</v>
      </c>
      <c r="O65" s="183">
        <v>987.82999999999993</v>
      </c>
      <c r="P65" s="184">
        <v>4049.1699999999996</v>
      </c>
      <c r="Q65" s="184">
        <v>0</v>
      </c>
      <c r="R65" s="184">
        <v>0</v>
      </c>
      <c r="S65" s="184">
        <v>0</v>
      </c>
      <c r="T65" s="184">
        <v>0</v>
      </c>
      <c r="U65" s="184">
        <v>9246.89</v>
      </c>
      <c r="V65" s="184">
        <v>0</v>
      </c>
      <c r="W65" s="184">
        <v>0</v>
      </c>
      <c r="X65" s="184">
        <v>0</v>
      </c>
      <c r="Y65" s="184">
        <v>14782.499999999998</v>
      </c>
      <c r="Z65" s="184">
        <v>2980.16</v>
      </c>
      <c r="AA65" s="184">
        <v>0</v>
      </c>
      <c r="AB65" s="184">
        <v>19.899999999999999</v>
      </c>
      <c r="AC65" s="184">
        <v>0</v>
      </c>
      <c r="AD65" s="184">
        <v>0</v>
      </c>
      <c r="AE65" s="184">
        <v>433.85</v>
      </c>
      <c r="AF65" s="184"/>
      <c r="AG65" s="184">
        <v>28078.800000000003</v>
      </c>
      <c r="AH65" s="184"/>
      <c r="AI65" s="184"/>
      <c r="AJ65" s="184">
        <v>147180.78</v>
      </c>
      <c r="AK65" s="184"/>
      <c r="AL65" s="184"/>
      <c r="AM65" s="184"/>
      <c r="AN65" s="184"/>
      <c r="AO65" s="184"/>
      <c r="AP65" s="184">
        <v>313032.39</v>
      </c>
      <c r="AQ65" s="184"/>
      <c r="AR65" s="184">
        <f>298276.68+40380.03</f>
        <v>338656.70999999996</v>
      </c>
      <c r="AS65" s="184"/>
      <c r="AT65" s="184"/>
      <c r="AU65" s="184"/>
      <c r="AV65" s="184">
        <v>4955.6400000000003</v>
      </c>
      <c r="AW65" s="184">
        <v>594.57999999999993</v>
      </c>
      <c r="AX65" s="184"/>
      <c r="AY65" s="184"/>
      <c r="AZ65" s="184"/>
      <c r="BA65" s="184"/>
      <c r="BB65" s="184"/>
      <c r="BC65" s="184"/>
      <c r="BD65" s="184">
        <v>407.53</v>
      </c>
      <c r="BE65" s="184">
        <v>3871409.4499999997</v>
      </c>
      <c r="BF65" s="184">
        <v>456141.88999999996</v>
      </c>
      <c r="BG65" s="184">
        <v>1035162.73</v>
      </c>
      <c r="BH65" s="184">
        <v>17508.38</v>
      </c>
      <c r="BI65" s="184">
        <v>4843.0300000000007</v>
      </c>
      <c r="BJ65" s="184">
        <v>0</v>
      </c>
      <c r="BK65" s="184">
        <v>114408.26</v>
      </c>
      <c r="BL65" s="184">
        <v>810.9</v>
      </c>
      <c r="BM65" s="184">
        <v>188.09</v>
      </c>
      <c r="BN65" s="184">
        <v>5446.96</v>
      </c>
      <c r="BO65" s="184">
        <v>47.3</v>
      </c>
      <c r="BP65" s="184">
        <v>600</v>
      </c>
      <c r="BQ65" s="184">
        <v>14.47</v>
      </c>
      <c r="BR65" s="184">
        <v>268.52999999999997</v>
      </c>
      <c r="BS65" s="184">
        <v>1481.38</v>
      </c>
      <c r="BT65" s="184">
        <v>4932.5200000000004</v>
      </c>
      <c r="BU65" s="184">
        <v>0</v>
      </c>
      <c r="BV65" s="184">
        <v>1149.6300000000001</v>
      </c>
      <c r="BW65" s="184"/>
      <c r="BX65" s="184">
        <v>2925.3</v>
      </c>
      <c r="BY65" s="184">
        <v>2241.8199999999997</v>
      </c>
      <c r="BZ65" s="184">
        <v>0</v>
      </c>
      <c r="CA65" s="184">
        <v>-61.67</v>
      </c>
      <c r="CB65" s="184">
        <v>7699.6500000000005</v>
      </c>
      <c r="CC65" s="184">
        <f>42909.77-120.01</f>
        <v>42789.759999999995</v>
      </c>
      <c r="CD65" s="248" t="s">
        <v>221</v>
      </c>
      <c r="CE65" s="194">
        <f t="shared" si="0"/>
        <v>6490158.9899999993</v>
      </c>
      <c r="CF65" s="251"/>
    </row>
    <row r="66" spans="1:84" ht="12.6" customHeight="1" x14ac:dyDescent="0.25">
      <c r="A66" s="170" t="s">
        <v>239</v>
      </c>
      <c r="B66" s="174"/>
      <c r="C66" s="183">
        <v>341707.821</v>
      </c>
      <c r="D66" s="183">
        <v>329473.42099999997</v>
      </c>
      <c r="E66" s="183">
        <v>646992.67799999996</v>
      </c>
      <c r="F66" s="183">
        <v>0</v>
      </c>
      <c r="G66" s="183">
        <v>30060.987999999998</v>
      </c>
      <c r="H66" s="183"/>
      <c r="I66" s="183"/>
      <c r="J66" s="183"/>
      <c r="K66" s="184"/>
      <c r="L66" s="184"/>
      <c r="M66" s="183">
        <f>156128.65+11288.59</f>
        <v>167417.24</v>
      </c>
      <c r="N66" s="183">
        <v>7069.3300000000008</v>
      </c>
      <c r="O66" s="184">
        <v>254888.49000000002</v>
      </c>
      <c r="P66" s="184">
        <v>2068733.8860000002</v>
      </c>
      <c r="Q66" s="184">
        <v>15261.01</v>
      </c>
      <c r="R66" s="184">
        <v>29467.119999999999</v>
      </c>
      <c r="S66" s="183">
        <v>244959.2</v>
      </c>
      <c r="T66" s="183">
        <v>0</v>
      </c>
      <c r="U66" s="184">
        <v>4724133.6410000008</v>
      </c>
      <c r="V66" s="184">
        <v>975</v>
      </c>
      <c r="W66" s="184">
        <v>58081.630000000005</v>
      </c>
      <c r="X66" s="184">
        <v>285513.88999999996</v>
      </c>
      <c r="Y66" s="184">
        <v>4255537.727</v>
      </c>
      <c r="Z66" s="184">
        <v>1465175.74</v>
      </c>
      <c r="AA66" s="184">
        <v>100069.51999999999</v>
      </c>
      <c r="AB66" s="184">
        <v>227150.41000000006</v>
      </c>
      <c r="AC66" s="184">
        <v>4528.4800000000005</v>
      </c>
      <c r="AD66" s="184">
        <v>0</v>
      </c>
      <c r="AE66" s="184">
        <v>38749.299999999996</v>
      </c>
      <c r="AF66" s="184"/>
      <c r="AG66" s="184">
        <v>470262.33599999995</v>
      </c>
      <c r="AH66" s="184"/>
      <c r="AI66" s="184"/>
      <c r="AJ66" s="184">
        <v>1538536.22</v>
      </c>
      <c r="AK66" s="184"/>
      <c r="AL66" s="184"/>
      <c r="AM66" s="184"/>
      <c r="AN66" s="184"/>
      <c r="AO66" s="184"/>
      <c r="AP66" s="184">
        <v>1553955.62</v>
      </c>
      <c r="AQ66" s="184"/>
      <c r="AR66" s="184">
        <f>3140613.25+96943.31</f>
        <v>3237556.56</v>
      </c>
      <c r="AS66" s="184"/>
      <c r="AT66" s="184"/>
      <c r="AU66" s="184"/>
      <c r="AV66" s="184">
        <v>208531.09999999998</v>
      </c>
      <c r="AW66" s="184">
        <v>46272.289999999994</v>
      </c>
      <c r="AX66" s="184">
        <v>2327458.3220000002</v>
      </c>
      <c r="AY66" s="184"/>
      <c r="AZ66" s="184">
        <v>137596.96000000002</v>
      </c>
      <c r="BA66" s="184">
        <v>-21433.52</v>
      </c>
      <c r="BB66" s="184">
        <v>233970.83</v>
      </c>
      <c r="BC66" s="184">
        <v>736.41000000000008</v>
      </c>
      <c r="BD66" s="184">
        <v>23490.2</v>
      </c>
      <c r="BE66" s="184">
        <v>3085291.46</v>
      </c>
      <c r="BF66" s="184">
        <v>-1009777.94</v>
      </c>
      <c r="BG66" s="184">
        <v>121004.45999999999</v>
      </c>
      <c r="BH66" s="184">
        <v>11392860.119999997</v>
      </c>
      <c r="BI66" s="184">
        <v>278779.49</v>
      </c>
      <c r="BJ66" s="184">
        <v>61163.79</v>
      </c>
      <c r="BK66" s="184">
        <v>2859365.4999999995</v>
      </c>
      <c r="BL66" s="184">
        <v>171454.44</v>
      </c>
      <c r="BM66" s="184">
        <v>618781.37</v>
      </c>
      <c r="BN66" s="184">
        <v>507366.75</v>
      </c>
      <c r="BO66" s="184">
        <v>29215.868000000002</v>
      </c>
      <c r="BP66" s="184">
        <v>3122652.03</v>
      </c>
      <c r="BQ66" s="184">
        <v>5584.2100000000009</v>
      </c>
      <c r="BR66" s="184">
        <f>411229.41+188596.48</f>
        <v>599825.89</v>
      </c>
      <c r="BS66" s="184">
        <v>21125.54</v>
      </c>
      <c r="BT66" s="184">
        <v>1501.01</v>
      </c>
      <c r="BU66" s="184">
        <v>0</v>
      </c>
      <c r="BV66" s="184">
        <v>1254444.43</v>
      </c>
      <c r="BW66" s="184">
        <v>118455.98999999999</v>
      </c>
      <c r="BX66" s="184">
        <v>501872.07000000007</v>
      </c>
      <c r="BY66" s="184">
        <v>13966.019999999999</v>
      </c>
      <c r="BZ66" s="184">
        <v>0</v>
      </c>
      <c r="CA66" s="184">
        <v>131716.85999999999</v>
      </c>
      <c r="CB66" s="184">
        <v>211669.86999999997</v>
      </c>
      <c r="CC66" s="184">
        <f>1794971.29+174695.07+241180.07</f>
        <v>2210846.4300000002</v>
      </c>
      <c r="CD66" s="248" t="s">
        <v>221</v>
      </c>
      <c r="CE66" s="194">
        <f t="shared" si="0"/>
        <v>51362045.508000001</v>
      </c>
      <c r="CF66" s="251"/>
    </row>
    <row r="67" spans="1:84" ht="12.6" customHeight="1" x14ac:dyDescent="0.25">
      <c r="A67" s="170" t="s">
        <v>6</v>
      </c>
      <c r="B67" s="174"/>
      <c r="C67" s="194">
        <f>ROUND(C51+C52,0)</f>
        <v>429751</v>
      </c>
      <c r="D67" s="194">
        <f>ROUND(D51+D52,0)</f>
        <v>1575197</v>
      </c>
      <c r="E67" s="194">
        <f t="shared" ref="E67:BP67" si="3">ROUND(E51+E52,0)</f>
        <v>2298973</v>
      </c>
      <c r="F67" s="194">
        <f t="shared" si="3"/>
        <v>0</v>
      </c>
      <c r="G67" s="194">
        <f t="shared" si="3"/>
        <v>101764</v>
      </c>
      <c r="H67" s="194">
        <f t="shared" si="3"/>
        <v>0</v>
      </c>
      <c r="I67" s="194">
        <f t="shared" si="3"/>
        <v>0</v>
      </c>
      <c r="J67" s="194">
        <f>ROUND(J51+J52,0)</f>
        <v>0</v>
      </c>
      <c r="K67" s="194">
        <f t="shared" si="3"/>
        <v>0</v>
      </c>
      <c r="L67" s="194">
        <f t="shared" si="3"/>
        <v>0</v>
      </c>
      <c r="M67" s="194">
        <f t="shared" si="3"/>
        <v>95968</v>
      </c>
      <c r="N67" s="194">
        <f t="shared" si="3"/>
        <v>6319</v>
      </c>
      <c r="O67" s="194">
        <f t="shared" si="3"/>
        <v>885775</v>
      </c>
      <c r="P67" s="194">
        <f t="shared" si="3"/>
        <v>3127696</v>
      </c>
      <c r="Q67" s="194">
        <f t="shared" si="3"/>
        <v>62588</v>
      </c>
      <c r="R67" s="194">
        <f t="shared" si="3"/>
        <v>148038</v>
      </c>
      <c r="S67" s="194">
        <f t="shared" si="3"/>
        <v>453763</v>
      </c>
      <c r="T67" s="194">
        <f t="shared" si="3"/>
        <v>0</v>
      </c>
      <c r="U67" s="194">
        <f t="shared" si="3"/>
        <v>605015</v>
      </c>
      <c r="V67" s="194">
        <f t="shared" si="3"/>
        <v>15798</v>
      </c>
      <c r="W67" s="194">
        <f t="shared" si="3"/>
        <v>210501</v>
      </c>
      <c r="X67" s="194">
        <f t="shared" si="3"/>
        <v>164524</v>
      </c>
      <c r="Y67" s="194">
        <f t="shared" si="3"/>
        <v>2430216</v>
      </c>
      <c r="Z67" s="194">
        <f t="shared" si="3"/>
        <v>1426095</v>
      </c>
      <c r="AA67" s="194">
        <f t="shared" si="3"/>
        <v>163067</v>
      </c>
      <c r="AB67" s="194">
        <f t="shared" si="3"/>
        <v>199835</v>
      </c>
      <c r="AC67" s="194">
        <f t="shared" si="3"/>
        <v>99179</v>
      </c>
      <c r="AD67" s="194">
        <f t="shared" si="3"/>
        <v>0</v>
      </c>
      <c r="AE67" s="194">
        <f t="shared" si="3"/>
        <v>228439</v>
      </c>
      <c r="AF67" s="194">
        <f t="shared" si="3"/>
        <v>0</v>
      </c>
      <c r="AG67" s="194">
        <f t="shared" si="3"/>
        <v>864552</v>
      </c>
      <c r="AH67" s="194">
        <f t="shared" si="3"/>
        <v>0</v>
      </c>
      <c r="AI67" s="194">
        <f t="shared" si="3"/>
        <v>0</v>
      </c>
      <c r="AJ67" s="194">
        <f t="shared" si="3"/>
        <v>3387940</v>
      </c>
      <c r="AK67" s="194">
        <f t="shared" si="3"/>
        <v>0</v>
      </c>
      <c r="AL67" s="194">
        <f t="shared" si="3"/>
        <v>0</v>
      </c>
      <c r="AM67" s="194">
        <f t="shared" si="3"/>
        <v>0</v>
      </c>
      <c r="AN67" s="194">
        <f t="shared" si="3"/>
        <v>0</v>
      </c>
      <c r="AO67" s="194">
        <f t="shared" si="3"/>
        <v>0</v>
      </c>
      <c r="AP67" s="194">
        <f t="shared" si="3"/>
        <v>2823426</v>
      </c>
      <c r="AQ67" s="194">
        <f t="shared" si="3"/>
        <v>0</v>
      </c>
      <c r="AR67" s="194">
        <f t="shared" si="3"/>
        <v>101513</v>
      </c>
      <c r="AS67" s="194">
        <f t="shared" si="3"/>
        <v>0</v>
      </c>
      <c r="AT67" s="194">
        <f t="shared" si="3"/>
        <v>0</v>
      </c>
      <c r="AU67" s="194">
        <f t="shared" si="3"/>
        <v>0</v>
      </c>
      <c r="AV67" s="194">
        <f t="shared" si="3"/>
        <v>271858</v>
      </c>
      <c r="AW67" s="194">
        <f t="shared" si="3"/>
        <v>30207</v>
      </c>
      <c r="AX67" s="194">
        <f t="shared" si="3"/>
        <v>0</v>
      </c>
      <c r="AY67" s="194">
        <f t="shared" si="3"/>
        <v>0</v>
      </c>
      <c r="AZ67" s="194">
        <f>ROUND(AZ51+AZ52,0)</f>
        <v>767044</v>
      </c>
      <c r="BA67" s="194">
        <f>ROUND(BA51+BA52,0)</f>
        <v>8492</v>
      </c>
      <c r="BB67" s="194">
        <f t="shared" si="3"/>
        <v>0</v>
      </c>
      <c r="BC67" s="194">
        <f t="shared" si="3"/>
        <v>20785</v>
      </c>
      <c r="BD67" s="194">
        <f t="shared" si="3"/>
        <v>77447</v>
      </c>
      <c r="BE67" s="194">
        <f t="shared" si="3"/>
        <v>6391240</v>
      </c>
      <c r="BF67" s="194">
        <f t="shared" si="3"/>
        <v>47011</v>
      </c>
      <c r="BG67" s="194">
        <f t="shared" si="3"/>
        <v>24373</v>
      </c>
      <c r="BH67" s="194">
        <f t="shared" si="3"/>
        <v>4495560</v>
      </c>
      <c r="BI67" s="194">
        <f t="shared" si="3"/>
        <v>173619</v>
      </c>
      <c r="BJ67" s="194">
        <f t="shared" si="3"/>
        <v>73563</v>
      </c>
      <c r="BK67" s="194">
        <f t="shared" si="3"/>
        <v>135198</v>
      </c>
      <c r="BL67" s="194">
        <f t="shared" si="3"/>
        <v>29324</v>
      </c>
      <c r="BM67" s="194">
        <f t="shared" si="3"/>
        <v>59503</v>
      </c>
      <c r="BN67" s="194">
        <f t="shared" si="3"/>
        <v>225864</v>
      </c>
      <c r="BO67" s="194">
        <f t="shared" si="3"/>
        <v>36912</v>
      </c>
      <c r="BP67" s="194">
        <f t="shared" si="3"/>
        <v>92707</v>
      </c>
      <c r="BQ67" s="194">
        <f t="shared" ref="BQ67:CC67" si="4">ROUND(BQ51+BQ52,0)</f>
        <v>4790</v>
      </c>
      <c r="BR67" s="194">
        <f t="shared" si="4"/>
        <v>12459</v>
      </c>
      <c r="BS67" s="194">
        <f t="shared" si="4"/>
        <v>17758</v>
      </c>
      <c r="BT67" s="194">
        <f t="shared" si="4"/>
        <v>23472</v>
      </c>
      <c r="BU67" s="194">
        <f t="shared" si="4"/>
        <v>163</v>
      </c>
      <c r="BV67" s="194">
        <f t="shared" si="4"/>
        <v>74172</v>
      </c>
      <c r="BW67" s="194">
        <f t="shared" si="4"/>
        <v>25535</v>
      </c>
      <c r="BX67" s="194">
        <f t="shared" si="4"/>
        <v>20728</v>
      </c>
      <c r="BY67" s="194">
        <f t="shared" si="4"/>
        <v>283714</v>
      </c>
      <c r="BZ67" s="194">
        <f t="shared" si="4"/>
        <v>11465</v>
      </c>
      <c r="CA67" s="194">
        <f t="shared" si="4"/>
        <v>4539</v>
      </c>
      <c r="CB67" s="194">
        <f t="shared" si="4"/>
        <v>88308</v>
      </c>
      <c r="CC67" s="194">
        <f t="shared" si="4"/>
        <v>89266</v>
      </c>
      <c r="CD67" s="248" t="s">
        <v>221</v>
      </c>
      <c r="CE67" s="194">
        <f t="shared" si="0"/>
        <v>35523008</v>
      </c>
      <c r="CF67" s="251"/>
    </row>
    <row r="68" spans="1:84" ht="12.6" customHeight="1" x14ac:dyDescent="0.25">
      <c r="A68" s="170" t="s">
        <v>240</v>
      </c>
      <c r="B68" s="174"/>
      <c r="C68" s="183"/>
      <c r="D68" s="183"/>
      <c r="E68" s="183"/>
      <c r="F68" s="183"/>
      <c r="G68" s="183"/>
      <c r="H68" s="183"/>
      <c r="I68" s="183"/>
      <c r="J68" s="183"/>
      <c r="K68" s="184"/>
      <c r="L68" s="184"/>
      <c r="M68" s="183">
        <f>27348.4+69395.59</f>
        <v>96743.989999999991</v>
      </c>
      <c r="N68" s="183"/>
      <c r="O68" s="183"/>
      <c r="P68" s="184">
        <v>112163.18</v>
      </c>
      <c r="Q68" s="184">
        <v>0</v>
      </c>
      <c r="R68" s="184">
        <v>0</v>
      </c>
      <c r="S68" s="184">
        <v>0</v>
      </c>
      <c r="T68" s="184">
        <v>0</v>
      </c>
      <c r="U68" s="184">
        <v>50113.73</v>
      </c>
      <c r="V68" s="184">
        <v>0</v>
      </c>
      <c r="W68" s="184">
        <v>0</v>
      </c>
      <c r="X68" s="184">
        <v>0</v>
      </c>
      <c r="Y68" s="184">
        <v>408247.17</v>
      </c>
      <c r="Z68" s="184">
        <v>0</v>
      </c>
      <c r="AA68" s="184"/>
      <c r="AB68" s="184"/>
      <c r="AC68" s="184">
        <v>3441.25</v>
      </c>
      <c r="AD68" s="184">
        <v>0</v>
      </c>
      <c r="AE68" s="184">
        <v>149689.93</v>
      </c>
      <c r="AF68" s="184"/>
      <c r="AG68" s="184">
        <v>592784.81000000006</v>
      </c>
      <c r="AH68" s="184"/>
      <c r="AI68" s="184"/>
      <c r="AJ68" s="184">
        <v>179937.39</v>
      </c>
      <c r="AK68" s="184"/>
      <c r="AL68" s="184"/>
      <c r="AM68" s="184"/>
      <c r="AN68" s="184"/>
      <c r="AO68" s="184"/>
      <c r="AP68" s="184">
        <v>5695331.8500000006</v>
      </c>
      <c r="AQ68" s="184"/>
      <c r="AR68" s="184">
        <f>986239.46+595950.39</f>
        <v>1582189.85</v>
      </c>
      <c r="AS68" s="184"/>
      <c r="AT68" s="184"/>
      <c r="AU68" s="184"/>
      <c r="AV68" s="184"/>
      <c r="AW68" s="184"/>
      <c r="AX68" s="184">
        <v>1293018.45</v>
      </c>
      <c r="AY68" s="184"/>
      <c r="AZ68" s="184">
        <v>8564.14</v>
      </c>
      <c r="BA68" s="184"/>
      <c r="BB68" s="184"/>
      <c r="BC68" s="184"/>
      <c r="BD68" s="184"/>
      <c r="BE68" s="184">
        <v>3511441.94</v>
      </c>
      <c r="BF68" s="184">
        <v>0</v>
      </c>
      <c r="BG68" s="184">
        <v>2284.38</v>
      </c>
      <c r="BH68" s="184">
        <v>0</v>
      </c>
      <c r="BI68" s="184">
        <v>1193160.97</v>
      </c>
      <c r="BJ68" s="184">
        <v>0</v>
      </c>
      <c r="BK68" s="184">
        <v>126943.97</v>
      </c>
      <c r="BL68" s="184"/>
      <c r="BM68" s="184"/>
      <c r="BN68" s="184"/>
      <c r="BO68" s="184"/>
      <c r="BP68" s="184"/>
      <c r="BQ68" s="184"/>
      <c r="BR68" s="184">
        <v>3160</v>
      </c>
      <c r="BS68" s="184">
        <v>0</v>
      </c>
      <c r="BT68" s="184">
        <v>0</v>
      </c>
      <c r="BU68" s="184">
        <v>0</v>
      </c>
      <c r="BV68" s="184">
        <v>77925.05</v>
      </c>
      <c r="BW68" s="184">
        <v>0</v>
      </c>
      <c r="BX68" s="184">
        <v>0</v>
      </c>
      <c r="BY68" s="184">
        <v>0</v>
      </c>
      <c r="BZ68" s="184">
        <v>0</v>
      </c>
      <c r="CA68" s="184">
        <v>0</v>
      </c>
      <c r="CB68" s="184">
        <v>142306.88</v>
      </c>
      <c r="CC68" s="184">
        <v>1075</v>
      </c>
      <c r="CD68" s="248" t="s">
        <v>221</v>
      </c>
      <c r="CE68" s="194">
        <f t="shared" si="0"/>
        <v>15230523.930000003</v>
      </c>
      <c r="CF68" s="251"/>
    </row>
    <row r="69" spans="1:84" ht="12.6" customHeight="1" x14ac:dyDescent="0.25">
      <c r="A69" s="170" t="s">
        <v>241</v>
      </c>
      <c r="B69" s="174"/>
      <c r="C69" s="183">
        <v>64632.49</v>
      </c>
      <c r="D69" s="183">
        <v>11975.25</v>
      </c>
      <c r="E69" s="184">
        <v>22486.37</v>
      </c>
      <c r="F69" s="184">
        <v>0</v>
      </c>
      <c r="G69" s="183">
        <v>11922.859999999999</v>
      </c>
      <c r="H69" s="183"/>
      <c r="I69" s="184"/>
      <c r="J69" s="184"/>
      <c r="K69" s="184"/>
      <c r="L69" s="184"/>
      <c r="M69" s="183">
        <f>26675.63+13286.26</f>
        <v>39961.89</v>
      </c>
      <c r="N69" s="183">
        <v>210295.81000000006</v>
      </c>
      <c r="O69" s="183">
        <v>109452.85</v>
      </c>
      <c r="P69" s="184">
        <v>33605.619999999995</v>
      </c>
      <c r="Q69" s="184">
        <v>17024.170000000002</v>
      </c>
      <c r="R69" s="223">
        <v>615</v>
      </c>
      <c r="S69" s="184">
        <v>6559.1900000000005</v>
      </c>
      <c r="T69" s="183">
        <v>0</v>
      </c>
      <c r="U69" s="184">
        <v>13174.84</v>
      </c>
      <c r="V69" s="184">
        <v>105</v>
      </c>
      <c r="W69" s="183">
        <v>8598.48</v>
      </c>
      <c r="X69" s="184">
        <v>2882.7400000000002</v>
      </c>
      <c r="Y69" s="184">
        <v>101202.90000000002</v>
      </c>
      <c r="Z69" s="184">
        <v>55732.840000000004</v>
      </c>
      <c r="AA69" s="184">
        <v>13103.43</v>
      </c>
      <c r="AB69" s="184">
        <v>23888.93</v>
      </c>
      <c r="AC69" s="184">
        <v>3224.95</v>
      </c>
      <c r="AD69" s="184"/>
      <c r="AE69" s="184">
        <v>21254.609999999997</v>
      </c>
      <c r="AF69" s="184"/>
      <c r="AG69" s="184">
        <v>39172.629999999997</v>
      </c>
      <c r="AH69" s="184"/>
      <c r="AI69" s="184"/>
      <c r="AJ69" s="184">
        <v>1225940.8800000001</v>
      </c>
      <c r="AK69" s="184"/>
      <c r="AL69" s="184"/>
      <c r="AM69" s="184"/>
      <c r="AN69" s="184"/>
      <c r="AO69" s="183"/>
      <c r="AP69" s="184">
        <v>986516.12000000011</v>
      </c>
      <c r="AQ69" s="183"/>
      <c r="AR69" s="183">
        <f>1354871.56+114098.75</f>
        <v>1468970.31</v>
      </c>
      <c r="AS69" s="183"/>
      <c r="AT69" s="183"/>
      <c r="AU69" s="184"/>
      <c r="AV69" s="184">
        <v>6053.07</v>
      </c>
      <c r="AW69" s="184">
        <v>48703.44999999999</v>
      </c>
      <c r="AX69" s="184">
        <v>0</v>
      </c>
      <c r="AY69" s="184"/>
      <c r="AZ69" s="184">
        <v>269.5</v>
      </c>
      <c r="BA69" s="184"/>
      <c r="BB69" s="184">
        <v>6531.49</v>
      </c>
      <c r="BC69" s="184">
        <v>4172</v>
      </c>
      <c r="BD69" s="184">
        <v>169972.35</v>
      </c>
      <c r="BE69" s="184">
        <v>187353.59</v>
      </c>
      <c r="BF69" s="184">
        <v>1926.89</v>
      </c>
      <c r="BG69" s="184">
        <v>9819.9699999999993</v>
      </c>
      <c r="BH69" s="223">
        <v>38428.160000000003</v>
      </c>
      <c r="BI69" s="184">
        <v>35856.390000000007</v>
      </c>
      <c r="BJ69" s="184">
        <v>2852.55</v>
      </c>
      <c r="BK69" s="184">
        <v>4170.71</v>
      </c>
      <c r="BL69" s="184">
        <v>929.09</v>
      </c>
      <c r="BM69" s="184">
        <v>17635.59</v>
      </c>
      <c r="BN69" s="184">
        <v>769425.37</v>
      </c>
      <c r="BO69" s="184">
        <v>6524.89</v>
      </c>
      <c r="BP69" s="184">
        <v>11392.64</v>
      </c>
      <c r="BQ69" s="184">
        <v>2930.22</v>
      </c>
      <c r="BR69" s="184">
        <v>24978.91</v>
      </c>
      <c r="BS69" s="184">
        <v>1795.06</v>
      </c>
      <c r="BT69" s="184">
        <v>177.24</v>
      </c>
      <c r="BU69" s="184">
        <v>245208.04</v>
      </c>
      <c r="BV69" s="184">
        <v>4787.83</v>
      </c>
      <c r="BW69" s="184">
        <v>69807.56</v>
      </c>
      <c r="BX69" s="184">
        <v>43157.69</v>
      </c>
      <c r="BY69" s="184">
        <v>22108.1</v>
      </c>
      <c r="BZ69" s="184">
        <v>9583.7800000000007</v>
      </c>
      <c r="CA69" s="184">
        <v>382958.15</v>
      </c>
      <c r="CB69" s="184">
        <v>13677.07</v>
      </c>
      <c r="CC69" s="184">
        <v>2191950.0299999998</v>
      </c>
      <c r="CD69" s="187">
        <f>2598028.68+942488.13+4787766.94+68658.85+1516058.28</f>
        <v>9913000.879999999</v>
      </c>
      <c r="CE69" s="194">
        <f t="shared" si="0"/>
        <v>18740438.419999998</v>
      </c>
      <c r="CF69" s="251"/>
    </row>
    <row r="70" spans="1:84" ht="12.6" customHeight="1" x14ac:dyDescent="0.25">
      <c r="A70" s="170" t="s">
        <v>242</v>
      </c>
      <c r="B70" s="174"/>
      <c r="C70" s="183">
        <v>11310.97</v>
      </c>
      <c r="D70" s="183">
        <v>725</v>
      </c>
      <c r="E70" s="183">
        <v>708.18</v>
      </c>
      <c r="F70" s="184"/>
      <c r="G70" s="183"/>
      <c r="H70" s="183"/>
      <c r="I70" s="183"/>
      <c r="J70" s="184"/>
      <c r="K70" s="184"/>
      <c r="L70" s="184"/>
      <c r="M70" s="183">
        <f>225219.75+296.02</f>
        <v>225515.77</v>
      </c>
      <c r="N70" s="183">
        <v>24840.74</v>
      </c>
      <c r="O70" s="183">
        <v>42411.91</v>
      </c>
      <c r="P70" s="183">
        <v>8.06</v>
      </c>
      <c r="Q70" s="183">
        <v>0</v>
      </c>
      <c r="R70" s="183">
        <v>0</v>
      </c>
      <c r="S70" s="183">
        <v>0</v>
      </c>
      <c r="T70" s="183">
        <v>0</v>
      </c>
      <c r="U70" s="184">
        <v>662168.37</v>
      </c>
      <c r="V70" s="183">
        <v>6464.58</v>
      </c>
      <c r="W70" s="183">
        <v>0</v>
      </c>
      <c r="X70" s="184">
        <v>0</v>
      </c>
      <c r="Y70" s="184">
        <v>11606.5</v>
      </c>
      <c r="Z70" s="184">
        <v>110631.7</v>
      </c>
      <c r="AA70" s="184">
        <v>0</v>
      </c>
      <c r="AB70" s="184">
        <v>6688.82</v>
      </c>
      <c r="AC70" s="184">
        <v>0</v>
      </c>
      <c r="AD70" s="184">
        <v>0</v>
      </c>
      <c r="AE70" s="184">
        <v>14267.78</v>
      </c>
      <c r="AF70" s="184"/>
      <c r="AG70" s="184">
        <v>1604.34</v>
      </c>
      <c r="AH70" s="184"/>
      <c r="AI70" s="184"/>
      <c r="AJ70" s="184">
        <v>2220716.42</v>
      </c>
      <c r="AK70" s="184"/>
      <c r="AL70" s="184"/>
      <c r="AM70" s="184"/>
      <c r="AN70" s="184"/>
      <c r="AO70" s="184"/>
      <c r="AP70" s="184">
        <v>2939951.58</v>
      </c>
      <c r="AQ70" s="184"/>
      <c r="AR70" s="184">
        <f>103445.52+2542.18</f>
        <v>105987.7</v>
      </c>
      <c r="AS70" s="184"/>
      <c r="AT70" s="184"/>
      <c r="AU70" s="184"/>
      <c r="AV70" s="184">
        <v>5189260.9800000004</v>
      </c>
      <c r="AW70" s="184">
        <v>1633411.169</v>
      </c>
      <c r="AX70" s="184"/>
      <c r="AY70" s="184"/>
      <c r="AZ70" s="184">
        <v>2015880.9040000001</v>
      </c>
      <c r="BA70" s="184"/>
      <c r="BB70" s="184"/>
      <c r="BC70" s="184"/>
      <c r="BD70" s="184">
        <v>763.55</v>
      </c>
      <c r="BE70" s="184">
        <v>6054425.7599999998</v>
      </c>
      <c r="BF70" s="184">
        <v>17035.98</v>
      </c>
      <c r="BG70" s="184">
        <v>490285.83</v>
      </c>
      <c r="BH70" s="184">
        <v>145804.57</v>
      </c>
      <c r="BI70" s="184">
        <v>1154744.51</v>
      </c>
      <c r="BJ70" s="184">
        <v>223108.28</v>
      </c>
      <c r="BK70" s="184">
        <v>273.52</v>
      </c>
      <c r="BL70" s="184">
        <v>361119.15</v>
      </c>
      <c r="BM70" s="184">
        <v>0</v>
      </c>
      <c r="BN70" s="184">
        <v>1350</v>
      </c>
      <c r="BO70" s="184">
        <v>526</v>
      </c>
      <c r="BP70" s="184">
        <v>5000</v>
      </c>
      <c r="BQ70" s="184">
        <v>61925</v>
      </c>
      <c r="BR70" s="184">
        <v>134.58000000000001</v>
      </c>
      <c r="BS70" s="184">
        <v>714822.55</v>
      </c>
      <c r="BT70" s="184">
        <v>249.92</v>
      </c>
      <c r="BU70" s="184">
        <v>15000</v>
      </c>
      <c r="BV70" s="184">
        <v>675</v>
      </c>
      <c r="BW70" s="184">
        <v>112109.83</v>
      </c>
      <c r="BX70" s="184">
        <v>0</v>
      </c>
      <c r="BY70" s="184">
        <v>19946.830000000002</v>
      </c>
      <c r="BZ70" s="184">
        <v>0</v>
      </c>
      <c r="CA70" s="184">
        <v>87859.34</v>
      </c>
      <c r="CB70" s="184">
        <v>947053.91</v>
      </c>
      <c r="CC70" s="184">
        <v>10189993.16</v>
      </c>
      <c r="CD70" s="187">
        <v>92184.31</v>
      </c>
      <c r="CE70" s="194">
        <f t="shared" si="0"/>
        <v>35920553.053000003</v>
      </c>
      <c r="CF70" s="251"/>
    </row>
    <row r="71" spans="1:84" ht="12.6" customHeight="1" x14ac:dyDescent="0.25">
      <c r="A71" s="170" t="s">
        <v>243</v>
      </c>
      <c r="B71" s="174"/>
      <c r="C71" s="194">
        <f>SUM(C61:C68)+C69-C70</f>
        <v>19686610.655999996</v>
      </c>
      <c r="D71" s="194">
        <f t="shared" ref="D71:AI71" si="5">SUM(D61:D69)-D70</f>
        <v>10957247.251000002</v>
      </c>
      <c r="E71" s="194">
        <f t="shared" si="5"/>
        <v>28745577.133000001</v>
      </c>
      <c r="F71" s="194">
        <f t="shared" si="5"/>
        <v>0</v>
      </c>
      <c r="G71" s="194">
        <f t="shared" si="5"/>
        <v>2221140.7279999997</v>
      </c>
      <c r="H71" s="194">
        <f t="shared" si="5"/>
        <v>0</v>
      </c>
      <c r="I71" s="194">
        <f t="shared" si="5"/>
        <v>0</v>
      </c>
      <c r="J71" s="194">
        <f t="shared" si="5"/>
        <v>0</v>
      </c>
      <c r="K71" s="194">
        <f t="shared" si="5"/>
        <v>0</v>
      </c>
      <c r="L71" s="194">
        <f t="shared" si="5"/>
        <v>0</v>
      </c>
      <c r="M71" s="194">
        <f t="shared" si="5"/>
        <v>5980549.5099999998</v>
      </c>
      <c r="N71" s="194">
        <f t="shared" si="5"/>
        <v>16204315.480000002</v>
      </c>
      <c r="O71" s="194">
        <f t="shared" si="5"/>
        <v>25074429.68</v>
      </c>
      <c r="P71" s="194">
        <f t="shared" si="5"/>
        <v>59588662.580999993</v>
      </c>
      <c r="Q71" s="194">
        <f t="shared" si="5"/>
        <v>5202835.0200000005</v>
      </c>
      <c r="R71" s="194">
        <f t="shared" si="5"/>
        <v>1301681.49</v>
      </c>
      <c r="S71" s="194">
        <f t="shared" si="5"/>
        <v>2702378.54</v>
      </c>
      <c r="T71" s="194">
        <f t="shared" si="5"/>
        <v>0</v>
      </c>
      <c r="U71" s="194">
        <f t="shared" si="5"/>
        <v>15098929.093</v>
      </c>
      <c r="V71" s="194">
        <f t="shared" si="5"/>
        <v>202149.05</v>
      </c>
      <c r="W71" s="194">
        <f t="shared" si="5"/>
        <v>1336194.5649999999</v>
      </c>
      <c r="X71" s="194">
        <f t="shared" si="5"/>
        <v>2380105.66</v>
      </c>
      <c r="Y71" s="194">
        <f t="shared" si="5"/>
        <v>28322076.506999999</v>
      </c>
      <c r="Z71" s="194">
        <f t="shared" si="5"/>
        <v>7980554.0899999999</v>
      </c>
      <c r="AA71" s="194">
        <f t="shared" si="5"/>
        <v>1127679.8</v>
      </c>
      <c r="AB71" s="194">
        <f t="shared" si="5"/>
        <v>23759705.399999995</v>
      </c>
      <c r="AC71" s="194">
        <f t="shared" si="5"/>
        <v>3016690.7000000007</v>
      </c>
      <c r="AD71" s="194">
        <f t="shared" si="5"/>
        <v>0</v>
      </c>
      <c r="AE71" s="194">
        <f t="shared" si="5"/>
        <v>6833640.1499999994</v>
      </c>
      <c r="AF71" s="194">
        <f t="shared" si="5"/>
        <v>0</v>
      </c>
      <c r="AG71" s="194">
        <f t="shared" si="5"/>
        <v>16032838.036</v>
      </c>
      <c r="AH71" s="194">
        <f t="shared" si="5"/>
        <v>0</v>
      </c>
      <c r="AI71" s="194">
        <f t="shared" si="5"/>
        <v>0</v>
      </c>
      <c r="AJ71" s="194">
        <f t="shared" ref="AJ71:BO71" si="6">SUM(AJ61:AJ69)-AJ70</f>
        <v>92175443.554999992</v>
      </c>
      <c r="AK71" s="194">
        <f t="shared" si="6"/>
        <v>0</v>
      </c>
      <c r="AL71" s="194">
        <f t="shared" si="6"/>
        <v>0</v>
      </c>
      <c r="AM71" s="194">
        <f t="shared" si="6"/>
        <v>0</v>
      </c>
      <c r="AN71" s="194">
        <f t="shared" si="6"/>
        <v>0</v>
      </c>
      <c r="AO71" s="194">
        <f t="shared" si="6"/>
        <v>0</v>
      </c>
      <c r="AP71" s="194">
        <f t="shared" si="6"/>
        <v>68084707.111000001</v>
      </c>
      <c r="AQ71" s="194">
        <f t="shared" si="6"/>
        <v>0</v>
      </c>
      <c r="AR71" s="194">
        <f t="shared" si="6"/>
        <v>63271759.472000003</v>
      </c>
      <c r="AS71" s="194">
        <f t="shared" si="6"/>
        <v>0</v>
      </c>
      <c r="AT71" s="194">
        <f t="shared" si="6"/>
        <v>0</v>
      </c>
      <c r="AU71" s="194">
        <f t="shared" si="6"/>
        <v>0</v>
      </c>
      <c r="AV71" s="194">
        <f t="shared" si="6"/>
        <v>3099763.5199999986</v>
      </c>
      <c r="AW71" s="194">
        <f t="shared" si="6"/>
        <v>-179547.14899999974</v>
      </c>
      <c r="AX71" s="194">
        <f t="shared" si="6"/>
        <v>3854968.9819999998</v>
      </c>
      <c r="AY71" s="194">
        <f t="shared" si="6"/>
        <v>0</v>
      </c>
      <c r="AZ71" s="194">
        <f t="shared" si="6"/>
        <v>4344413.7059999993</v>
      </c>
      <c r="BA71" s="194">
        <f t="shared" si="6"/>
        <v>373719.39999999997</v>
      </c>
      <c r="BB71" s="194">
        <f t="shared" si="6"/>
        <v>240526.33999999997</v>
      </c>
      <c r="BC71" s="194">
        <f t="shared" si="6"/>
        <v>447925.42999999993</v>
      </c>
      <c r="BD71" s="194">
        <f t="shared" si="6"/>
        <v>2794288.4400000009</v>
      </c>
      <c r="BE71" s="194">
        <f t="shared" si="6"/>
        <v>15547051.300000003</v>
      </c>
      <c r="BF71" s="194">
        <f t="shared" si="6"/>
        <v>5809572.1299999999</v>
      </c>
      <c r="BG71" s="194">
        <f t="shared" si="6"/>
        <v>2269557.4299999997</v>
      </c>
      <c r="BH71" s="194">
        <f t="shared" si="6"/>
        <v>28912914.355</v>
      </c>
      <c r="BI71" s="194">
        <f t="shared" si="6"/>
        <v>2697600.46</v>
      </c>
      <c r="BJ71" s="194">
        <f t="shared" si="6"/>
        <v>1942339.1099999996</v>
      </c>
      <c r="BK71" s="194">
        <f t="shared" si="6"/>
        <v>10387670.100000001</v>
      </c>
      <c r="BL71" s="194">
        <f t="shared" si="6"/>
        <v>4368500.68</v>
      </c>
      <c r="BM71" s="194">
        <f t="shared" si="6"/>
        <v>3867644.55</v>
      </c>
      <c r="BN71" s="194">
        <f t="shared" si="6"/>
        <v>12445542.48</v>
      </c>
      <c r="BO71" s="194">
        <f t="shared" si="6"/>
        <v>1097067.9879999999</v>
      </c>
      <c r="BP71" s="194">
        <f t="shared" ref="BP71:CC71" si="7">SUM(BP61:BP69)-BP70</f>
        <v>4365665.169999999</v>
      </c>
      <c r="BQ71" s="194">
        <f t="shared" si="7"/>
        <v>491671.6399999999</v>
      </c>
      <c r="BR71" s="194">
        <f t="shared" si="7"/>
        <v>4382053.5999999996</v>
      </c>
      <c r="BS71" s="194">
        <f t="shared" si="7"/>
        <v>133740.64000000001</v>
      </c>
      <c r="BT71" s="194">
        <f t="shared" si="7"/>
        <v>200624.88999999998</v>
      </c>
      <c r="BU71" s="194">
        <f t="shared" si="7"/>
        <v>230371.04</v>
      </c>
      <c r="BV71" s="194">
        <f t="shared" si="7"/>
        <v>6058922.1120000007</v>
      </c>
      <c r="BW71" s="194">
        <f t="shared" si="7"/>
        <v>2728504.1569999992</v>
      </c>
      <c r="BX71" s="194">
        <f t="shared" si="7"/>
        <v>7176595.5000000019</v>
      </c>
      <c r="BY71" s="194">
        <f t="shared" si="7"/>
        <v>2407243.61</v>
      </c>
      <c r="BZ71" s="194">
        <f t="shared" si="7"/>
        <v>4182646.41</v>
      </c>
      <c r="CA71" s="194">
        <f t="shared" si="7"/>
        <v>2234503.3899999997</v>
      </c>
      <c r="CB71" s="194">
        <f t="shared" si="7"/>
        <v>5248482.4470000006</v>
      </c>
      <c r="CC71" s="194">
        <f t="shared" si="7"/>
        <v>-520160.38000000082</v>
      </c>
      <c r="CD71" s="244">
        <f>CD69-CD70</f>
        <v>9820816.5699999984</v>
      </c>
      <c r="CE71" s="194">
        <f>SUM(CE61:CE69)-CE70</f>
        <v>660751101.30599988</v>
      </c>
      <c r="CF71" s="251"/>
    </row>
    <row r="72" spans="1:84" ht="12.6" customHeight="1" x14ac:dyDescent="0.25">
      <c r="A72" s="170" t="s">
        <v>244</v>
      </c>
      <c r="B72" s="174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7">
        <v>26216729</v>
      </c>
      <c r="CF72" s="251"/>
    </row>
    <row r="73" spans="1:84" ht="12.6" customHeight="1" x14ac:dyDescent="0.25">
      <c r="A73" s="170" t="s">
        <v>245</v>
      </c>
      <c r="B73" s="174"/>
      <c r="C73" s="183">
        <v>71224136.430000007</v>
      </c>
      <c r="D73" s="183">
        <v>47716801.340000004</v>
      </c>
      <c r="E73" s="184">
        <v>113907958.68000001</v>
      </c>
      <c r="F73" s="184">
        <v>0</v>
      </c>
      <c r="G73" s="183">
        <v>13214057.210000001</v>
      </c>
      <c r="H73" s="183"/>
      <c r="I73" s="184"/>
      <c r="J73" s="184"/>
      <c r="K73" s="184"/>
      <c r="L73" s="184"/>
      <c r="M73" s="183">
        <f>6056315.13+500</f>
        <v>6056815.1299999999</v>
      </c>
      <c r="N73" s="183">
        <v>15390062</v>
      </c>
      <c r="O73" s="183">
        <v>103951001</v>
      </c>
      <c r="P73" s="184">
        <v>112903197</v>
      </c>
      <c r="Q73" s="184">
        <v>7039834</v>
      </c>
      <c r="R73" s="184">
        <v>14617517</v>
      </c>
      <c r="S73" s="184">
        <v>0</v>
      </c>
      <c r="T73" s="184">
        <v>0</v>
      </c>
      <c r="U73" s="184">
        <v>53634946</v>
      </c>
      <c r="V73" s="184">
        <v>1245607</v>
      </c>
      <c r="W73" s="184">
        <v>5001024</v>
      </c>
      <c r="X73" s="184">
        <v>18487531</v>
      </c>
      <c r="Y73" s="184">
        <v>38924444</v>
      </c>
      <c r="Z73" s="184">
        <v>1045374</v>
      </c>
      <c r="AA73" s="184">
        <v>677645</v>
      </c>
      <c r="AB73" s="184">
        <v>58336329.590000004</v>
      </c>
      <c r="AC73" s="184">
        <v>15910502</v>
      </c>
      <c r="AD73" s="184">
        <v>0</v>
      </c>
      <c r="AE73" s="184">
        <v>13855169.52</v>
      </c>
      <c r="AF73" s="184"/>
      <c r="AG73" s="184">
        <v>34608944.039999999</v>
      </c>
      <c r="AH73" s="184"/>
      <c r="AI73" s="184"/>
      <c r="AJ73" s="184">
        <v>26702068.879999999</v>
      </c>
      <c r="AK73" s="184"/>
      <c r="AL73" s="184"/>
      <c r="AM73" s="184"/>
      <c r="AN73" s="184"/>
      <c r="AO73" s="184"/>
      <c r="AP73" s="184">
        <v>4275755.88</v>
      </c>
      <c r="AQ73" s="184"/>
      <c r="AR73" s="184"/>
      <c r="AS73" s="184"/>
      <c r="AT73" s="184"/>
      <c r="AU73" s="184"/>
      <c r="AV73" s="184">
        <f>2561532+13347.97</f>
        <v>2574879.9700000002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4">
        <f t="shared" ref="CE73:CE80" si="8">SUM(C73:CD73)</f>
        <v>781301600.66999996</v>
      </c>
      <c r="CF73" s="251"/>
    </row>
    <row r="74" spans="1:84" ht="12.6" customHeight="1" x14ac:dyDescent="0.25">
      <c r="A74" s="170" t="s">
        <v>246</v>
      </c>
      <c r="B74" s="174"/>
      <c r="C74" s="183">
        <v>-48589</v>
      </c>
      <c r="D74" s="183">
        <v>421958</v>
      </c>
      <c r="E74" s="184">
        <v>4415878.8600000003</v>
      </c>
      <c r="F74" s="184">
        <v>0</v>
      </c>
      <c r="G74" s="183">
        <v>4920</v>
      </c>
      <c r="H74" s="183"/>
      <c r="I74" s="183"/>
      <c r="J74" s="184"/>
      <c r="K74" s="184"/>
      <c r="L74" s="184"/>
      <c r="M74" s="183">
        <v>283618.3</v>
      </c>
      <c r="N74" s="183">
        <v>1017949.18</v>
      </c>
      <c r="O74" s="183">
        <v>3975859</v>
      </c>
      <c r="P74" s="184">
        <v>203632011</v>
      </c>
      <c r="Q74" s="184">
        <v>9319859</v>
      </c>
      <c r="R74" s="184">
        <v>15504339</v>
      </c>
      <c r="S74" s="184">
        <v>0</v>
      </c>
      <c r="T74" s="184">
        <v>0</v>
      </c>
      <c r="U74" s="184">
        <v>43639217.840000004</v>
      </c>
      <c r="V74" s="184">
        <v>462989</v>
      </c>
      <c r="W74" s="184">
        <v>10411680</v>
      </c>
      <c r="X74" s="184">
        <v>43042102</v>
      </c>
      <c r="Y74" s="184">
        <v>116783545.44</v>
      </c>
      <c r="Z74" s="184">
        <v>30230438</v>
      </c>
      <c r="AA74" s="184">
        <v>2859657</v>
      </c>
      <c r="AB74" s="184">
        <v>59509506.810000002</v>
      </c>
      <c r="AC74" s="184">
        <v>567324</v>
      </c>
      <c r="AD74" s="184">
        <v>0</v>
      </c>
      <c r="AE74" s="184">
        <v>17954819.969999999</v>
      </c>
      <c r="AF74" s="184"/>
      <c r="AG74" s="184">
        <v>127345404.91</v>
      </c>
      <c r="AH74" s="184"/>
      <c r="AI74" s="184"/>
      <c r="AJ74" s="184">
        <v>153565683.57999998</v>
      </c>
      <c r="AK74" s="184"/>
      <c r="AL74" s="184"/>
      <c r="AM74" s="184"/>
      <c r="AN74" s="184"/>
      <c r="AO74" s="184"/>
      <c r="AP74" s="184">
        <v>102093918.63999999</v>
      </c>
      <c r="AQ74" s="184"/>
      <c r="AR74" s="184">
        <v>126917186.31999999</v>
      </c>
      <c r="AS74" s="184"/>
      <c r="AT74" s="184"/>
      <c r="AU74" s="184"/>
      <c r="AV74" s="184">
        <f>10665456.16+665+7314+51322.65</f>
        <v>10724757.810000001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4">
        <f t="shared" si="8"/>
        <v>1084636034.6600001</v>
      </c>
      <c r="CF74" s="251"/>
    </row>
    <row r="75" spans="1:84" ht="12.6" customHeight="1" x14ac:dyDescent="0.25">
      <c r="A75" s="170" t="s">
        <v>247</v>
      </c>
      <c r="B75" s="174"/>
      <c r="C75" s="194">
        <f t="shared" ref="C75:AV75" si="9">SUM(C73:C74)</f>
        <v>71175547.430000007</v>
      </c>
      <c r="D75" s="194">
        <f t="shared" si="9"/>
        <v>48138759.340000004</v>
      </c>
      <c r="E75" s="194">
        <f t="shared" si="9"/>
        <v>118323837.54000001</v>
      </c>
      <c r="F75" s="194">
        <f t="shared" si="9"/>
        <v>0</v>
      </c>
      <c r="G75" s="194">
        <f t="shared" si="9"/>
        <v>13218977.210000001</v>
      </c>
      <c r="H75" s="194">
        <f t="shared" si="9"/>
        <v>0</v>
      </c>
      <c r="I75" s="194">
        <f t="shared" si="9"/>
        <v>0</v>
      </c>
      <c r="J75" s="194">
        <f t="shared" si="9"/>
        <v>0</v>
      </c>
      <c r="K75" s="194">
        <f t="shared" si="9"/>
        <v>0</v>
      </c>
      <c r="L75" s="194">
        <f t="shared" si="9"/>
        <v>0</v>
      </c>
      <c r="M75" s="194">
        <f t="shared" si="9"/>
        <v>6340433.4299999997</v>
      </c>
      <c r="N75" s="194">
        <f t="shared" si="9"/>
        <v>16408011.18</v>
      </c>
      <c r="O75" s="194">
        <f t="shared" si="9"/>
        <v>107926860</v>
      </c>
      <c r="P75" s="194">
        <f t="shared" si="9"/>
        <v>316535208</v>
      </c>
      <c r="Q75" s="194">
        <f t="shared" si="9"/>
        <v>16359693</v>
      </c>
      <c r="R75" s="194">
        <f t="shared" si="9"/>
        <v>30121856</v>
      </c>
      <c r="S75" s="194">
        <f t="shared" si="9"/>
        <v>0</v>
      </c>
      <c r="T75" s="194">
        <f t="shared" si="9"/>
        <v>0</v>
      </c>
      <c r="U75" s="194">
        <f t="shared" si="9"/>
        <v>97274163.840000004</v>
      </c>
      <c r="V75" s="194">
        <f t="shared" si="9"/>
        <v>1708596</v>
      </c>
      <c r="W75" s="194">
        <f t="shared" si="9"/>
        <v>15412704</v>
      </c>
      <c r="X75" s="194">
        <f t="shared" si="9"/>
        <v>61529633</v>
      </c>
      <c r="Y75" s="194">
        <f t="shared" si="9"/>
        <v>155707989.44</v>
      </c>
      <c r="Z75" s="194">
        <f t="shared" si="9"/>
        <v>31275812</v>
      </c>
      <c r="AA75" s="194">
        <f t="shared" si="9"/>
        <v>3537302</v>
      </c>
      <c r="AB75" s="194">
        <f t="shared" si="9"/>
        <v>117845836.40000001</v>
      </c>
      <c r="AC75" s="194">
        <f t="shared" si="9"/>
        <v>16477826</v>
      </c>
      <c r="AD75" s="194">
        <f t="shared" si="9"/>
        <v>0</v>
      </c>
      <c r="AE75" s="194">
        <f t="shared" si="9"/>
        <v>31809989.489999998</v>
      </c>
      <c r="AF75" s="194">
        <f t="shared" si="9"/>
        <v>0</v>
      </c>
      <c r="AG75" s="194">
        <f t="shared" si="9"/>
        <v>161954348.94999999</v>
      </c>
      <c r="AH75" s="194">
        <f t="shared" si="9"/>
        <v>0</v>
      </c>
      <c r="AI75" s="194">
        <f t="shared" si="9"/>
        <v>0</v>
      </c>
      <c r="AJ75" s="194">
        <f t="shared" si="9"/>
        <v>180267752.45999998</v>
      </c>
      <c r="AK75" s="194">
        <f t="shared" si="9"/>
        <v>0</v>
      </c>
      <c r="AL75" s="194">
        <f t="shared" si="9"/>
        <v>0</v>
      </c>
      <c r="AM75" s="194">
        <f t="shared" si="9"/>
        <v>0</v>
      </c>
      <c r="AN75" s="194">
        <f t="shared" si="9"/>
        <v>0</v>
      </c>
      <c r="AO75" s="194">
        <f t="shared" si="9"/>
        <v>0</v>
      </c>
      <c r="AP75" s="194">
        <f t="shared" si="9"/>
        <v>106369674.51999998</v>
      </c>
      <c r="AQ75" s="194">
        <f t="shared" si="9"/>
        <v>0</v>
      </c>
      <c r="AR75" s="194">
        <f t="shared" si="9"/>
        <v>126917186.31999999</v>
      </c>
      <c r="AS75" s="194">
        <f t="shared" si="9"/>
        <v>0</v>
      </c>
      <c r="AT75" s="194">
        <f t="shared" si="9"/>
        <v>0</v>
      </c>
      <c r="AU75" s="194">
        <f t="shared" si="9"/>
        <v>0</v>
      </c>
      <c r="AV75" s="194">
        <f t="shared" si="9"/>
        <v>13299637.780000001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4">
        <f t="shared" si="8"/>
        <v>1865937635.3300002</v>
      </c>
      <c r="CF75" s="251"/>
    </row>
    <row r="76" spans="1:84" ht="12.6" customHeight="1" x14ac:dyDescent="0.25">
      <c r="A76" s="170" t="s">
        <v>248</v>
      </c>
      <c r="B76" s="174"/>
      <c r="C76" s="183">
        <v>31983</v>
      </c>
      <c r="D76" s="183">
        <v>24449</v>
      </c>
      <c r="E76" s="184">
        <v>113062</v>
      </c>
      <c r="F76" s="184">
        <v>151</v>
      </c>
      <c r="G76" s="183">
        <v>8974</v>
      </c>
      <c r="H76" s="183"/>
      <c r="I76" s="184"/>
      <c r="J76" s="184"/>
      <c r="K76" s="184"/>
      <c r="L76" s="184"/>
      <c r="M76" s="184">
        <v>20520</v>
      </c>
      <c r="N76" s="184">
        <v>5113</v>
      </c>
      <c r="O76" s="184">
        <v>54399</v>
      </c>
      <c r="P76" s="184">
        <v>74235</v>
      </c>
      <c r="Q76" s="184">
        <v>5118</v>
      </c>
      <c r="R76" s="184">
        <v>651</v>
      </c>
      <c r="S76" s="184">
        <v>10270</v>
      </c>
      <c r="T76" s="184"/>
      <c r="U76" s="184">
        <v>23623</v>
      </c>
      <c r="V76" s="184">
        <v>314</v>
      </c>
      <c r="W76" s="184">
        <v>5837</v>
      </c>
      <c r="X76" s="184">
        <v>3166</v>
      </c>
      <c r="Y76" s="184">
        <v>41980</v>
      </c>
      <c r="Z76" s="184">
        <v>16493</v>
      </c>
      <c r="AA76" s="184">
        <v>1139</v>
      </c>
      <c r="AB76" s="184">
        <v>7372</v>
      </c>
      <c r="AC76" s="184">
        <v>2640</v>
      </c>
      <c r="AD76" s="184"/>
      <c r="AE76" s="184">
        <v>17513</v>
      </c>
      <c r="AF76" s="184"/>
      <c r="AG76" s="184">
        <v>55057</v>
      </c>
      <c r="AH76" s="184"/>
      <c r="AI76" s="184"/>
      <c r="AJ76" s="184">
        <v>144209</v>
      </c>
      <c r="AK76" s="184"/>
      <c r="AL76" s="184"/>
      <c r="AM76" s="184"/>
      <c r="AN76" s="184"/>
      <c r="AO76" s="184"/>
      <c r="AP76" s="184">
        <v>173508</v>
      </c>
      <c r="AQ76" s="184"/>
      <c r="AR76" s="184">
        <v>19432</v>
      </c>
      <c r="AS76" s="184"/>
      <c r="AT76" s="184"/>
      <c r="AU76" s="184"/>
      <c r="AV76" s="184">
        <v>13015</v>
      </c>
      <c r="AW76" s="184">
        <v>3712</v>
      </c>
      <c r="AX76" s="184"/>
      <c r="AY76" s="184"/>
      <c r="AZ76" s="184">
        <v>23008</v>
      </c>
      <c r="BA76" s="184">
        <v>3589</v>
      </c>
      <c r="BB76" s="184"/>
      <c r="BC76" s="184"/>
      <c r="BD76" s="184">
        <v>9663</v>
      </c>
      <c r="BE76" s="184">
        <v>782365</v>
      </c>
      <c r="BF76" s="184">
        <v>9475</v>
      </c>
      <c r="BG76" s="184">
        <v>4982</v>
      </c>
      <c r="BH76" s="184">
        <v>18298</v>
      </c>
      <c r="BI76" s="184">
        <v>71116</v>
      </c>
      <c r="BJ76" s="184">
        <v>4264</v>
      </c>
      <c r="BK76" s="184">
        <v>16303</v>
      </c>
      <c r="BL76" s="184">
        <v>4540</v>
      </c>
      <c r="BM76" s="184">
        <v>4747</v>
      </c>
      <c r="BN76" s="184">
        <v>14047</v>
      </c>
      <c r="BO76" s="184">
        <v>2093</v>
      </c>
      <c r="BP76" s="184">
        <v>1894</v>
      </c>
      <c r="BQ76" s="184">
        <v>1677</v>
      </c>
      <c r="BR76" s="184">
        <v>3476</v>
      </c>
      <c r="BS76" s="184">
        <v>3652</v>
      </c>
      <c r="BT76" s="184">
        <v>947</v>
      </c>
      <c r="BU76" s="184">
        <v>418</v>
      </c>
      <c r="BV76" s="184">
        <v>7657</v>
      </c>
      <c r="BW76" s="184">
        <v>3255</v>
      </c>
      <c r="BX76" s="184">
        <v>16753</v>
      </c>
      <c r="BY76" s="184">
        <v>3146</v>
      </c>
      <c r="BZ76" s="184"/>
      <c r="CA76" s="184">
        <v>3557</v>
      </c>
      <c r="CB76" s="184">
        <v>7255</v>
      </c>
      <c r="CC76" s="184">
        <v>6428</v>
      </c>
      <c r="CD76" s="248" t="s">
        <v>221</v>
      </c>
      <c r="CE76" s="194">
        <f t="shared" si="8"/>
        <v>1906540</v>
      </c>
      <c r="CF76" s="194">
        <f>BE59-CE76</f>
        <v>-1124175</v>
      </c>
    </row>
    <row r="77" spans="1:84" ht="12.6" customHeight="1" x14ac:dyDescent="0.25">
      <c r="A77" s="170" t="s">
        <v>249</v>
      </c>
      <c r="B77" s="174"/>
      <c r="C77" s="183">
        <v>9766</v>
      </c>
      <c r="D77" s="183">
        <v>28663</v>
      </c>
      <c r="E77" s="183">
        <v>101463</v>
      </c>
      <c r="F77" s="183"/>
      <c r="G77" s="183">
        <v>9217</v>
      </c>
      <c r="H77" s="183"/>
      <c r="I77" s="183"/>
      <c r="J77" s="183"/>
      <c r="K77" s="183"/>
      <c r="L77" s="183"/>
      <c r="M77" s="183">
        <v>6580</v>
      </c>
      <c r="N77" s="183"/>
      <c r="O77" s="183">
        <v>30406</v>
      </c>
      <c r="P77" s="183"/>
      <c r="Q77" s="183"/>
      <c r="R77" s="183"/>
      <c r="S77" s="183"/>
      <c r="T77" s="183"/>
      <c r="U77" s="183"/>
      <c r="V77" s="183"/>
      <c r="W77" s="183"/>
      <c r="X77" s="183"/>
      <c r="Y77" s="183">
        <v>46</v>
      </c>
      <c r="Z77" s="183"/>
      <c r="AA77" s="183"/>
      <c r="AB77" s="183"/>
      <c r="AC77" s="183"/>
      <c r="AD77" s="183"/>
      <c r="AE77" s="183"/>
      <c r="AF77" s="183"/>
      <c r="AG77" s="183">
        <v>3011</v>
      </c>
      <c r="AH77" s="183"/>
      <c r="AI77" s="183"/>
      <c r="AJ77" s="183"/>
      <c r="AK77" s="183"/>
      <c r="AL77" s="183"/>
      <c r="AM77" s="183"/>
      <c r="AN77" s="183"/>
      <c r="AO77" s="183"/>
      <c r="AP77" s="183"/>
      <c r="AQ77" s="183"/>
      <c r="AR77" s="183"/>
      <c r="AS77" s="183"/>
      <c r="AT77" s="183"/>
      <c r="AU77" s="183"/>
      <c r="AV77" s="183"/>
      <c r="AW77" s="183"/>
      <c r="AX77" s="248" t="s">
        <v>221</v>
      </c>
      <c r="AY77" s="248" t="s">
        <v>221</v>
      </c>
      <c r="AZ77" s="183"/>
      <c r="BA77" s="183"/>
      <c r="BB77" s="183"/>
      <c r="BC77" s="183"/>
      <c r="BD77" s="248" t="s">
        <v>221</v>
      </c>
      <c r="BE77" s="248" t="s">
        <v>221</v>
      </c>
      <c r="BF77" s="183"/>
      <c r="BG77" s="248" t="s">
        <v>221</v>
      </c>
      <c r="BH77" s="183"/>
      <c r="BI77" s="183"/>
      <c r="BJ77" s="248" t="s">
        <v>221</v>
      </c>
      <c r="BK77" s="183"/>
      <c r="BL77" s="183"/>
      <c r="BM77" s="183"/>
      <c r="BN77" s="248" t="s">
        <v>221</v>
      </c>
      <c r="BO77" s="248" t="s">
        <v>221</v>
      </c>
      <c r="BP77" s="248" t="s">
        <v>221</v>
      </c>
      <c r="BQ77" s="248" t="s">
        <v>221</v>
      </c>
      <c r="BR77" s="183"/>
      <c r="BS77" s="183"/>
      <c r="BT77" s="183"/>
      <c r="BU77" s="183"/>
      <c r="BV77" s="183"/>
      <c r="BW77" s="183"/>
      <c r="BX77" s="183"/>
      <c r="BY77" s="183"/>
      <c r="BZ77" s="183"/>
      <c r="CA77" s="183"/>
      <c r="CB77" s="183"/>
      <c r="CC77" s="248" t="s">
        <v>221</v>
      </c>
      <c r="CD77" s="248" t="s">
        <v>221</v>
      </c>
      <c r="CE77" s="194">
        <f>SUM(C77:CD77)</f>
        <v>189152</v>
      </c>
      <c r="CF77" s="194">
        <f>AY59-CE77</f>
        <v>-189152</v>
      </c>
    </row>
    <row r="78" spans="1:84" ht="12.6" customHeight="1" x14ac:dyDescent="0.25">
      <c r="A78" s="170" t="s">
        <v>250</v>
      </c>
      <c r="B78" s="174"/>
      <c r="C78" s="183">
        <v>3522</v>
      </c>
      <c r="D78" s="183">
        <v>2692</v>
      </c>
      <c r="E78" s="183">
        <v>12449</v>
      </c>
      <c r="F78" s="183">
        <v>17</v>
      </c>
      <c r="G78" s="183">
        <v>988</v>
      </c>
      <c r="H78" s="183"/>
      <c r="I78" s="183"/>
      <c r="J78" s="183"/>
      <c r="K78" s="183"/>
      <c r="L78" s="183"/>
      <c r="M78" s="183">
        <v>2259</v>
      </c>
      <c r="N78" s="183">
        <v>563</v>
      </c>
      <c r="O78" s="183">
        <v>5990</v>
      </c>
      <c r="P78" s="183">
        <v>8174</v>
      </c>
      <c r="Q78" s="183">
        <v>564</v>
      </c>
      <c r="R78" s="183">
        <v>72</v>
      </c>
      <c r="S78" s="183">
        <v>1131</v>
      </c>
      <c r="T78" s="183"/>
      <c r="U78" s="183">
        <v>2601</v>
      </c>
      <c r="V78" s="183">
        <v>35</v>
      </c>
      <c r="W78" s="183">
        <v>643</v>
      </c>
      <c r="X78" s="183">
        <v>349</v>
      </c>
      <c r="Y78" s="183">
        <v>4622</v>
      </c>
      <c r="Z78" s="183">
        <v>1816</v>
      </c>
      <c r="AA78" s="183">
        <v>125</v>
      </c>
      <c r="AB78" s="183">
        <v>812</v>
      </c>
      <c r="AC78" s="183">
        <v>291</v>
      </c>
      <c r="AD78" s="183"/>
      <c r="AE78" s="183">
        <v>1928</v>
      </c>
      <c r="AF78" s="183"/>
      <c r="AG78" s="183">
        <v>6062</v>
      </c>
      <c r="AH78" s="183"/>
      <c r="AI78" s="183"/>
      <c r="AJ78" s="183">
        <v>15878</v>
      </c>
      <c r="AK78" s="183"/>
      <c r="AL78" s="183"/>
      <c r="AM78" s="183"/>
      <c r="AN78" s="183"/>
      <c r="AO78" s="183"/>
      <c r="AP78" s="183">
        <v>19104</v>
      </c>
      <c r="AQ78" s="183"/>
      <c r="AR78" s="183">
        <v>2140</v>
      </c>
      <c r="AS78" s="183"/>
      <c r="AT78" s="183"/>
      <c r="AU78" s="183"/>
      <c r="AV78" s="183">
        <v>1433</v>
      </c>
      <c r="AW78" s="183">
        <v>409</v>
      </c>
      <c r="AX78" s="248" t="s">
        <v>221</v>
      </c>
      <c r="AY78" s="248" t="s">
        <v>221</v>
      </c>
      <c r="AZ78" s="248" t="s">
        <v>221</v>
      </c>
      <c r="BA78" s="183">
        <v>395</v>
      </c>
      <c r="BB78" s="183"/>
      <c r="BC78" s="183"/>
      <c r="BD78" s="248" t="s">
        <v>221</v>
      </c>
      <c r="BE78" s="248" t="s">
        <v>221</v>
      </c>
      <c r="BF78" s="248" t="s">
        <v>221</v>
      </c>
      <c r="BG78" s="248" t="s">
        <v>221</v>
      </c>
      <c r="BH78" s="183">
        <v>2015</v>
      </c>
      <c r="BI78" s="183">
        <v>7830</v>
      </c>
      <c r="BJ78" s="248" t="s">
        <v>221</v>
      </c>
      <c r="BK78" s="183">
        <v>1795</v>
      </c>
      <c r="BL78" s="183">
        <v>500</v>
      </c>
      <c r="BM78" s="183">
        <v>523</v>
      </c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3">
        <v>402</v>
      </c>
      <c r="BT78" s="183">
        <v>104</v>
      </c>
      <c r="BU78" s="183">
        <v>46</v>
      </c>
      <c r="BV78" s="183">
        <v>843</v>
      </c>
      <c r="BW78" s="183">
        <v>358</v>
      </c>
      <c r="BX78" s="183">
        <v>1845</v>
      </c>
      <c r="BY78" s="183">
        <v>346</v>
      </c>
      <c r="BZ78" s="183"/>
      <c r="CA78" s="183">
        <v>392</v>
      </c>
      <c r="CB78" s="183">
        <v>799</v>
      </c>
      <c r="CC78" s="248" t="s">
        <v>221</v>
      </c>
      <c r="CD78" s="248" t="s">
        <v>221</v>
      </c>
      <c r="CE78" s="194">
        <f t="shared" si="8"/>
        <v>114862</v>
      </c>
      <c r="CF78" s="194"/>
    </row>
    <row r="79" spans="1:84" ht="12.6" customHeight="1" x14ac:dyDescent="0.25">
      <c r="A79" s="170" t="s">
        <v>251</v>
      </c>
      <c r="B79" s="174"/>
      <c r="C79" s="183">
        <v>160523.9</v>
      </c>
      <c r="D79" s="224">
        <v>216201.19</v>
      </c>
      <c r="E79" s="183">
        <v>498347.15</v>
      </c>
      <c r="F79" s="183">
        <v>0</v>
      </c>
      <c r="G79" s="183">
        <v>34055.14</v>
      </c>
      <c r="H79" s="183"/>
      <c r="I79" s="183"/>
      <c r="J79" s="183"/>
      <c r="K79" s="183"/>
      <c r="L79" s="183"/>
      <c r="M79" s="183">
        <v>36326.800000000003</v>
      </c>
      <c r="N79" s="183"/>
      <c r="O79" s="183">
        <v>317275.69</v>
      </c>
      <c r="P79" s="183">
        <v>138716.15</v>
      </c>
      <c r="Q79" s="183">
        <v>0</v>
      </c>
      <c r="R79" s="183">
        <v>0</v>
      </c>
      <c r="S79" s="183">
        <v>17102.98</v>
      </c>
      <c r="T79" s="183">
        <v>0</v>
      </c>
      <c r="U79" s="183">
        <v>2097</v>
      </c>
      <c r="V79" s="183">
        <v>0</v>
      </c>
      <c r="W79" s="183">
        <v>18338.98</v>
      </c>
      <c r="X79" s="183">
        <v>0</v>
      </c>
      <c r="Y79" s="183">
        <v>239735.3</v>
      </c>
      <c r="Z79" s="183">
        <v>40634.49</v>
      </c>
      <c r="AA79" s="183">
        <v>0</v>
      </c>
      <c r="AB79" s="183">
        <v>0</v>
      </c>
      <c r="AC79" s="183">
        <v>0</v>
      </c>
      <c r="AD79" s="183">
        <v>0</v>
      </c>
      <c r="AE79" s="183">
        <v>0</v>
      </c>
      <c r="AF79" s="183"/>
      <c r="AG79" s="183">
        <v>310593.95</v>
      </c>
      <c r="AH79" s="183"/>
      <c r="AI79" s="183"/>
      <c r="AJ79" s="183">
        <v>72569.72</v>
      </c>
      <c r="AK79" s="183"/>
      <c r="AL79" s="183"/>
      <c r="AM79" s="183"/>
      <c r="AN79" s="183"/>
      <c r="AO79" s="183"/>
      <c r="AP79" s="183"/>
      <c r="AQ79" s="183"/>
      <c r="AR79" s="183"/>
      <c r="AS79" s="183"/>
      <c r="AT79" s="183"/>
      <c r="AU79" s="183"/>
      <c r="AV79" s="183">
        <v>42680.69</v>
      </c>
      <c r="AW79" s="183"/>
      <c r="AX79" s="248" t="s">
        <v>221</v>
      </c>
      <c r="AY79" s="248" t="s">
        <v>221</v>
      </c>
      <c r="AZ79" s="248" t="s">
        <v>221</v>
      </c>
      <c r="BA79" s="248" t="s">
        <v>221</v>
      </c>
      <c r="BB79" s="183"/>
      <c r="BC79" s="183"/>
      <c r="BD79" s="248" t="s">
        <v>221</v>
      </c>
      <c r="BE79" s="248" t="s">
        <v>221</v>
      </c>
      <c r="BF79" s="248" t="s">
        <v>221</v>
      </c>
      <c r="BG79" s="248" t="s">
        <v>221</v>
      </c>
      <c r="BH79" s="183"/>
      <c r="BI79" s="183"/>
      <c r="BJ79" s="248" t="s">
        <v>221</v>
      </c>
      <c r="BK79" s="183"/>
      <c r="BL79" s="183"/>
      <c r="BM79" s="183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3"/>
      <c r="BT79" s="183"/>
      <c r="BU79" s="183"/>
      <c r="BV79" s="183"/>
      <c r="BW79" s="183"/>
      <c r="BX79" s="183"/>
      <c r="BY79" s="183"/>
      <c r="BZ79" s="183"/>
      <c r="CA79" s="183"/>
      <c r="CB79" s="183"/>
      <c r="CC79" s="248" t="s">
        <v>221</v>
      </c>
      <c r="CD79" s="248" t="s">
        <v>221</v>
      </c>
      <c r="CE79" s="194">
        <f t="shared" si="8"/>
        <v>2145199.13</v>
      </c>
      <c r="CF79" s="194">
        <f>BA59</f>
        <v>0</v>
      </c>
    </row>
    <row r="80" spans="1:84" ht="21" customHeight="1" x14ac:dyDescent="0.25">
      <c r="A80" s="170" t="s">
        <v>252</v>
      </c>
      <c r="B80" s="174"/>
      <c r="C80" s="183">
        <v>96.206163461538466</v>
      </c>
      <c r="D80" s="186">
        <v>47.598322115384612</v>
      </c>
      <c r="E80" s="186">
        <v>147.00708173076922</v>
      </c>
      <c r="F80" s="186">
        <v>0</v>
      </c>
      <c r="G80" s="186">
        <v>10.312725961538462</v>
      </c>
      <c r="H80" s="186"/>
      <c r="I80" s="186"/>
      <c r="J80" s="186"/>
      <c r="K80" s="186"/>
      <c r="L80" s="186"/>
      <c r="M80" s="186">
        <f>14.6882115384615+2.65</f>
        <v>17.338211538461501</v>
      </c>
      <c r="N80" s="186"/>
      <c r="O80" s="186">
        <v>129.70909615384613</v>
      </c>
      <c r="P80" s="186">
        <v>66.102245192307691</v>
      </c>
      <c r="Q80" s="186">
        <v>27.888538461538463</v>
      </c>
      <c r="R80" s="186">
        <v>0</v>
      </c>
      <c r="S80" s="186">
        <v>0</v>
      </c>
      <c r="T80" s="186">
        <v>0</v>
      </c>
      <c r="U80" s="186">
        <v>0</v>
      </c>
      <c r="V80" s="186">
        <v>0</v>
      </c>
      <c r="W80" s="186">
        <v>0</v>
      </c>
      <c r="X80" s="186">
        <v>0</v>
      </c>
      <c r="Y80" s="186">
        <v>19.828793269230768</v>
      </c>
      <c r="Z80" s="186">
        <v>4.0809326923076927</v>
      </c>
      <c r="AA80" s="186">
        <v>0</v>
      </c>
      <c r="AB80" s="186">
        <v>0</v>
      </c>
      <c r="AC80" s="186">
        <v>0</v>
      </c>
      <c r="AD80" s="186">
        <v>0</v>
      </c>
      <c r="AE80" s="186">
        <v>0</v>
      </c>
      <c r="AF80" s="186"/>
      <c r="AG80" s="186">
        <v>64.93960096153846</v>
      </c>
      <c r="AH80" s="186"/>
      <c r="AI80" s="186"/>
      <c r="AJ80" s="186">
        <v>57.287937499999998</v>
      </c>
      <c r="AK80" s="186"/>
      <c r="AL80" s="186"/>
      <c r="AM80" s="186"/>
      <c r="AN80" s="186"/>
      <c r="AO80" s="186"/>
      <c r="AP80" s="186">
        <v>13.274889423076923</v>
      </c>
      <c r="AQ80" s="186"/>
      <c r="AR80" s="186">
        <f>139.441552884615+22.71</f>
        <v>162.151552884615</v>
      </c>
      <c r="AS80" s="186"/>
      <c r="AT80" s="186"/>
      <c r="AU80" s="186"/>
      <c r="AV80" s="186">
        <f>9.81111057692308+0.06+0.01+0.01+0.53+1.27+0.73+13.96+4.38+11.53+14.41+2.18+3.71</f>
        <v>62.591110576923072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926.31720192307648</v>
      </c>
      <c r="CF80" s="254"/>
    </row>
    <row r="81" spans="1:5" ht="12.6" customHeight="1" x14ac:dyDescent="0.25">
      <c r="A81" s="207" t="s">
        <v>253</v>
      </c>
      <c r="B81" s="207"/>
      <c r="C81" s="207"/>
      <c r="D81" s="207"/>
      <c r="E81" s="207"/>
    </row>
    <row r="82" spans="1:5" ht="12.6" customHeight="1" x14ac:dyDescent="0.25">
      <c r="A82" s="170" t="s">
        <v>254</v>
      </c>
      <c r="B82" s="171"/>
      <c r="C82" s="281" t="s">
        <v>1267</v>
      </c>
      <c r="D82" s="255"/>
      <c r="E82" s="174"/>
    </row>
    <row r="83" spans="1:5" ht="12.6" customHeight="1" x14ac:dyDescent="0.25">
      <c r="A83" s="172" t="s">
        <v>255</v>
      </c>
      <c r="B83" s="171" t="s">
        <v>256</v>
      </c>
      <c r="C83" s="226" t="s">
        <v>1268</v>
      </c>
      <c r="D83" s="255"/>
      <c r="E83" s="174"/>
    </row>
    <row r="84" spans="1:5" ht="12.6" customHeight="1" x14ac:dyDescent="0.25">
      <c r="A84" s="172" t="s">
        <v>257</v>
      </c>
      <c r="B84" s="171" t="s">
        <v>256</v>
      </c>
      <c r="C84" s="229" t="s">
        <v>1269</v>
      </c>
      <c r="D84" s="204"/>
      <c r="E84" s="203"/>
    </row>
    <row r="85" spans="1:5" ht="12.6" customHeight="1" x14ac:dyDescent="0.25">
      <c r="A85" s="172" t="s">
        <v>1251</v>
      </c>
      <c r="B85" s="171"/>
      <c r="C85" s="270" t="s">
        <v>1278</v>
      </c>
      <c r="D85" s="204"/>
      <c r="E85" s="203"/>
    </row>
    <row r="86" spans="1:5" ht="12.6" customHeight="1" x14ac:dyDescent="0.25">
      <c r="A86" s="172" t="s">
        <v>1252</v>
      </c>
      <c r="B86" s="171" t="s">
        <v>256</v>
      </c>
      <c r="C86" s="230"/>
      <c r="D86" s="204"/>
      <c r="E86" s="203"/>
    </row>
    <row r="87" spans="1:5" ht="12.6" customHeight="1" x14ac:dyDescent="0.25">
      <c r="A87" s="172" t="s">
        <v>258</v>
      </c>
      <c r="B87" s="171" t="s">
        <v>256</v>
      </c>
      <c r="C87" s="229" t="s">
        <v>1271</v>
      </c>
      <c r="D87" s="204"/>
      <c r="E87" s="203"/>
    </row>
    <row r="88" spans="1:5" ht="12.6" customHeight="1" x14ac:dyDescent="0.25">
      <c r="A88" s="172" t="s">
        <v>259</v>
      </c>
      <c r="B88" s="171" t="s">
        <v>256</v>
      </c>
      <c r="C88" s="229" t="s">
        <v>1272</v>
      </c>
      <c r="D88" s="204"/>
      <c r="E88" s="203"/>
    </row>
    <row r="89" spans="1:5" ht="12.6" customHeight="1" x14ac:dyDescent="0.25">
      <c r="A89" s="172" t="s">
        <v>260</v>
      </c>
      <c r="B89" s="171" t="s">
        <v>256</v>
      </c>
      <c r="C89" s="229" t="s">
        <v>1277</v>
      </c>
      <c r="D89" s="204"/>
      <c r="E89" s="203"/>
    </row>
    <row r="90" spans="1:5" ht="12.6" customHeight="1" x14ac:dyDescent="0.25">
      <c r="A90" s="172" t="s">
        <v>261</v>
      </c>
      <c r="B90" s="171" t="s">
        <v>256</v>
      </c>
      <c r="C90" s="229" t="s">
        <v>1274</v>
      </c>
      <c r="D90" s="204"/>
      <c r="E90" s="203"/>
    </row>
    <row r="91" spans="1:5" ht="12.6" customHeight="1" x14ac:dyDescent="0.25">
      <c r="A91" s="172" t="s">
        <v>262</v>
      </c>
      <c r="B91" s="171" t="s">
        <v>256</v>
      </c>
      <c r="C91" s="229"/>
      <c r="D91" s="204"/>
      <c r="E91" s="203"/>
    </row>
    <row r="92" spans="1:5" ht="12.6" customHeight="1" x14ac:dyDescent="0.25">
      <c r="A92" s="172" t="s">
        <v>263</v>
      </c>
      <c r="B92" s="171" t="s">
        <v>256</v>
      </c>
      <c r="C92" s="225" t="s">
        <v>1275</v>
      </c>
      <c r="D92" s="255"/>
      <c r="E92" s="174"/>
    </row>
    <row r="93" spans="1:5" ht="12.6" customHeight="1" x14ac:dyDescent="0.25">
      <c r="A93" s="172" t="s">
        <v>264</v>
      </c>
      <c r="B93" s="171" t="s">
        <v>256</v>
      </c>
      <c r="C93" s="269"/>
      <c r="D93" s="255"/>
      <c r="E93" s="174"/>
    </row>
    <row r="94" spans="1:5" ht="12.6" customHeight="1" x14ac:dyDescent="0.25">
      <c r="A94" s="172"/>
      <c r="B94" s="172"/>
      <c r="C94" s="190"/>
      <c r="D94" s="174"/>
      <c r="E94" s="174"/>
    </row>
    <row r="95" spans="1:5" ht="12.6" customHeight="1" x14ac:dyDescent="0.25">
      <c r="A95" s="207" t="s">
        <v>265</v>
      </c>
      <c r="B95" s="207"/>
      <c r="C95" s="207"/>
      <c r="D95" s="207"/>
      <c r="E95" s="207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2" t="s">
        <v>267</v>
      </c>
      <c r="B97" s="171" t="s">
        <v>256</v>
      </c>
      <c r="C97" s="188"/>
      <c r="D97" s="174"/>
      <c r="E97" s="174"/>
    </row>
    <row r="98" spans="1:5" ht="12.6" customHeight="1" x14ac:dyDescent="0.25">
      <c r="A98" s="172" t="s">
        <v>259</v>
      </c>
      <c r="B98" s="171" t="s">
        <v>256</v>
      </c>
      <c r="C98" s="188"/>
      <c r="D98" s="174"/>
      <c r="E98" s="174"/>
    </row>
    <row r="99" spans="1:5" ht="12.6" customHeight="1" x14ac:dyDescent="0.25">
      <c r="A99" s="172" t="s">
        <v>268</v>
      </c>
      <c r="B99" s="171" t="s">
        <v>256</v>
      </c>
      <c r="C99" s="188">
        <v>1</v>
      </c>
      <c r="D99" s="174"/>
      <c r="E99" s="174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2" t="s">
        <v>270</v>
      </c>
      <c r="B101" s="171" t="s">
        <v>256</v>
      </c>
      <c r="C101" s="188"/>
      <c r="D101" s="174"/>
      <c r="E101" s="174"/>
    </row>
    <row r="102" spans="1:5" ht="12.6" customHeight="1" x14ac:dyDescent="0.25">
      <c r="A102" s="172" t="s">
        <v>132</v>
      </c>
      <c r="B102" s="171" t="s">
        <v>256</v>
      </c>
      <c r="C102" s="221"/>
      <c r="D102" s="174"/>
      <c r="E102" s="174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2" t="s">
        <v>272</v>
      </c>
      <c r="B104" s="171" t="s">
        <v>256</v>
      </c>
      <c r="C104" s="188"/>
      <c r="D104" s="174"/>
      <c r="E104" s="174"/>
    </row>
    <row r="105" spans="1:5" ht="12.6" customHeight="1" x14ac:dyDescent="0.25">
      <c r="A105" s="172" t="s">
        <v>273</v>
      </c>
      <c r="B105" s="171" t="s">
        <v>256</v>
      </c>
      <c r="C105" s="188"/>
      <c r="D105" s="174"/>
      <c r="E105" s="174"/>
    </row>
    <row r="106" spans="1:5" ht="12.6" customHeight="1" x14ac:dyDescent="0.25">
      <c r="A106" s="172" t="s">
        <v>274</v>
      </c>
      <c r="B106" s="171" t="s">
        <v>256</v>
      </c>
      <c r="C106" s="188"/>
      <c r="D106" s="174"/>
      <c r="E106" s="174"/>
    </row>
    <row r="107" spans="1:5" ht="21.75" customHeight="1" x14ac:dyDescent="0.25">
      <c r="A107" s="172"/>
      <c r="B107" s="171"/>
      <c r="C107" s="189"/>
      <c r="D107" s="174"/>
      <c r="E107" s="174"/>
    </row>
    <row r="108" spans="1:5" ht="13.5" customHeight="1" x14ac:dyDescent="0.25">
      <c r="A108" s="206" t="s">
        <v>275</v>
      </c>
      <c r="B108" s="207"/>
      <c r="C108" s="207"/>
      <c r="D108" s="207"/>
      <c r="E108" s="207"/>
    </row>
    <row r="109" spans="1:5" ht="13.5" customHeight="1" x14ac:dyDescent="0.25">
      <c r="A109" s="172"/>
      <c r="B109" s="171"/>
      <c r="C109" s="189"/>
      <c r="D109" s="174"/>
      <c r="E109" s="174"/>
    </row>
    <row r="110" spans="1:5" ht="12.6" customHeight="1" x14ac:dyDescent="0.25">
      <c r="A110" s="170" t="s">
        <v>276</v>
      </c>
      <c r="B110" s="174"/>
      <c r="C110" s="181" t="s">
        <v>277</v>
      </c>
      <c r="D110" s="169" t="s">
        <v>215</v>
      </c>
      <c r="E110" s="174"/>
    </row>
    <row r="111" spans="1:5" ht="12.6" customHeight="1" x14ac:dyDescent="0.25">
      <c r="A111" s="172" t="s">
        <v>278</v>
      </c>
      <c r="B111" s="171" t="s">
        <v>256</v>
      </c>
      <c r="C111" s="188">
        <v>15068</v>
      </c>
      <c r="D111" s="173">
        <v>66716</v>
      </c>
      <c r="E111" s="174"/>
    </row>
    <row r="112" spans="1:5" ht="12.6" customHeight="1" x14ac:dyDescent="0.25">
      <c r="A112" s="172" t="s">
        <v>279</v>
      </c>
      <c r="B112" s="171" t="s">
        <v>256</v>
      </c>
      <c r="C112" s="188"/>
      <c r="D112" s="173"/>
      <c r="E112" s="174"/>
    </row>
    <row r="113" spans="1:5" ht="12.6" customHeight="1" x14ac:dyDescent="0.25">
      <c r="A113" s="172" t="s">
        <v>280</v>
      </c>
      <c r="B113" s="171" t="s">
        <v>256</v>
      </c>
      <c r="C113" s="188"/>
      <c r="D113" s="173"/>
      <c r="E113" s="174"/>
    </row>
    <row r="114" spans="1:5" ht="12.6" customHeight="1" x14ac:dyDescent="0.25">
      <c r="A114" s="172" t="s">
        <v>281</v>
      </c>
      <c r="B114" s="171" t="s">
        <v>256</v>
      </c>
      <c r="C114" s="188">
        <v>4626</v>
      </c>
      <c r="D114" s="173"/>
      <c r="E114" s="174"/>
    </row>
    <row r="115" spans="1:5" ht="12.6" customHeight="1" x14ac:dyDescent="0.25">
      <c r="A115" s="170" t="s">
        <v>282</v>
      </c>
      <c r="B115" s="174"/>
      <c r="C115" s="181" t="s">
        <v>167</v>
      </c>
      <c r="D115" s="174"/>
      <c r="E115" s="174"/>
    </row>
    <row r="116" spans="1:5" ht="12.6" customHeight="1" x14ac:dyDescent="0.25">
      <c r="A116" s="172" t="s">
        <v>283</v>
      </c>
      <c r="B116" s="171" t="s">
        <v>256</v>
      </c>
      <c r="C116" s="188">
        <v>13</v>
      </c>
      <c r="D116" s="174"/>
      <c r="E116" s="174"/>
    </row>
    <row r="117" spans="1:5" ht="12.6" customHeight="1" x14ac:dyDescent="0.25">
      <c r="A117" s="172" t="s">
        <v>284</v>
      </c>
      <c r="B117" s="171" t="s">
        <v>256</v>
      </c>
      <c r="C117" s="188">
        <v>27</v>
      </c>
      <c r="D117" s="174"/>
      <c r="E117" s="174"/>
    </row>
    <row r="118" spans="1:5" ht="12.6" customHeight="1" x14ac:dyDescent="0.25">
      <c r="A118" s="172" t="s">
        <v>1239</v>
      </c>
      <c r="B118" s="171" t="s">
        <v>256</v>
      </c>
      <c r="C118" s="188">
        <v>87</v>
      </c>
      <c r="D118" s="174"/>
      <c r="E118" s="174"/>
    </row>
    <row r="119" spans="1:5" ht="12.6" customHeight="1" x14ac:dyDescent="0.25">
      <c r="A119" s="172" t="s">
        <v>285</v>
      </c>
      <c r="B119" s="171" t="s">
        <v>256</v>
      </c>
      <c r="C119" s="188">
        <v>1</v>
      </c>
      <c r="D119" s="174"/>
      <c r="E119" s="174"/>
    </row>
    <row r="120" spans="1:5" ht="12.6" customHeight="1" x14ac:dyDescent="0.25">
      <c r="A120" s="172" t="s">
        <v>286</v>
      </c>
      <c r="B120" s="171" t="s">
        <v>256</v>
      </c>
      <c r="C120" s="188">
        <v>45</v>
      </c>
      <c r="D120" s="174"/>
      <c r="E120" s="174"/>
    </row>
    <row r="121" spans="1:5" ht="12.6" customHeight="1" x14ac:dyDescent="0.25">
      <c r="A121" s="172" t="s">
        <v>287</v>
      </c>
      <c r="B121" s="171" t="s">
        <v>256</v>
      </c>
      <c r="C121" s="188">
        <v>10</v>
      </c>
      <c r="D121" s="174"/>
      <c r="E121" s="174"/>
    </row>
    <row r="122" spans="1:5" ht="12.6" customHeight="1" x14ac:dyDescent="0.25">
      <c r="A122" s="172" t="s">
        <v>97</v>
      </c>
      <c r="B122" s="171" t="s">
        <v>256</v>
      </c>
      <c r="C122" s="188"/>
      <c r="D122" s="174"/>
      <c r="E122" s="174"/>
    </row>
    <row r="123" spans="1:5" ht="12.6" customHeight="1" x14ac:dyDescent="0.25">
      <c r="A123" s="172" t="s">
        <v>288</v>
      </c>
      <c r="B123" s="171" t="s">
        <v>256</v>
      </c>
      <c r="C123" s="188"/>
      <c r="D123" s="174"/>
      <c r="E123" s="174"/>
    </row>
    <row r="124" spans="1:5" ht="12.6" customHeight="1" x14ac:dyDescent="0.25">
      <c r="A124" s="172" t="s">
        <v>289</v>
      </c>
      <c r="B124" s="171"/>
      <c r="C124" s="188"/>
      <c r="D124" s="174"/>
      <c r="E124" s="174"/>
    </row>
    <row r="125" spans="1:5" ht="12.6" customHeight="1" x14ac:dyDescent="0.25">
      <c r="A125" s="172" t="s">
        <v>280</v>
      </c>
      <c r="B125" s="171" t="s">
        <v>256</v>
      </c>
      <c r="C125" s="188"/>
      <c r="D125" s="174"/>
      <c r="E125" s="174"/>
    </row>
    <row r="126" spans="1:5" ht="12.6" customHeight="1" x14ac:dyDescent="0.25">
      <c r="A126" s="172" t="s">
        <v>290</v>
      </c>
      <c r="B126" s="171" t="s">
        <v>256</v>
      </c>
      <c r="C126" s="188">
        <v>20</v>
      </c>
      <c r="D126" s="174"/>
      <c r="E126" s="174"/>
    </row>
    <row r="127" spans="1:5" ht="12.6" customHeight="1" x14ac:dyDescent="0.25">
      <c r="A127" s="172" t="s">
        <v>291</v>
      </c>
      <c r="B127" s="174"/>
      <c r="C127" s="190"/>
      <c r="D127" s="174"/>
      <c r="E127" s="174">
        <f>SUM(C116:C126)</f>
        <v>203</v>
      </c>
    </row>
    <row r="128" spans="1:5" ht="12.6" customHeight="1" x14ac:dyDescent="0.25">
      <c r="A128" s="172" t="s">
        <v>292</v>
      </c>
      <c r="B128" s="171" t="s">
        <v>256</v>
      </c>
      <c r="C128" s="188">
        <v>318</v>
      </c>
      <c r="D128" s="174"/>
      <c r="E128" s="174"/>
    </row>
    <row r="129" spans="1:6" ht="12.6" customHeight="1" x14ac:dyDescent="0.25">
      <c r="A129" s="172" t="s">
        <v>293</v>
      </c>
      <c r="B129" s="171" t="s">
        <v>256</v>
      </c>
      <c r="C129" s="188"/>
      <c r="D129" s="174"/>
      <c r="E129" s="174"/>
    </row>
    <row r="130" spans="1:6" ht="12.6" customHeight="1" x14ac:dyDescent="0.25">
      <c r="A130" s="172"/>
      <c r="B130" s="174"/>
      <c r="C130" s="190"/>
      <c r="D130" s="174"/>
      <c r="E130" s="174"/>
    </row>
    <row r="131" spans="1:6" ht="12.6" customHeight="1" x14ac:dyDescent="0.25">
      <c r="A131" s="172" t="s">
        <v>294</v>
      </c>
      <c r="B131" s="171" t="s">
        <v>256</v>
      </c>
      <c r="C131" s="188"/>
      <c r="D131" s="174"/>
      <c r="E131" s="174"/>
    </row>
    <row r="132" spans="1:6" ht="12.6" customHeight="1" x14ac:dyDescent="0.25">
      <c r="A132" s="172"/>
      <c r="B132" s="172"/>
      <c r="C132" s="190"/>
      <c r="D132" s="174"/>
      <c r="E132" s="174"/>
    </row>
    <row r="133" spans="1:6" ht="12.6" customHeight="1" x14ac:dyDescent="0.25">
      <c r="A133" s="172"/>
      <c r="B133" s="172"/>
      <c r="C133" s="190"/>
      <c r="D133" s="174"/>
      <c r="E133" s="174"/>
    </row>
    <row r="134" spans="1:6" ht="12.6" customHeight="1" x14ac:dyDescent="0.25">
      <c r="A134" s="172"/>
      <c r="B134" s="172"/>
      <c r="C134" s="190"/>
      <c r="D134" s="174"/>
      <c r="E134" s="174"/>
    </row>
    <row r="135" spans="1:6" ht="18" customHeight="1" x14ac:dyDescent="0.25">
      <c r="A135" s="172"/>
      <c r="B135" s="172"/>
      <c r="C135" s="190"/>
      <c r="D135" s="174"/>
      <c r="E135" s="174"/>
    </row>
    <row r="136" spans="1:6" ht="12.6" customHeight="1" x14ac:dyDescent="0.25">
      <c r="A136" s="207" t="s">
        <v>1240</v>
      </c>
      <c r="B136" s="206"/>
      <c r="C136" s="206"/>
      <c r="D136" s="206"/>
      <c r="E136" s="206"/>
    </row>
    <row r="137" spans="1:6" ht="12.6" customHeight="1" x14ac:dyDescent="0.25">
      <c r="A137" s="257" t="s">
        <v>295</v>
      </c>
      <c r="B137" s="175" t="s">
        <v>296</v>
      </c>
      <c r="C137" s="191" t="s">
        <v>297</v>
      </c>
      <c r="D137" s="175" t="s">
        <v>132</v>
      </c>
      <c r="E137" s="175" t="s">
        <v>203</v>
      </c>
    </row>
    <row r="138" spans="1:6" ht="12.6" customHeight="1" x14ac:dyDescent="0.25">
      <c r="A138" s="172" t="s">
        <v>277</v>
      </c>
      <c r="B138" s="173">
        <v>5825</v>
      </c>
      <c r="C138" s="188">
        <v>2505</v>
      </c>
      <c r="D138" s="173">
        <f>15068-B138-C138</f>
        <v>6738</v>
      </c>
      <c r="E138" s="174">
        <f>SUM(B138:D138)</f>
        <v>15068</v>
      </c>
    </row>
    <row r="139" spans="1:6" ht="12.6" customHeight="1" x14ac:dyDescent="0.25">
      <c r="A139" s="172" t="s">
        <v>215</v>
      </c>
      <c r="B139" s="173">
        <v>33786</v>
      </c>
      <c r="C139" s="188">
        <v>9707</v>
      </c>
      <c r="D139" s="173">
        <f>66716-B139-C139</f>
        <v>23223</v>
      </c>
      <c r="E139" s="174">
        <f>SUM(B139:D139)</f>
        <v>66716</v>
      </c>
    </row>
    <row r="140" spans="1:6" ht="12.6" customHeight="1" x14ac:dyDescent="0.25">
      <c r="A140" s="172" t="s">
        <v>298</v>
      </c>
      <c r="B140" s="173"/>
      <c r="C140" s="173"/>
      <c r="D140" s="173"/>
      <c r="E140" s="174">
        <f>SUM(B140:D140)</f>
        <v>0</v>
      </c>
    </row>
    <row r="141" spans="1:6" ht="12.6" customHeight="1" x14ac:dyDescent="0.25">
      <c r="A141" s="172" t="s">
        <v>245</v>
      </c>
      <c r="B141" s="173">
        <v>373239145</v>
      </c>
      <c r="C141" s="188">
        <v>87863353</v>
      </c>
      <c r="D141" s="173">
        <v>320199102</v>
      </c>
      <c r="E141" s="174">
        <f>SUM(B141:D141)</f>
        <v>781301600</v>
      </c>
      <c r="F141" s="198"/>
    </row>
    <row r="142" spans="1:6" ht="12.6" customHeight="1" x14ac:dyDescent="0.25">
      <c r="A142" s="172" t="s">
        <v>246</v>
      </c>
      <c r="B142" s="173">
        <v>418738908</v>
      </c>
      <c r="C142" s="188">
        <v>91464977</v>
      </c>
      <c r="D142" s="173">
        <v>574432150</v>
      </c>
      <c r="E142" s="174">
        <f>SUM(B142:D142)</f>
        <v>1084636035</v>
      </c>
      <c r="F142" s="198"/>
    </row>
    <row r="143" spans="1:6" ht="12.6" customHeight="1" x14ac:dyDescent="0.25">
      <c r="A143" s="257" t="s">
        <v>299</v>
      </c>
      <c r="B143" s="175" t="s">
        <v>296</v>
      </c>
      <c r="C143" s="191" t="s">
        <v>297</v>
      </c>
      <c r="D143" s="175" t="s">
        <v>132</v>
      </c>
      <c r="E143" s="175" t="s">
        <v>203</v>
      </c>
    </row>
    <row r="144" spans="1:6" ht="12.6" customHeight="1" x14ac:dyDescent="0.25">
      <c r="A144" s="172" t="s">
        <v>277</v>
      </c>
      <c r="B144" s="173"/>
      <c r="C144" s="188"/>
      <c r="D144" s="173"/>
      <c r="E144" s="174">
        <f>SUM(B144:D144)</f>
        <v>0</v>
      </c>
    </row>
    <row r="145" spans="1:5" ht="12.6" customHeight="1" x14ac:dyDescent="0.25">
      <c r="A145" s="172" t="s">
        <v>215</v>
      </c>
      <c r="B145" s="173"/>
      <c r="C145" s="188"/>
      <c r="D145" s="173"/>
      <c r="E145" s="174">
        <f>SUM(B145:D145)</f>
        <v>0</v>
      </c>
    </row>
    <row r="146" spans="1:5" ht="12.6" customHeight="1" x14ac:dyDescent="0.25">
      <c r="A146" s="172" t="s">
        <v>298</v>
      </c>
      <c r="B146" s="173"/>
      <c r="C146" s="188"/>
      <c r="D146" s="173"/>
      <c r="E146" s="174">
        <f>SUM(B146:D146)</f>
        <v>0</v>
      </c>
    </row>
    <row r="147" spans="1:5" ht="12.6" customHeight="1" x14ac:dyDescent="0.25">
      <c r="A147" s="172" t="s">
        <v>245</v>
      </c>
      <c r="B147" s="173"/>
      <c r="C147" s="188"/>
      <c r="D147" s="173"/>
      <c r="E147" s="174">
        <f>SUM(B147:D147)</f>
        <v>0</v>
      </c>
    </row>
    <row r="148" spans="1:5" ht="12.6" customHeight="1" x14ac:dyDescent="0.25">
      <c r="A148" s="172" t="s">
        <v>246</v>
      </c>
      <c r="B148" s="173"/>
      <c r="C148" s="188"/>
      <c r="D148" s="173"/>
      <c r="E148" s="174">
        <f>SUM(B148:D148)</f>
        <v>0</v>
      </c>
    </row>
    <row r="149" spans="1:5" ht="12.6" customHeight="1" x14ac:dyDescent="0.25">
      <c r="A149" s="257" t="s">
        <v>300</v>
      </c>
      <c r="B149" s="175" t="s">
        <v>296</v>
      </c>
      <c r="C149" s="191" t="s">
        <v>297</v>
      </c>
      <c r="D149" s="175" t="s">
        <v>132</v>
      </c>
      <c r="E149" s="175" t="s">
        <v>203</v>
      </c>
    </row>
    <row r="150" spans="1:5" ht="12.6" customHeight="1" x14ac:dyDescent="0.25">
      <c r="A150" s="172" t="s">
        <v>277</v>
      </c>
      <c r="B150" s="173"/>
      <c r="C150" s="188"/>
      <c r="D150" s="173"/>
      <c r="E150" s="174">
        <f>SUM(B150:D150)</f>
        <v>0</v>
      </c>
    </row>
    <row r="151" spans="1:5" ht="12.6" customHeight="1" x14ac:dyDescent="0.25">
      <c r="A151" s="172" t="s">
        <v>215</v>
      </c>
      <c r="B151" s="173"/>
      <c r="C151" s="188"/>
      <c r="D151" s="173"/>
      <c r="E151" s="174">
        <f>SUM(B151:D151)</f>
        <v>0</v>
      </c>
    </row>
    <row r="152" spans="1:5" ht="12.6" customHeight="1" x14ac:dyDescent="0.25">
      <c r="A152" s="172" t="s">
        <v>298</v>
      </c>
      <c r="B152" s="173"/>
      <c r="C152" s="188"/>
      <c r="D152" s="173"/>
      <c r="E152" s="174">
        <f>SUM(B152:D152)</f>
        <v>0</v>
      </c>
    </row>
    <row r="153" spans="1:5" ht="12.6" customHeight="1" x14ac:dyDescent="0.25">
      <c r="A153" s="172" t="s">
        <v>245</v>
      </c>
      <c r="B153" s="173"/>
      <c r="C153" s="188"/>
      <c r="D153" s="173"/>
      <c r="E153" s="174">
        <f>SUM(B153:D153)</f>
        <v>0</v>
      </c>
    </row>
    <row r="154" spans="1:5" ht="12.6" customHeight="1" x14ac:dyDescent="0.25">
      <c r="A154" s="172" t="s">
        <v>246</v>
      </c>
      <c r="B154" s="173"/>
      <c r="C154" s="188"/>
      <c r="D154" s="173"/>
      <c r="E154" s="174">
        <f>SUM(B154:D154)</f>
        <v>0</v>
      </c>
    </row>
    <row r="155" spans="1:5" ht="12.6" customHeight="1" x14ac:dyDescent="0.25">
      <c r="A155" s="176"/>
      <c r="B155" s="176"/>
      <c r="C155" s="192"/>
      <c r="D155" s="177"/>
      <c r="E155" s="174"/>
    </row>
    <row r="156" spans="1:5" ht="12.6" customHeight="1" x14ac:dyDescent="0.25">
      <c r="A156" s="257" t="s">
        <v>301</v>
      </c>
      <c r="B156" s="175" t="s">
        <v>302</v>
      </c>
      <c r="C156" s="191" t="s">
        <v>303</v>
      </c>
      <c r="D156" s="174"/>
      <c r="E156" s="174"/>
    </row>
    <row r="157" spans="1:5" ht="12.6" customHeight="1" x14ac:dyDescent="0.25">
      <c r="A157" s="176" t="s">
        <v>304</v>
      </c>
      <c r="B157" s="173">
        <v>6024384</v>
      </c>
      <c r="C157" s="173">
        <v>13000353</v>
      </c>
      <c r="D157" s="174"/>
      <c r="E157" s="174"/>
    </row>
    <row r="158" spans="1:5" ht="12.6" customHeight="1" x14ac:dyDescent="0.25">
      <c r="A158" s="176"/>
      <c r="B158" s="177"/>
      <c r="C158" s="192"/>
      <c r="D158" s="174"/>
      <c r="E158" s="174"/>
    </row>
    <row r="159" spans="1:5" ht="12.6" customHeight="1" x14ac:dyDescent="0.25">
      <c r="A159" s="176"/>
      <c r="B159" s="176"/>
      <c r="C159" s="192"/>
      <c r="D159" s="177"/>
      <c r="E159" s="174"/>
    </row>
    <row r="160" spans="1:5" ht="12.6" customHeight="1" x14ac:dyDescent="0.25">
      <c r="A160" s="176"/>
      <c r="B160" s="176"/>
      <c r="C160" s="192"/>
      <c r="D160" s="177"/>
      <c r="E160" s="174"/>
    </row>
    <row r="161" spans="1:5" ht="12.6" customHeight="1" x14ac:dyDescent="0.25">
      <c r="A161" s="176"/>
      <c r="B161" s="176"/>
      <c r="C161" s="192"/>
      <c r="D161" s="177"/>
      <c r="E161" s="174"/>
    </row>
    <row r="162" spans="1:5" ht="21.75" customHeight="1" x14ac:dyDescent="0.25">
      <c r="A162" s="176"/>
      <c r="B162" s="176"/>
      <c r="C162" s="192"/>
      <c r="D162" s="177"/>
      <c r="E162" s="174"/>
    </row>
    <row r="163" spans="1:5" ht="11.4" customHeight="1" x14ac:dyDescent="0.25">
      <c r="A163" s="206" t="s">
        <v>305</v>
      </c>
      <c r="B163" s="207"/>
      <c r="C163" s="207"/>
      <c r="D163" s="207"/>
      <c r="E163" s="207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2" t="s">
        <v>307</v>
      </c>
      <c r="B165" s="171" t="s">
        <v>256</v>
      </c>
      <c r="C165" s="188">
        <v>23932113</v>
      </c>
      <c r="D165" s="174"/>
      <c r="E165" s="174"/>
    </row>
    <row r="166" spans="1:5" ht="11.4" customHeight="1" x14ac:dyDescent="0.25">
      <c r="A166" s="172" t="s">
        <v>308</v>
      </c>
      <c r="B166" s="171" t="s">
        <v>256</v>
      </c>
      <c r="C166" s="188">
        <v>490840</v>
      </c>
      <c r="D166" s="174"/>
      <c r="E166" s="174"/>
    </row>
    <row r="167" spans="1:5" ht="11.4" customHeight="1" x14ac:dyDescent="0.25">
      <c r="A167" s="176" t="s">
        <v>309</v>
      </c>
      <c r="B167" s="171" t="s">
        <v>256</v>
      </c>
      <c r="C167" s="188">
        <v>1384628</v>
      </c>
      <c r="D167" s="174"/>
      <c r="E167" s="174"/>
    </row>
    <row r="168" spans="1:5" ht="11.4" customHeight="1" x14ac:dyDescent="0.25">
      <c r="A168" s="172" t="s">
        <v>310</v>
      </c>
      <c r="B168" s="171" t="s">
        <v>256</v>
      </c>
      <c r="C168" s="188">
        <v>40289598</v>
      </c>
      <c r="D168" s="174"/>
      <c r="E168" s="174"/>
    </row>
    <row r="169" spans="1:5" ht="11.4" customHeight="1" x14ac:dyDescent="0.25">
      <c r="A169" s="172" t="s">
        <v>311</v>
      </c>
      <c r="B169" s="171" t="s">
        <v>256</v>
      </c>
      <c r="C169" s="188">
        <v>210615</v>
      </c>
      <c r="D169" s="174"/>
      <c r="E169" s="174"/>
    </row>
    <row r="170" spans="1:5" ht="11.4" customHeight="1" x14ac:dyDescent="0.25">
      <c r="A170" s="172" t="s">
        <v>312</v>
      </c>
      <c r="B170" s="171" t="s">
        <v>256</v>
      </c>
      <c r="C170" s="188">
        <v>18198152</v>
      </c>
      <c r="D170" s="174"/>
      <c r="E170" s="174"/>
    </row>
    <row r="171" spans="1:5" ht="11.4" customHeight="1" x14ac:dyDescent="0.25">
      <c r="A171" s="172" t="s">
        <v>313</v>
      </c>
      <c r="B171" s="171" t="s">
        <v>256</v>
      </c>
      <c r="C171" s="188">
        <v>277880</v>
      </c>
      <c r="D171" s="174"/>
      <c r="E171" s="174"/>
    </row>
    <row r="172" spans="1:5" ht="11.4" customHeight="1" x14ac:dyDescent="0.25">
      <c r="A172" s="172" t="s">
        <v>313</v>
      </c>
      <c r="B172" s="171" t="s">
        <v>256</v>
      </c>
      <c r="C172" s="188"/>
      <c r="D172" s="174"/>
      <c r="E172" s="174"/>
    </row>
    <row r="173" spans="1:5" ht="11.4" customHeight="1" x14ac:dyDescent="0.25">
      <c r="A173" s="172" t="s">
        <v>203</v>
      </c>
      <c r="B173" s="174"/>
      <c r="C173" s="190"/>
      <c r="D173" s="174">
        <f>SUM(C165:C172)</f>
        <v>84783826</v>
      </c>
      <c r="E173" s="174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2" t="s">
        <v>315</v>
      </c>
      <c r="B175" s="171" t="s">
        <v>256</v>
      </c>
      <c r="C175" s="188">
        <v>12694544</v>
      </c>
      <c r="D175" s="174"/>
      <c r="E175" s="174"/>
    </row>
    <row r="176" spans="1:5" ht="11.4" customHeight="1" x14ac:dyDescent="0.25">
      <c r="A176" s="172" t="s">
        <v>316</v>
      </c>
      <c r="B176" s="171" t="s">
        <v>256</v>
      </c>
      <c r="C176" s="188">
        <v>3498539</v>
      </c>
      <c r="D176" s="174"/>
      <c r="E176" s="174"/>
    </row>
    <row r="177" spans="1:5" ht="11.4" customHeight="1" x14ac:dyDescent="0.25">
      <c r="A177" s="172" t="s">
        <v>203</v>
      </c>
      <c r="B177" s="174"/>
      <c r="C177" s="190"/>
      <c r="D177" s="174">
        <f>SUM(C175:C176)</f>
        <v>16193083</v>
      </c>
      <c r="E177" s="174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2" t="s">
        <v>318</v>
      </c>
      <c r="B179" s="171" t="s">
        <v>256</v>
      </c>
      <c r="C179" s="188">
        <v>2598029</v>
      </c>
      <c r="D179" s="174"/>
      <c r="E179" s="174"/>
    </row>
    <row r="180" spans="1:5" ht="11.4" customHeight="1" x14ac:dyDescent="0.25">
      <c r="A180" s="172" t="s">
        <v>319</v>
      </c>
      <c r="B180" s="171" t="s">
        <v>256</v>
      </c>
      <c r="C180" s="188">
        <v>946943</v>
      </c>
      <c r="D180" s="174"/>
      <c r="E180" s="174"/>
    </row>
    <row r="181" spans="1:5" ht="11.4" customHeight="1" x14ac:dyDescent="0.25">
      <c r="A181" s="172" t="s">
        <v>203</v>
      </c>
      <c r="B181" s="174"/>
      <c r="C181" s="190"/>
      <c r="D181" s="174">
        <f>SUM(C179:C180)</f>
        <v>3544972</v>
      </c>
      <c r="E181" s="174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2" t="s">
        <v>321</v>
      </c>
      <c r="B183" s="171" t="s">
        <v>256</v>
      </c>
      <c r="C183" s="188">
        <v>735453</v>
      </c>
      <c r="D183" s="174"/>
      <c r="E183" s="174"/>
    </row>
    <row r="184" spans="1:5" ht="11.4" customHeight="1" x14ac:dyDescent="0.25">
      <c r="A184" s="172" t="s">
        <v>322</v>
      </c>
      <c r="B184" s="171" t="s">
        <v>256</v>
      </c>
      <c r="C184" s="188">
        <v>6696265</v>
      </c>
      <c r="D184" s="174"/>
      <c r="E184" s="174"/>
    </row>
    <row r="185" spans="1:5" ht="11.4" customHeight="1" x14ac:dyDescent="0.25">
      <c r="A185" s="172" t="s">
        <v>132</v>
      </c>
      <c r="B185" s="171" t="s">
        <v>256</v>
      </c>
      <c r="C185" s="188"/>
      <c r="D185" s="174"/>
      <c r="E185" s="174"/>
    </row>
    <row r="186" spans="1:5" ht="11.4" customHeight="1" x14ac:dyDescent="0.25">
      <c r="A186" s="172" t="s">
        <v>203</v>
      </c>
      <c r="B186" s="174"/>
      <c r="C186" s="190"/>
      <c r="D186" s="174">
        <f>SUM(C183:C185)</f>
        <v>7431718</v>
      </c>
      <c r="E186" s="174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2" t="s">
        <v>324</v>
      </c>
      <c r="B188" s="171" t="s">
        <v>256</v>
      </c>
      <c r="C188" s="188">
        <v>8026275</v>
      </c>
      <c r="D188" s="174"/>
      <c r="E188" s="174"/>
    </row>
    <row r="189" spans="1:5" ht="11.4" customHeight="1" x14ac:dyDescent="0.25">
      <c r="A189" s="172" t="s">
        <v>325</v>
      </c>
      <c r="B189" s="171" t="s">
        <v>256</v>
      </c>
      <c r="C189" s="188"/>
      <c r="D189" s="174"/>
      <c r="E189" s="174"/>
    </row>
    <row r="190" spans="1:5" ht="11.4" customHeight="1" x14ac:dyDescent="0.25">
      <c r="A190" s="172" t="s">
        <v>203</v>
      </c>
      <c r="B190" s="174"/>
      <c r="C190" s="190"/>
      <c r="D190" s="174">
        <f>SUM(C188:C189)</f>
        <v>8026275</v>
      </c>
      <c r="E190" s="174"/>
    </row>
    <row r="191" spans="1:5" ht="18" customHeight="1" x14ac:dyDescent="0.25">
      <c r="A191" s="172"/>
      <c r="B191" s="174"/>
      <c r="C191" s="190"/>
      <c r="D191" s="174"/>
      <c r="E191" s="174"/>
    </row>
    <row r="192" spans="1:5" ht="12.6" customHeight="1" x14ac:dyDescent="0.25">
      <c r="A192" s="207" t="s">
        <v>326</v>
      </c>
      <c r="B192" s="207"/>
      <c r="C192" s="207"/>
      <c r="D192" s="207"/>
      <c r="E192" s="207"/>
    </row>
    <row r="193" spans="1:8" ht="12.6" customHeight="1" x14ac:dyDescent="0.25">
      <c r="A193" s="206" t="s">
        <v>327</v>
      </c>
      <c r="B193" s="207"/>
      <c r="C193" s="207"/>
      <c r="D193" s="207"/>
      <c r="E193" s="207"/>
    </row>
    <row r="194" spans="1:8" ht="12.6" customHeight="1" x14ac:dyDescent="0.25">
      <c r="A194" s="170"/>
      <c r="B194" s="169" t="s">
        <v>328</v>
      </c>
      <c r="C194" s="181" t="s">
        <v>329</v>
      </c>
      <c r="D194" s="169" t="s">
        <v>330</v>
      </c>
      <c r="E194" s="169" t="s">
        <v>331</v>
      </c>
    </row>
    <row r="195" spans="1:8" ht="12.6" customHeight="1" x14ac:dyDescent="0.25">
      <c r="A195" s="172" t="s">
        <v>332</v>
      </c>
      <c r="B195" s="173">
        <v>4913660</v>
      </c>
      <c r="C195" s="188"/>
      <c r="D195" s="173"/>
      <c r="E195" s="174">
        <f t="shared" ref="E195:E203" si="10">SUM(B195:C195)-D195</f>
        <v>4913660</v>
      </c>
    </row>
    <row r="196" spans="1:8" ht="12.6" customHeight="1" x14ac:dyDescent="0.25">
      <c r="A196" s="172" t="s">
        <v>333</v>
      </c>
      <c r="B196" s="173">
        <v>14664226</v>
      </c>
      <c r="C196" s="188"/>
      <c r="D196" s="173">
        <v>335351</v>
      </c>
      <c r="E196" s="174">
        <f t="shared" si="10"/>
        <v>14328875</v>
      </c>
    </row>
    <row r="197" spans="1:8" ht="12.6" customHeight="1" x14ac:dyDescent="0.25">
      <c r="A197" s="172" t="s">
        <v>334</v>
      </c>
      <c r="B197" s="173">
        <v>334117953</v>
      </c>
      <c r="C197" s="188">
        <v>4039748</v>
      </c>
      <c r="D197" s="173">
        <v>1430447</v>
      </c>
      <c r="E197" s="174">
        <f t="shared" si="10"/>
        <v>336727254</v>
      </c>
    </row>
    <row r="198" spans="1:8" ht="12.6" customHeight="1" x14ac:dyDescent="0.25">
      <c r="A198" s="172" t="s">
        <v>335</v>
      </c>
      <c r="B198" s="173">
        <v>127768533</v>
      </c>
      <c r="C198" s="188">
        <v>3478488</v>
      </c>
      <c r="D198" s="173">
        <v>645583</v>
      </c>
      <c r="E198" s="174">
        <f t="shared" si="10"/>
        <v>130601438</v>
      </c>
    </row>
    <row r="199" spans="1:8" ht="12.6" customHeight="1" x14ac:dyDescent="0.25">
      <c r="A199" s="172" t="s">
        <v>336</v>
      </c>
      <c r="B199" s="173">
        <v>879852</v>
      </c>
      <c r="C199" s="188"/>
      <c r="D199" s="173">
        <v>764788</v>
      </c>
      <c r="E199" s="174">
        <f t="shared" si="10"/>
        <v>115064</v>
      </c>
    </row>
    <row r="200" spans="1:8" ht="12.6" customHeight="1" x14ac:dyDescent="0.25">
      <c r="A200" s="172" t="s">
        <v>337</v>
      </c>
      <c r="B200" s="173">
        <v>278214735</v>
      </c>
      <c r="C200" s="188">
        <v>14672490</v>
      </c>
      <c r="D200" s="173">
        <v>6365908</v>
      </c>
      <c r="E200" s="174">
        <f t="shared" si="10"/>
        <v>286521317</v>
      </c>
    </row>
    <row r="201" spans="1:8" ht="12.6" customHeight="1" x14ac:dyDescent="0.25">
      <c r="A201" s="172" t="s">
        <v>338</v>
      </c>
      <c r="B201" s="173">
        <v>0</v>
      </c>
      <c r="C201" s="188"/>
      <c r="D201" s="173"/>
      <c r="E201" s="174">
        <f t="shared" si="10"/>
        <v>0</v>
      </c>
    </row>
    <row r="202" spans="1:8" ht="12.6" customHeight="1" x14ac:dyDescent="0.25">
      <c r="A202" s="172" t="s">
        <v>339</v>
      </c>
      <c r="B202" s="173">
        <v>35552335</v>
      </c>
      <c r="C202" s="188">
        <v>965522</v>
      </c>
      <c r="D202" s="173">
        <v>1048463</v>
      </c>
      <c r="E202" s="174">
        <f t="shared" si="10"/>
        <v>35469394</v>
      </c>
    </row>
    <row r="203" spans="1:8" ht="12.6" customHeight="1" x14ac:dyDescent="0.25">
      <c r="A203" s="172" t="s">
        <v>340</v>
      </c>
      <c r="B203" s="173">
        <v>9698463</v>
      </c>
      <c r="C203" s="188">
        <v>27737931</v>
      </c>
      <c r="D203" s="173">
        <v>23156249</v>
      </c>
      <c r="E203" s="174">
        <f t="shared" si="10"/>
        <v>14280145</v>
      </c>
    </row>
    <row r="204" spans="1:8" ht="12.6" customHeight="1" x14ac:dyDescent="0.25">
      <c r="A204" s="172" t="s">
        <v>203</v>
      </c>
      <c r="B204" s="174">
        <f>SUM(B195:B203)</f>
        <v>805809757</v>
      </c>
      <c r="C204" s="190">
        <f>SUM(C195:C203)</f>
        <v>50894179</v>
      </c>
      <c r="D204" s="174">
        <f>SUM(D195:D203)</f>
        <v>33746789</v>
      </c>
      <c r="E204" s="174">
        <f>SUM(E195:E203)</f>
        <v>822957147</v>
      </c>
    </row>
    <row r="205" spans="1:8" ht="12.6" customHeight="1" x14ac:dyDescent="0.25">
      <c r="A205" s="172"/>
      <c r="B205" s="172"/>
      <c r="C205" s="190"/>
      <c r="D205" s="174"/>
      <c r="E205" s="174"/>
    </row>
    <row r="206" spans="1:8" ht="12.6" customHeight="1" x14ac:dyDescent="0.25">
      <c r="A206" s="206" t="s">
        <v>341</v>
      </c>
      <c r="B206" s="206"/>
      <c r="C206" s="206"/>
      <c r="D206" s="206"/>
      <c r="E206" s="206"/>
    </row>
    <row r="207" spans="1:8" ht="12.6" customHeight="1" x14ac:dyDescent="0.25">
      <c r="A207" s="170"/>
      <c r="B207" s="169" t="s">
        <v>328</v>
      </c>
      <c r="C207" s="181" t="s">
        <v>329</v>
      </c>
      <c r="D207" s="169" t="s">
        <v>330</v>
      </c>
      <c r="E207" s="169" t="s">
        <v>331</v>
      </c>
      <c r="H207" s="258"/>
    </row>
    <row r="208" spans="1:8" ht="12.6" customHeight="1" x14ac:dyDescent="0.25">
      <c r="A208" s="172" t="s">
        <v>332</v>
      </c>
      <c r="B208" s="177"/>
      <c r="C208" s="192"/>
      <c r="D208" s="177"/>
      <c r="E208" s="174"/>
      <c r="H208" s="258"/>
    </row>
    <row r="209" spans="1:8" ht="12.6" customHeight="1" x14ac:dyDescent="0.25">
      <c r="A209" s="172" t="s">
        <v>333</v>
      </c>
      <c r="B209" s="173">
        <v>11705853</v>
      </c>
      <c r="C209" s="188">
        <v>402883</v>
      </c>
      <c r="D209" s="173">
        <v>335351</v>
      </c>
      <c r="E209" s="174">
        <f t="shared" ref="E209:E216" si="11">SUM(B209:C209)-D209</f>
        <v>11773385</v>
      </c>
      <c r="H209" s="258"/>
    </row>
    <row r="210" spans="1:8" ht="12.6" customHeight="1" x14ac:dyDescent="0.25">
      <c r="A210" s="172" t="s">
        <v>334</v>
      </c>
      <c r="B210" s="173">
        <v>152884284</v>
      </c>
      <c r="C210" s="188">
        <v>11481271</v>
      </c>
      <c r="D210" s="173">
        <v>1430447</v>
      </c>
      <c r="E210" s="174">
        <f t="shared" si="11"/>
        <v>162935108</v>
      </c>
      <c r="H210" s="258"/>
    </row>
    <row r="211" spans="1:8" ht="12.6" customHeight="1" x14ac:dyDescent="0.25">
      <c r="A211" s="172" t="s">
        <v>335</v>
      </c>
      <c r="B211" s="173">
        <v>87809266</v>
      </c>
      <c r="C211" s="188">
        <v>4417501</v>
      </c>
      <c r="D211" s="173">
        <v>645583</v>
      </c>
      <c r="E211" s="174">
        <f t="shared" si="11"/>
        <v>91581184</v>
      </c>
      <c r="H211" s="258"/>
    </row>
    <row r="212" spans="1:8" ht="12.6" customHeight="1" x14ac:dyDescent="0.25">
      <c r="A212" s="172" t="s">
        <v>336</v>
      </c>
      <c r="B212" s="173">
        <v>868772</v>
      </c>
      <c r="C212" s="188">
        <v>5970</v>
      </c>
      <c r="D212" s="173">
        <v>764788</v>
      </c>
      <c r="E212" s="174">
        <f t="shared" si="11"/>
        <v>109954</v>
      </c>
      <c r="H212" s="258"/>
    </row>
    <row r="213" spans="1:8" ht="12.6" customHeight="1" x14ac:dyDescent="0.25">
      <c r="A213" s="172" t="s">
        <v>337</v>
      </c>
      <c r="B213" s="173">
        <v>207146873</v>
      </c>
      <c r="C213" s="188">
        <v>17352558</v>
      </c>
      <c r="D213" s="173">
        <v>6365908</v>
      </c>
      <c r="E213" s="174">
        <f t="shared" si="11"/>
        <v>218133523</v>
      </c>
      <c r="H213" s="258"/>
    </row>
    <row r="214" spans="1:8" ht="12.6" customHeight="1" x14ac:dyDescent="0.25">
      <c r="A214" s="172" t="s">
        <v>338</v>
      </c>
      <c r="B214" s="173">
        <v>0</v>
      </c>
      <c r="C214" s="188"/>
      <c r="D214" s="173"/>
      <c r="E214" s="174">
        <f t="shared" si="11"/>
        <v>0</v>
      </c>
      <c r="H214" s="258"/>
    </row>
    <row r="215" spans="1:8" ht="12.6" customHeight="1" x14ac:dyDescent="0.25">
      <c r="A215" s="172" t="s">
        <v>339</v>
      </c>
      <c r="B215" s="173">
        <v>18298741</v>
      </c>
      <c r="C215" s="188">
        <v>2132777</v>
      </c>
      <c r="D215" s="173">
        <v>1048463</v>
      </c>
      <c r="E215" s="174">
        <f t="shared" si="11"/>
        <v>19383055</v>
      </c>
      <c r="H215" s="258"/>
    </row>
    <row r="216" spans="1:8" ht="12.6" customHeight="1" x14ac:dyDescent="0.25">
      <c r="A216" s="172" t="s">
        <v>340</v>
      </c>
      <c r="B216" s="173">
        <v>0</v>
      </c>
      <c r="C216" s="188"/>
      <c r="D216" s="173"/>
      <c r="E216" s="174">
        <f t="shared" si="11"/>
        <v>0</v>
      </c>
      <c r="H216" s="258"/>
    </row>
    <row r="217" spans="1:8" ht="12.6" customHeight="1" x14ac:dyDescent="0.25">
      <c r="A217" s="172" t="s">
        <v>203</v>
      </c>
      <c r="B217" s="174">
        <f>SUM(B208:B216)</f>
        <v>478713789</v>
      </c>
      <c r="C217" s="190">
        <f>SUM(C208:C216)</f>
        <v>35792960</v>
      </c>
      <c r="D217" s="174">
        <f>SUM(D208:D216)</f>
        <v>10590540</v>
      </c>
      <c r="E217" s="174">
        <f>SUM(E208:E216)</f>
        <v>503916209</v>
      </c>
    </row>
    <row r="218" spans="1:8" ht="21.75" customHeight="1" x14ac:dyDescent="0.25">
      <c r="A218" s="172"/>
      <c r="B218" s="174"/>
      <c r="C218" s="190"/>
      <c r="D218" s="174"/>
      <c r="E218" s="174"/>
    </row>
    <row r="219" spans="1:8" ht="12.6" customHeight="1" x14ac:dyDescent="0.25">
      <c r="A219" s="207" t="s">
        <v>342</v>
      </c>
      <c r="B219" s="207"/>
      <c r="C219" s="207"/>
      <c r="D219" s="207"/>
      <c r="E219" s="207"/>
    </row>
    <row r="220" spans="1:8" ht="12.6" customHeight="1" x14ac:dyDescent="0.25">
      <c r="A220" s="207"/>
      <c r="B220" s="286" t="s">
        <v>1255</v>
      </c>
      <c r="C220" s="286"/>
      <c r="D220" s="207"/>
      <c r="E220" s="207"/>
    </row>
    <row r="221" spans="1:8" ht="12.6" customHeight="1" x14ac:dyDescent="0.25">
      <c r="A221" s="271" t="s">
        <v>1255</v>
      </c>
      <c r="B221" s="207"/>
      <c r="C221" s="188">
        <v>21134846</v>
      </c>
      <c r="D221" s="171">
        <f>C221</f>
        <v>21134846</v>
      </c>
      <c r="E221" s="207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2" t="s">
        <v>344</v>
      </c>
      <c r="B223" s="171" t="s">
        <v>256</v>
      </c>
      <c r="C223" s="188">
        <v>571824745</v>
      </c>
      <c r="D223" s="174"/>
      <c r="E223" s="174"/>
    </row>
    <row r="224" spans="1:8" ht="12.6" customHeight="1" x14ac:dyDescent="0.25">
      <c r="A224" s="172" t="s">
        <v>345</v>
      </c>
      <c r="B224" s="171" t="s">
        <v>256</v>
      </c>
      <c r="C224" s="188">
        <v>119270597</v>
      </c>
      <c r="D224" s="174"/>
      <c r="E224" s="174"/>
    </row>
    <row r="225" spans="1:5" ht="12.6" customHeight="1" x14ac:dyDescent="0.25">
      <c r="A225" s="172" t="s">
        <v>346</v>
      </c>
      <c r="B225" s="171" t="s">
        <v>256</v>
      </c>
      <c r="C225" s="188">
        <v>12294110</v>
      </c>
      <c r="D225" s="174"/>
      <c r="E225" s="174"/>
    </row>
    <row r="226" spans="1:5" ht="12.6" customHeight="1" x14ac:dyDescent="0.25">
      <c r="A226" s="172" t="s">
        <v>347</v>
      </c>
      <c r="B226" s="171" t="s">
        <v>256</v>
      </c>
      <c r="C226" s="188">
        <v>5088008</v>
      </c>
      <c r="D226" s="174"/>
      <c r="E226" s="174"/>
    </row>
    <row r="227" spans="1:5" ht="12.6" customHeight="1" x14ac:dyDescent="0.25">
      <c r="A227" s="172" t="s">
        <v>348</v>
      </c>
      <c r="B227" s="171" t="s">
        <v>256</v>
      </c>
      <c r="C227" s="188">
        <v>452545208</v>
      </c>
      <c r="D227" s="174"/>
      <c r="E227" s="174"/>
    </row>
    <row r="228" spans="1:5" ht="12.6" customHeight="1" x14ac:dyDescent="0.25">
      <c r="A228" s="172" t="s">
        <v>349</v>
      </c>
      <c r="B228" s="171" t="s">
        <v>256</v>
      </c>
      <c r="C228" s="188">
        <v>9163156</v>
      </c>
      <c r="D228" s="174"/>
      <c r="E228" s="174"/>
    </row>
    <row r="229" spans="1:5" ht="12.6" customHeight="1" x14ac:dyDescent="0.25">
      <c r="A229" s="172" t="s">
        <v>350</v>
      </c>
      <c r="B229" s="174"/>
      <c r="C229" s="190"/>
      <c r="D229" s="174">
        <f>SUM(C223:C228)</f>
        <v>1170185824</v>
      </c>
      <c r="E229" s="174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0" t="s">
        <v>352</v>
      </c>
      <c r="B231" s="171" t="s">
        <v>256</v>
      </c>
      <c r="C231" s="188">
        <v>2525</v>
      </c>
      <c r="D231" s="174"/>
      <c r="E231" s="174"/>
    </row>
    <row r="232" spans="1:5" ht="12.6" customHeight="1" x14ac:dyDescent="0.25">
      <c r="A232" s="170"/>
      <c r="B232" s="171"/>
      <c r="C232" s="190"/>
      <c r="D232" s="174"/>
      <c r="E232" s="174"/>
    </row>
    <row r="233" spans="1:5" ht="12.6" customHeight="1" x14ac:dyDescent="0.25">
      <c r="A233" s="170" t="s">
        <v>353</v>
      </c>
      <c r="B233" s="171" t="s">
        <v>256</v>
      </c>
      <c r="C233" s="188">
        <v>2733158</v>
      </c>
      <c r="D233" s="174"/>
      <c r="E233" s="174"/>
    </row>
    <row r="234" spans="1:5" ht="12.6" customHeight="1" x14ac:dyDescent="0.25">
      <c r="A234" s="170" t="s">
        <v>354</v>
      </c>
      <c r="B234" s="171" t="s">
        <v>256</v>
      </c>
      <c r="C234" s="188">
        <v>3794286</v>
      </c>
      <c r="D234" s="174"/>
      <c r="E234" s="174"/>
    </row>
    <row r="235" spans="1:5" ht="12.6" customHeight="1" x14ac:dyDescent="0.25">
      <c r="A235" s="172"/>
      <c r="B235" s="174"/>
      <c r="C235" s="190"/>
      <c r="D235" s="174"/>
      <c r="E235" s="174"/>
    </row>
    <row r="236" spans="1:5" ht="12.6" customHeight="1" x14ac:dyDescent="0.25">
      <c r="A236" s="170" t="s">
        <v>355</v>
      </c>
      <c r="B236" s="174"/>
      <c r="C236" s="190"/>
      <c r="D236" s="174">
        <f>SUM(C233:C235)</f>
        <v>6527444</v>
      </c>
      <c r="E236" s="174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2" t="s">
        <v>357</v>
      </c>
      <c r="B238" s="171" t="s">
        <v>256</v>
      </c>
      <c r="C238" s="188">
        <v>3284412</v>
      </c>
      <c r="D238" s="174"/>
      <c r="E238" s="174"/>
    </row>
    <row r="239" spans="1:5" ht="12.6" customHeight="1" x14ac:dyDescent="0.25">
      <c r="A239" s="172" t="s">
        <v>356</v>
      </c>
      <c r="B239" s="171" t="s">
        <v>256</v>
      </c>
      <c r="C239" s="188"/>
      <c r="D239" s="174"/>
      <c r="E239" s="174"/>
    </row>
    <row r="240" spans="1:5" ht="12.6" customHeight="1" x14ac:dyDescent="0.25">
      <c r="A240" s="172" t="s">
        <v>358</v>
      </c>
      <c r="B240" s="174"/>
      <c r="C240" s="190"/>
      <c r="D240" s="174">
        <f>SUM(C238:C239)</f>
        <v>3284412</v>
      </c>
      <c r="E240" s="174"/>
    </row>
    <row r="241" spans="1:5" ht="12.6" customHeight="1" x14ac:dyDescent="0.25">
      <c r="A241" s="172"/>
      <c r="B241" s="174"/>
      <c r="C241" s="190"/>
      <c r="D241" s="174"/>
      <c r="E241" s="174"/>
    </row>
    <row r="242" spans="1:5" ht="12.6" customHeight="1" x14ac:dyDescent="0.25">
      <c r="A242" s="172" t="s">
        <v>359</v>
      </c>
      <c r="B242" s="174"/>
      <c r="C242" s="190"/>
      <c r="D242" s="174">
        <f>D221+D229+D236+D240</f>
        <v>1201132526</v>
      </c>
      <c r="E242" s="174"/>
    </row>
    <row r="243" spans="1:5" ht="12.6" customHeight="1" x14ac:dyDescent="0.25">
      <c r="A243" s="172"/>
      <c r="B243" s="172"/>
      <c r="C243" s="190"/>
      <c r="D243" s="174"/>
      <c r="E243" s="174"/>
    </row>
    <row r="244" spans="1:5" ht="12.6" customHeight="1" x14ac:dyDescent="0.25">
      <c r="A244" s="172"/>
      <c r="B244" s="172"/>
      <c r="C244" s="190"/>
      <c r="D244" s="174"/>
      <c r="E244" s="174"/>
    </row>
    <row r="245" spans="1:5" ht="12.6" customHeight="1" x14ac:dyDescent="0.25">
      <c r="A245" s="172"/>
      <c r="B245" s="172"/>
      <c r="C245" s="190"/>
      <c r="D245" s="174"/>
      <c r="E245" s="174"/>
    </row>
    <row r="246" spans="1:5" ht="12.6" customHeight="1" x14ac:dyDescent="0.25">
      <c r="A246" s="172"/>
      <c r="B246" s="172"/>
      <c r="C246" s="190"/>
      <c r="D246" s="174"/>
      <c r="E246" s="174"/>
    </row>
    <row r="247" spans="1:5" ht="21.75" customHeight="1" x14ac:dyDescent="0.25">
      <c r="A247" s="172"/>
      <c r="B247" s="172"/>
      <c r="C247" s="190"/>
      <c r="D247" s="174"/>
      <c r="E247" s="174"/>
    </row>
    <row r="248" spans="1:5" ht="12.45" customHeight="1" x14ac:dyDescent="0.25">
      <c r="A248" s="207" t="s">
        <v>360</v>
      </c>
      <c r="B248" s="207"/>
      <c r="C248" s="207"/>
      <c r="D248" s="207"/>
      <c r="E248" s="207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2" t="s">
        <v>362</v>
      </c>
      <c r="B250" s="171" t="s">
        <v>256</v>
      </c>
      <c r="C250" s="188">
        <v>52552454</v>
      </c>
      <c r="D250" s="174"/>
      <c r="E250" s="174"/>
    </row>
    <row r="251" spans="1:5" ht="12.45" customHeight="1" x14ac:dyDescent="0.25">
      <c r="A251" s="172" t="s">
        <v>363</v>
      </c>
      <c r="B251" s="171" t="s">
        <v>256</v>
      </c>
      <c r="C251" s="188">
        <v>0</v>
      </c>
      <c r="D251" s="174"/>
      <c r="E251" s="174"/>
    </row>
    <row r="252" spans="1:5" ht="12.45" customHeight="1" x14ac:dyDescent="0.25">
      <c r="A252" s="172" t="s">
        <v>364</v>
      </c>
      <c r="B252" s="171" t="s">
        <v>256</v>
      </c>
      <c r="C252" s="188">
        <v>282465487</v>
      </c>
      <c r="D252" s="174"/>
      <c r="E252" s="174"/>
    </row>
    <row r="253" spans="1:5" ht="12.45" customHeight="1" x14ac:dyDescent="0.25">
      <c r="A253" s="172" t="s">
        <v>365</v>
      </c>
      <c r="B253" s="171" t="s">
        <v>256</v>
      </c>
      <c r="C253" s="188">
        <v>189651588</v>
      </c>
      <c r="D253" s="174"/>
      <c r="E253" s="174"/>
    </row>
    <row r="254" spans="1:5" ht="12.45" customHeight="1" x14ac:dyDescent="0.25">
      <c r="A254" s="172" t="s">
        <v>1241</v>
      </c>
      <c r="B254" s="171" t="s">
        <v>256</v>
      </c>
      <c r="C254" s="188">
        <v>2484887</v>
      </c>
      <c r="D254" s="174"/>
      <c r="E254" s="174"/>
    </row>
    <row r="255" spans="1:5" ht="12.45" customHeight="1" x14ac:dyDescent="0.25">
      <c r="A255" s="172" t="s">
        <v>366</v>
      </c>
      <c r="B255" s="171" t="s">
        <v>256</v>
      </c>
      <c r="C255" s="188">
        <v>6113152</v>
      </c>
      <c r="D255" s="174"/>
      <c r="E255" s="174"/>
    </row>
    <row r="256" spans="1:5" ht="12.45" customHeight="1" x14ac:dyDescent="0.25">
      <c r="A256" s="172" t="s">
        <v>367</v>
      </c>
      <c r="B256" s="171" t="s">
        <v>256</v>
      </c>
      <c r="C256" s="188">
        <v>1875971</v>
      </c>
      <c r="D256" s="174"/>
      <c r="E256" s="174"/>
    </row>
    <row r="257" spans="1:5" ht="12.45" customHeight="1" x14ac:dyDescent="0.25">
      <c r="A257" s="172" t="s">
        <v>368</v>
      </c>
      <c r="B257" s="171" t="s">
        <v>256</v>
      </c>
      <c r="C257" s="188">
        <v>8118816</v>
      </c>
      <c r="D257" s="174"/>
      <c r="E257" s="174"/>
    </row>
    <row r="258" spans="1:5" ht="12.45" customHeight="1" x14ac:dyDescent="0.25">
      <c r="A258" s="172" t="s">
        <v>369</v>
      </c>
      <c r="B258" s="171" t="s">
        <v>256</v>
      </c>
      <c r="C258" s="188">
        <v>8009450</v>
      </c>
      <c r="D258" s="174"/>
      <c r="E258" s="174"/>
    </row>
    <row r="259" spans="1:5" ht="12.45" customHeight="1" x14ac:dyDescent="0.25">
      <c r="A259" s="172" t="s">
        <v>370</v>
      </c>
      <c r="B259" s="171" t="s">
        <v>256</v>
      </c>
      <c r="C259" s="188">
        <v>0</v>
      </c>
      <c r="D259" s="174"/>
      <c r="E259" s="174"/>
    </row>
    <row r="260" spans="1:5" ht="12.45" customHeight="1" x14ac:dyDescent="0.25">
      <c r="A260" s="172" t="s">
        <v>371</v>
      </c>
      <c r="B260" s="174"/>
      <c r="C260" s="190"/>
      <c r="D260" s="174">
        <f>SUM(C250:C252)-C253+SUM(C254:C259)</f>
        <v>171968629</v>
      </c>
      <c r="E260" s="174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2" t="s">
        <v>362</v>
      </c>
      <c r="B262" s="171" t="s">
        <v>256</v>
      </c>
      <c r="C262" s="188">
        <v>147150626</v>
      </c>
      <c r="D262" s="174"/>
      <c r="E262" s="174"/>
    </row>
    <row r="263" spans="1:5" ht="12.45" customHeight="1" x14ac:dyDescent="0.25">
      <c r="A263" s="172" t="s">
        <v>363</v>
      </c>
      <c r="B263" s="171" t="s">
        <v>256</v>
      </c>
      <c r="C263" s="188">
        <v>0</v>
      </c>
      <c r="D263" s="174"/>
      <c r="E263" s="174"/>
    </row>
    <row r="264" spans="1:5" ht="12.45" customHeight="1" x14ac:dyDescent="0.25">
      <c r="A264" s="172" t="s">
        <v>373</v>
      </c>
      <c r="B264" s="171" t="s">
        <v>256</v>
      </c>
      <c r="C264" s="188">
        <v>0</v>
      </c>
      <c r="D264" s="174"/>
      <c r="E264" s="174"/>
    </row>
    <row r="265" spans="1:5" ht="12.45" customHeight="1" x14ac:dyDescent="0.25">
      <c r="A265" s="172" t="s">
        <v>374</v>
      </c>
      <c r="B265" s="174"/>
      <c r="C265" s="190"/>
      <c r="D265" s="174">
        <f>SUM(C262:C264)</f>
        <v>147150626</v>
      </c>
      <c r="E265" s="174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2" t="s">
        <v>332</v>
      </c>
      <c r="B267" s="171" t="s">
        <v>256</v>
      </c>
      <c r="C267" s="188">
        <v>4913660</v>
      </c>
      <c r="D267" s="174"/>
      <c r="E267" s="174"/>
    </row>
    <row r="268" spans="1:5" ht="12.45" customHeight="1" x14ac:dyDescent="0.25">
      <c r="A268" s="172" t="s">
        <v>333</v>
      </c>
      <c r="B268" s="171" t="s">
        <v>256</v>
      </c>
      <c r="C268" s="188">
        <v>14328875</v>
      </c>
      <c r="D268" s="174"/>
      <c r="E268" s="174"/>
    </row>
    <row r="269" spans="1:5" ht="12.45" customHeight="1" x14ac:dyDescent="0.25">
      <c r="A269" s="172" t="s">
        <v>334</v>
      </c>
      <c r="B269" s="171" t="s">
        <v>256</v>
      </c>
      <c r="C269" s="188">
        <v>336727253</v>
      </c>
      <c r="D269" s="174"/>
      <c r="E269" s="174"/>
    </row>
    <row r="270" spans="1:5" ht="12.45" customHeight="1" x14ac:dyDescent="0.25">
      <c r="A270" s="172" t="s">
        <v>376</v>
      </c>
      <c r="B270" s="171" t="s">
        <v>256</v>
      </c>
      <c r="C270" s="188">
        <v>130601438</v>
      </c>
      <c r="D270" s="174"/>
      <c r="E270" s="174"/>
    </row>
    <row r="271" spans="1:5" ht="12.45" customHeight="1" x14ac:dyDescent="0.25">
      <c r="A271" s="172" t="s">
        <v>377</v>
      </c>
      <c r="B271" s="171" t="s">
        <v>256</v>
      </c>
      <c r="C271" s="188">
        <v>115064</v>
      </c>
      <c r="D271" s="174"/>
      <c r="E271" s="174"/>
    </row>
    <row r="272" spans="1:5" ht="12.45" customHeight="1" x14ac:dyDescent="0.25">
      <c r="A272" s="172" t="s">
        <v>378</v>
      </c>
      <c r="B272" s="171" t="s">
        <v>256</v>
      </c>
      <c r="C272" s="188">
        <v>286142022</v>
      </c>
      <c r="D272" s="174"/>
      <c r="E272" s="174"/>
    </row>
    <row r="273" spans="1:5" ht="12.45" customHeight="1" x14ac:dyDescent="0.25">
      <c r="A273" s="172" t="s">
        <v>339</v>
      </c>
      <c r="B273" s="171" t="s">
        <v>256</v>
      </c>
      <c r="C273" s="188">
        <v>35848689</v>
      </c>
      <c r="D273" s="174"/>
      <c r="E273" s="174"/>
    </row>
    <row r="274" spans="1:5" ht="12.45" customHeight="1" x14ac:dyDescent="0.25">
      <c r="A274" s="172" t="s">
        <v>340</v>
      </c>
      <c r="B274" s="171" t="s">
        <v>256</v>
      </c>
      <c r="C274" s="188">
        <v>14280147</v>
      </c>
      <c r="D274" s="174"/>
      <c r="E274" s="174"/>
    </row>
    <row r="275" spans="1:5" ht="12.45" customHeight="1" x14ac:dyDescent="0.25">
      <c r="A275" s="172" t="s">
        <v>379</v>
      </c>
      <c r="B275" s="174"/>
      <c r="C275" s="190"/>
      <c r="D275" s="174">
        <f>SUM(C267:C274)</f>
        <v>822957148</v>
      </c>
      <c r="E275" s="174"/>
    </row>
    <row r="276" spans="1:5" ht="12.6" customHeight="1" x14ac:dyDescent="0.25">
      <c r="A276" s="172" t="s">
        <v>380</v>
      </c>
      <c r="B276" s="171" t="s">
        <v>256</v>
      </c>
      <c r="C276" s="188">
        <v>503916209</v>
      </c>
      <c r="D276" s="174"/>
      <c r="E276" s="174"/>
    </row>
    <row r="277" spans="1:5" ht="12.6" customHeight="1" x14ac:dyDescent="0.25">
      <c r="A277" s="172" t="s">
        <v>381</v>
      </c>
      <c r="B277" s="174"/>
      <c r="C277" s="190"/>
      <c r="D277" s="174">
        <f>D275-C276</f>
        <v>319040939</v>
      </c>
      <c r="E277" s="174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2" t="s">
        <v>383</v>
      </c>
      <c r="B279" s="171" t="s">
        <v>256</v>
      </c>
      <c r="C279" s="188">
        <v>0</v>
      </c>
      <c r="D279" s="174"/>
      <c r="E279" s="174"/>
    </row>
    <row r="280" spans="1:5" ht="12.6" customHeight="1" x14ac:dyDescent="0.25">
      <c r="A280" s="172" t="s">
        <v>384</v>
      </c>
      <c r="B280" s="171" t="s">
        <v>256</v>
      </c>
      <c r="C280" s="188">
        <v>0</v>
      </c>
      <c r="D280" s="174"/>
      <c r="E280" s="174"/>
    </row>
    <row r="281" spans="1:5" ht="12.6" customHeight="1" x14ac:dyDescent="0.25">
      <c r="A281" s="172" t="s">
        <v>385</v>
      </c>
      <c r="B281" s="171" t="s">
        <v>256</v>
      </c>
      <c r="C281" s="188">
        <v>10574730</v>
      </c>
      <c r="D281" s="174"/>
      <c r="E281" s="174"/>
    </row>
    <row r="282" spans="1:5" ht="12.6" customHeight="1" x14ac:dyDescent="0.25">
      <c r="A282" s="172" t="s">
        <v>373</v>
      </c>
      <c r="B282" s="171" t="s">
        <v>256</v>
      </c>
      <c r="C282" s="188">
        <v>8323592</v>
      </c>
      <c r="D282" s="174"/>
      <c r="E282" s="174"/>
    </row>
    <row r="283" spans="1:5" ht="12.6" customHeight="1" x14ac:dyDescent="0.25">
      <c r="A283" s="172" t="s">
        <v>386</v>
      </c>
      <c r="B283" s="174"/>
      <c r="C283" s="190"/>
      <c r="D283" s="174">
        <f>C279-C280+C281+C282</f>
        <v>18898322</v>
      </c>
      <c r="E283" s="174"/>
    </row>
    <row r="284" spans="1:5" ht="12.6" customHeight="1" x14ac:dyDescent="0.25">
      <c r="A284" s="172"/>
      <c r="B284" s="174"/>
      <c r="C284" s="190"/>
      <c r="D284" s="174"/>
      <c r="E284" s="174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2" t="s">
        <v>388</v>
      </c>
      <c r="B286" s="171" t="s">
        <v>256</v>
      </c>
      <c r="C286" s="188">
        <v>25251896</v>
      </c>
      <c r="D286" s="174"/>
      <c r="E286" s="174"/>
    </row>
    <row r="287" spans="1:5" ht="12.6" customHeight="1" x14ac:dyDescent="0.25">
      <c r="A287" s="172" t="s">
        <v>389</v>
      </c>
      <c r="B287" s="171" t="s">
        <v>256</v>
      </c>
      <c r="C287" s="188">
        <v>0</v>
      </c>
      <c r="D287" s="174"/>
      <c r="E287" s="174"/>
    </row>
    <row r="288" spans="1:5" ht="12.6" customHeight="1" x14ac:dyDescent="0.25">
      <c r="A288" s="172" t="s">
        <v>390</v>
      </c>
      <c r="B288" s="171" t="s">
        <v>256</v>
      </c>
      <c r="C288" s="188">
        <v>0</v>
      </c>
      <c r="D288" s="174"/>
      <c r="E288" s="174"/>
    </row>
    <row r="289" spans="1:5" ht="12.6" customHeight="1" x14ac:dyDescent="0.25">
      <c r="A289" s="172" t="s">
        <v>391</v>
      </c>
      <c r="B289" s="171" t="s">
        <v>256</v>
      </c>
      <c r="C289" s="188">
        <v>0</v>
      </c>
      <c r="D289" s="174"/>
      <c r="E289" s="174"/>
    </row>
    <row r="290" spans="1:5" ht="12.6" customHeight="1" x14ac:dyDescent="0.25">
      <c r="A290" s="172" t="s">
        <v>392</v>
      </c>
      <c r="B290" s="174"/>
      <c r="C290" s="190"/>
      <c r="D290" s="174">
        <f>SUM(C286:C289)</f>
        <v>25251896</v>
      </c>
      <c r="E290" s="174"/>
    </row>
    <row r="291" spans="1:5" ht="12.6" customHeight="1" x14ac:dyDescent="0.25">
      <c r="A291" s="172"/>
      <c r="B291" s="174"/>
      <c r="C291" s="190"/>
      <c r="D291" s="174"/>
      <c r="E291" s="174"/>
    </row>
    <row r="292" spans="1:5" ht="12.6" customHeight="1" x14ac:dyDescent="0.25">
      <c r="A292" s="172" t="s">
        <v>393</v>
      </c>
      <c r="B292" s="174"/>
      <c r="C292" s="190"/>
      <c r="D292" s="174">
        <f>D260+D265+D277+D283+D290</f>
        <v>682310412</v>
      </c>
      <c r="E292" s="174"/>
    </row>
    <row r="293" spans="1:5" ht="12.6" customHeight="1" x14ac:dyDescent="0.25">
      <c r="A293" s="172"/>
      <c r="B293" s="172"/>
      <c r="C293" s="190"/>
      <c r="D293" s="174"/>
      <c r="E293" s="174"/>
    </row>
    <row r="294" spans="1:5" ht="12.6" customHeight="1" x14ac:dyDescent="0.25">
      <c r="A294" s="172"/>
      <c r="B294" s="172"/>
      <c r="C294" s="190"/>
      <c r="D294" s="174"/>
      <c r="E294" s="174"/>
    </row>
    <row r="295" spans="1:5" ht="12.6" customHeight="1" x14ac:dyDescent="0.25">
      <c r="A295" s="172"/>
      <c r="B295" s="172"/>
      <c r="C295" s="190"/>
      <c r="D295" s="174"/>
      <c r="E295" s="174"/>
    </row>
    <row r="296" spans="1:5" ht="12.6" customHeight="1" x14ac:dyDescent="0.25">
      <c r="A296" s="172"/>
      <c r="B296" s="172"/>
      <c r="C296" s="190"/>
      <c r="D296" s="174"/>
      <c r="E296" s="174"/>
    </row>
    <row r="297" spans="1:5" ht="12.6" customHeight="1" x14ac:dyDescent="0.25">
      <c r="A297" s="172"/>
      <c r="B297" s="172"/>
      <c r="C297" s="190"/>
      <c r="D297" s="174"/>
      <c r="E297" s="174"/>
    </row>
    <row r="298" spans="1:5" ht="12.6" customHeight="1" x14ac:dyDescent="0.25">
      <c r="A298" s="172"/>
      <c r="B298" s="172"/>
      <c r="C298" s="190"/>
      <c r="D298" s="174"/>
      <c r="E298" s="174"/>
    </row>
    <row r="299" spans="1:5" ht="12.6" customHeight="1" x14ac:dyDescent="0.25">
      <c r="A299" s="172"/>
      <c r="B299" s="172"/>
      <c r="C299" s="190"/>
      <c r="D299" s="174"/>
      <c r="E299" s="174"/>
    </row>
    <row r="300" spans="1:5" ht="12.6" customHeight="1" x14ac:dyDescent="0.25">
      <c r="A300" s="172"/>
      <c r="B300" s="172"/>
      <c r="C300" s="190"/>
      <c r="D300" s="174"/>
      <c r="E300" s="174"/>
    </row>
    <row r="301" spans="1:5" ht="20.25" customHeight="1" x14ac:dyDescent="0.25">
      <c r="A301" s="172"/>
      <c r="B301" s="172"/>
      <c r="C301" s="190"/>
      <c r="D301" s="174"/>
      <c r="E301" s="174"/>
    </row>
    <row r="302" spans="1:5" ht="12.6" customHeight="1" x14ac:dyDescent="0.25">
      <c r="A302" s="207" t="s">
        <v>394</v>
      </c>
      <c r="B302" s="207"/>
      <c r="C302" s="207"/>
      <c r="D302" s="207"/>
      <c r="E302" s="207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2" t="s">
        <v>396</v>
      </c>
      <c r="B304" s="171" t="s">
        <v>256</v>
      </c>
      <c r="C304" s="188">
        <v>0</v>
      </c>
      <c r="D304" s="174"/>
      <c r="E304" s="174"/>
    </row>
    <row r="305" spans="1:5" ht="12.6" customHeight="1" x14ac:dyDescent="0.25">
      <c r="A305" s="172" t="s">
        <v>397</v>
      </c>
      <c r="B305" s="171" t="s">
        <v>256</v>
      </c>
      <c r="C305" s="188">
        <v>30618293</v>
      </c>
      <c r="D305" s="174"/>
      <c r="E305" s="174"/>
    </row>
    <row r="306" spans="1:5" ht="12.6" customHeight="1" x14ac:dyDescent="0.25">
      <c r="A306" s="172" t="s">
        <v>398</v>
      </c>
      <c r="B306" s="171" t="s">
        <v>256</v>
      </c>
      <c r="C306" s="188">
        <v>46590819</v>
      </c>
      <c r="D306" s="174"/>
      <c r="E306" s="174"/>
    </row>
    <row r="307" spans="1:5" ht="12.6" customHeight="1" x14ac:dyDescent="0.25">
      <c r="A307" s="172" t="s">
        <v>399</v>
      </c>
      <c r="B307" s="171" t="s">
        <v>256</v>
      </c>
      <c r="C307" s="188">
        <v>729158</v>
      </c>
      <c r="D307" s="174"/>
      <c r="E307" s="174"/>
    </row>
    <row r="308" spans="1:5" ht="12.6" customHeight="1" x14ac:dyDescent="0.25">
      <c r="A308" s="172" t="s">
        <v>400</v>
      </c>
      <c r="B308" s="171" t="s">
        <v>256</v>
      </c>
      <c r="C308" s="188">
        <v>0</v>
      </c>
      <c r="D308" s="174"/>
      <c r="E308" s="174"/>
    </row>
    <row r="309" spans="1:5" ht="12.6" customHeight="1" x14ac:dyDescent="0.25">
      <c r="A309" s="172" t="s">
        <v>1242</v>
      </c>
      <c r="B309" s="171" t="s">
        <v>256</v>
      </c>
      <c r="C309" s="188">
        <v>3390053</v>
      </c>
      <c r="D309" s="174"/>
      <c r="E309" s="174"/>
    </row>
    <row r="310" spans="1:5" ht="12.6" customHeight="1" x14ac:dyDescent="0.25">
      <c r="A310" s="172" t="s">
        <v>401</v>
      </c>
      <c r="B310" s="171" t="s">
        <v>256</v>
      </c>
      <c r="C310" s="188">
        <v>0</v>
      </c>
      <c r="D310" s="174"/>
      <c r="E310" s="174"/>
    </row>
    <row r="311" spans="1:5" ht="12.6" customHeight="1" x14ac:dyDescent="0.25">
      <c r="A311" s="172" t="s">
        <v>402</v>
      </c>
      <c r="B311" s="171" t="s">
        <v>256</v>
      </c>
      <c r="C311" s="188">
        <v>0</v>
      </c>
      <c r="D311" s="174"/>
      <c r="E311" s="174"/>
    </row>
    <row r="312" spans="1:5" ht="12.6" customHeight="1" x14ac:dyDescent="0.25">
      <c r="A312" s="172" t="s">
        <v>403</v>
      </c>
      <c r="B312" s="171" t="s">
        <v>256</v>
      </c>
      <c r="C312" s="188">
        <v>1450276</v>
      </c>
      <c r="D312" s="174"/>
      <c r="E312" s="174"/>
    </row>
    <row r="313" spans="1:5" ht="12.6" customHeight="1" x14ac:dyDescent="0.25">
      <c r="A313" s="172" t="s">
        <v>404</v>
      </c>
      <c r="B313" s="171" t="s">
        <v>256</v>
      </c>
      <c r="C313" s="188">
        <v>13751678</v>
      </c>
      <c r="D313" s="174"/>
      <c r="E313" s="174"/>
    </row>
    <row r="314" spans="1:5" ht="12.6" customHeight="1" x14ac:dyDescent="0.25">
      <c r="A314" s="172" t="s">
        <v>405</v>
      </c>
      <c r="B314" s="174"/>
      <c r="C314" s="190"/>
      <c r="D314" s="174">
        <f>SUM(C304:C313)</f>
        <v>96530277</v>
      </c>
      <c r="E314" s="174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2" t="s">
        <v>407</v>
      </c>
      <c r="B316" s="171" t="s">
        <v>256</v>
      </c>
      <c r="C316" s="188">
        <v>0</v>
      </c>
      <c r="D316" s="174"/>
      <c r="E316" s="174"/>
    </row>
    <row r="317" spans="1:5" ht="12.6" customHeight="1" x14ac:dyDescent="0.25">
      <c r="A317" s="172" t="s">
        <v>408</v>
      </c>
      <c r="B317" s="171" t="s">
        <v>256</v>
      </c>
      <c r="C317" s="188">
        <v>1459840</v>
      </c>
      <c r="D317" s="174"/>
      <c r="E317" s="174"/>
    </row>
    <row r="318" spans="1:5" ht="12.6" customHeight="1" x14ac:dyDescent="0.25">
      <c r="A318" s="172" t="s">
        <v>409</v>
      </c>
      <c r="B318" s="171" t="s">
        <v>256</v>
      </c>
      <c r="C318" s="188">
        <v>230056</v>
      </c>
      <c r="D318" s="174"/>
      <c r="E318" s="174"/>
    </row>
    <row r="319" spans="1:5" ht="12.6" customHeight="1" x14ac:dyDescent="0.25">
      <c r="A319" s="172" t="s">
        <v>410</v>
      </c>
      <c r="B319" s="174"/>
      <c r="C319" s="190"/>
      <c r="D319" s="174">
        <f>SUM(C316:C318)</f>
        <v>1689896</v>
      </c>
      <c r="E319" s="174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2" t="s">
        <v>412</v>
      </c>
      <c r="B321" s="171" t="s">
        <v>256</v>
      </c>
      <c r="C321" s="188">
        <v>0</v>
      </c>
      <c r="D321" s="174"/>
      <c r="E321" s="174"/>
    </row>
    <row r="322" spans="1:5" ht="12.6" customHeight="1" x14ac:dyDescent="0.25">
      <c r="A322" s="172" t="s">
        <v>413</v>
      </c>
      <c r="B322" s="171" t="s">
        <v>256</v>
      </c>
      <c r="C322" s="188">
        <v>0</v>
      </c>
      <c r="D322" s="174"/>
      <c r="E322" s="174"/>
    </row>
    <row r="323" spans="1:5" ht="12.6" customHeight="1" x14ac:dyDescent="0.25">
      <c r="A323" s="172" t="s">
        <v>414</v>
      </c>
      <c r="B323" s="171" t="s">
        <v>256</v>
      </c>
      <c r="C323" s="188">
        <v>0</v>
      </c>
      <c r="D323" s="174"/>
      <c r="E323" s="174"/>
    </row>
    <row r="324" spans="1:5" ht="12.6" customHeight="1" x14ac:dyDescent="0.25">
      <c r="A324" s="170" t="s">
        <v>415</v>
      </c>
      <c r="B324" s="171" t="s">
        <v>256</v>
      </c>
      <c r="C324" s="188">
        <v>6855698</v>
      </c>
      <c r="D324" s="174"/>
      <c r="E324" s="174"/>
    </row>
    <row r="325" spans="1:5" ht="12.6" customHeight="1" x14ac:dyDescent="0.25">
      <c r="A325" s="172" t="s">
        <v>416</v>
      </c>
      <c r="B325" s="171" t="s">
        <v>256</v>
      </c>
      <c r="C325" s="188">
        <v>195945729</v>
      </c>
      <c r="D325" s="174"/>
      <c r="E325" s="174"/>
    </row>
    <row r="326" spans="1:5" ht="12.6" customHeight="1" x14ac:dyDescent="0.25">
      <c r="A326" s="170" t="s">
        <v>417</v>
      </c>
      <c r="B326" s="171" t="s">
        <v>256</v>
      </c>
      <c r="C326" s="188">
        <v>0</v>
      </c>
      <c r="D326" s="174"/>
      <c r="E326" s="174"/>
    </row>
    <row r="327" spans="1:5" ht="12.6" customHeight="1" x14ac:dyDescent="0.25">
      <c r="A327" s="172" t="s">
        <v>418</v>
      </c>
      <c r="B327" s="171" t="s">
        <v>256</v>
      </c>
      <c r="C327" s="188">
        <v>7629991</v>
      </c>
      <c r="D327" s="174"/>
      <c r="E327" s="174"/>
    </row>
    <row r="328" spans="1:5" ht="19.5" customHeight="1" x14ac:dyDescent="0.25">
      <c r="A328" s="172" t="s">
        <v>203</v>
      </c>
      <c r="B328" s="174"/>
      <c r="C328" s="190"/>
      <c r="D328" s="174">
        <f>SUM(C321:C327)</f>
        <v>210431418</v>
      </c>
      <c r="E328" s="174"/>
    </row>
    <row r="329" spans="1:5" ht="12.6" customHeight="1" x14ac:dyDescent="0.25">
      <c r="A329" s="172" t="s">
        <v>419</v>
      </c>
      <c r="B329" s="174"/>
      <c r="C329" s="190"/>
      <c r="D329" s="174">
        <f>C313</f>
        <v>13751678</v>
      </c>
      <c r="E329" s="174"/>
    </row>
    <row r="330" spans="1:5" ht="12.6" customHeight="1" x14ac:dyDescent="0.25">
      <c r="A330" s="172" t="s">
        <v>420</v>
      </c>
      <c r="B330" s="174"/>
      <c r="C330" s="190"/>
      <c r="D330" s="174">
        <f>D328-D329</f>
        <v>196679740</v>
      </c>
      <c r="E330" s="174"/>
    </row>
    <row r="331" spans="1:5" ht="12.6" customHeight="1" x14ac:dyDescent="0.25">
      <c r="A331" s="172"/>
      <c r="B331" s="174"/>
      <c r="C331" s="190"/>
      <c r="D331" s="174"/>
      <c r="E331" s="174"/>
    </row>
    <row r="332" spans="1:5" ht="12.6" customHeight="1" x14ac:dyDescent="0.25">
      <c r="A332" s="172" t="s">
        <v>421</v>
      </c>
      <c r="B332" s="171" t="s">
        <v>256</v>
      </c>
      <c r="C332" s="221">
        <v>387410499</v>
      </c>
      <c r="D332" s="174"/>
      <c r="E332" s="174"/>
    </row>
    <row r="333" spans="1:5" ht="12.6" customHeight="1" x14ac:dyDescent="0.25">
      <c r="A333" s="172"/>
      <c r="B333" s="171"/>
      <c r="C333" s="231"/>
      <c r="D333" s="174"/>
      <c r="E333" s="174"/>
    </row>
    <row r="334" spans="1:5" ht="12.6" customHeight="1" x14ac:dyDescent="0.25">
      <c r="A334" s="172" t="s">
        <v>1142</v>
      </c>
      <c r="B334" s="171" t="s">
        <v>256</v>
      </c>
      <c r="C334" s="221">
        <v>0</v>
      </c>
      <c r="D334" s="174"/>
      <c r="E334" s="174"/>
    </row>
    <row r="335" spans="1:5" ht="12.6" customHeight="1" x14ac:dyDescent="0.25">
      <c r="A335" s="172" t="s">
        <v>1143</v>
      </c>
      <c r="B335" s="171" t="s">
        <v>256</v>
      </c>
      <c r="C335" s="221">
        <v>0</v>
      </c>
      <c r="D335" s="174"/>
      <c r="E335" s="174"/>
    </row>
    <row r="336" spans="1:5" ht="12.6" customHeight="1" x14ac:dyDescent="0.25">
      <c r="A336" s="172" t="s">
        <v>423</v>
      </c>
      <c r="B336" s="171" t="s">
        <v>256</v>
      </c>
      <c r="C336" s="221">
        <v>0</v>
      </c>
      <c r="D336" s="174"/>
      <c r="E336" s="174"/>
    </row>
    <row r="337" spans="1:5" ht="12.6" customHeight="1" x14ac:dyDescent="0.25">
      <c r="A337" s="172" t="s">
        <v>422</v>
      </c>
      <c r="B337" s="171" t="s">
        <v>256</v>
      </c>
      <c r="C337" s="188">
        <v>0</v>
      </c>
      <c r="D337" s="174"/>
      <c r="E337" s="174"/>
    </row>
    <row r="338" spans="1:5" ht="12.6" customHeight="1" x14ac:dyDescent="0.25">
      <c r="A338" s="172" t="s">
        <v>1253</v>
      </c>
      <c r="B338" s="171" t="s">
        <v>256</v>
      </c>
      <c r="C338" s="188">
        <v>0</v>
      </c>
      <c r="D338" s="174"/>
      <c r="E338" s="174"/>
    </row>
    <row r="339" spans="1:5" ht="12.6" customHeight="1" x14ac:dyDescent="0.25">
      <c r="A339" s="172" t="s">
        <v>424</v>
      </c>
      <c r="B339" s="174"/>
      <c r="C339" s="190"/>
      <c r="D339" s="174">
        <f>D314+D319+D330+C332+C336+C337</f>
        <v>682310412</v>
      </c>
      <c r="E339" s="174"/>
    </row>
    <row r="340" spans="1:5" ht="12.6" customHeight="1" x14ac:dyDescent="0.25">
      <c r="A340" s="172"/>
      <c r="B340" s="174"/>
      <c r="C340" s="190"/>
      <c r="D340" s="174"/>
      <c r="E340" s="174"/>
    </row>
    <row r="341" spans="1:5" ht="12.6" customHeight="1" x14ac:dyDescent="0.25">
      <c r="A341" s="172" t="s">
        <v>425</v>
      </c>
      <c r="B341" s="174"/>
      <c r="C341" s="190"/>
      <c r="D341" s="174">
        <f>D292</f>
        <v>682310412</v>
      </c>
      <c r="E341" s="174"/>
    </row>
    <row r="342" spans="1:5" ht="12.6" customHeight="1" x14ac:dyDescent="0.25">
      <c r="A342" s="172"/>
      <c r="B342" s="172"/>
      <c r="C342" s="190"/>
      <c r="D342" s="174"/>
      <c r="E342" s="174"/>
    </row>
    <row r="343" spans="1:5" ht="12.6" customHeight="1" x14ac:dyDescent="0.25">
      <c r="A343" s="172"/>
      <c r="B343" s="172"/>
      <c r="C343" s="190"/>
      <c r="D343" s="174"/>
      <c r="E343" s="174"/>
    </row>
    <row r="344" spans="1:5" ht="12.6" customHeight="1" x14ac:dyDescent="0.25">
      <c r="A344" s="172"/>
      <c r="B344" s="172"/>
      <c r="C344" s="190"/>
      <c r="D344" s="174"/>
      <c r="E344" s="174"/>
    </row>
    <row r="345" spans="1:5" ht="12.6" customHeight="1" x14ac:dyDescent="0.25">
      <c r="A345" s="172"/>
      <c r="B345" s="172"/>
      <c r="C345" s="190"/>
      <c r="D345" s="174"/>
      <c r="E345" s="174"/>
    </row>
    <row r="346" spans="1:5" ht="12.6" customHeight="1" x14ac:dyDescent="0.25">
      <c r="A346" s="172"/>
      <c r="B346" s="172"/>
      <c r="C346" s="190"/>
      <c r="D346" s="174"/>
      <c r="E346" s="174"/>
    </row>
    <row r="347" spans="1:5" ht="12.6" customHeight="1" x14ac:dyDescent="0.25">
      <c r="A347" s="172"/>
      <c r="B347" s="172"/>
      <c r="C347" s="190"/>
      <c r="D347" s="174"/>
      <c r="E347" s="174"/>
    </row>
    <row r="348" spans="1:5" ht="12.6" customHeight="1" x14ac:dyDescent="0.25">
      <c r="A348" s="172"/>
      <c r="B348" s="172"/>
      <c r="C348" s="190"/>
      <c r="D348" s="174"/>
      <c r="E348" s="174"/>
    </row>
    <row r="349" spans="1:5" ht="12.6" customHeight="1" x14ac:dyDescent="0.25">
      <c r="A349" s="172"/>
      <c r="B349" s="172"/>
      <c r="C349" s="190"/>
      <c r="D349" s="174"/>
      <c r="E349" s="174"/>
    </row>
    <row r="350" spans="1:5" ht="12.6" customHeight="1" x14ac:dyDescent="0.25">
      <c r="A350" s="172"/>
      <c r="B350" s="172"/>
      <c r="C350" s="190"/>
      <c r="D350" s="174"/>
      <c r="E350" s="174"/>
    </row>
    <row r="351" spans="1:5" ht="12.6" customHeight="1" x14ac:dyDescent="0.25">
      <c r="A351" s="172"/>
      <c r="B351" s="172"/>
      <c r="C351" s="190"/>
      <c r="D351" s="174"/>
      <c r="E351" s="174"/>
    </row>
    <row r="352" spans="1:5" ht="12.6" customHeight="1" x14ac:dyDescent="0.25">
      <c r="A352" s="172"/>
      <c r="B352" s="172"/>
      <c r="C352" s="190"/>
      <c r="D352" s="174"/>
      <c r="E352" s="174"/>
    </row>
    <row r="353" spans="1:5" ht="12.6" customHeight="1" x14ac:dyDescent="0.25">
      <c r="A353" s="172"/>
      <c r="B353" s="172"/>
      <c r="C353" s="190"/>
      <c r="D353" s="174"/>
      <c r="E353" s="174"/>
    </row>
    <row r="354" spans="1:5" ht="12.6" customHeight="1" x14ac:dyDescent="0.25">
      <c r="A354" s="172"/>
      <c r="B354" s="172"/>
      <c r="C354" s="190"/>
      <c r="D354" s="174"/>
      <c r="E354" s="174"/>
    </row>
    <row r="355" spans="1:5" ht="12.6" customHeight="1" x14ac:dyDescent="0.25">
      <c r="A355" s="172"/>
      <c r="B355" s="172"/>
      <c r="C355" s="190"/>
      <c r="D355" s="174"/>
      <c r="E355" s="174"/>
    </row>
    <row r="356" spans="1:5" ht="20.25" customHeight="1" x14ac:dyDescent="0.25">
      <c r="A356" s="172"/>
      <c r="B356" s="172"/>
      <c r="C356" s="190"/>
      <c r="D356" s="174"/>
      <c r="E356" s="174"/>
    </row>
    <row r="357" spans="1:5" ht="12.6" customHeight="1" x14ac:dyDescent="0.25">
      <c r="A357" s="207" t="s">
        <v>426</v>
      </c>
      <c r="B357" s="207"/>
      <c r="C357" s="207"/>
      <c r="D357" s="207"/>
      <c r="E357" s="207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2" t="s">
        <v>428</v>
      </c>
      <c r="B359" s="171" t="s">
        <v>256</v>
      </c>
      <c r="C359" s="188">
        <v>781301601</v>
      </c>
      <c r="D359" s="174"/>
      <c r="E359" s="174"/>
    </row>
    <row r="360" spans="1:5" ht="12.6" customHeight="1" x14ac:dyDescent="0.25">
      <c r="A360" s="172" t="s">
        <v>429</v>
      </c>
      <c r="B360" s="171" t="s">
        <v>256</v>
      </c>
      <c r="C360" s="188">
        <v>1084636035</v>
      </c>
      <c r="D360" s="174"/>
      <c r="E360" s="174"/>
    </row>
    <row r="361" spans="1:5" ht="12.6" customHeight="1" x14ac:dyDescent="0.25">
      <c r="A361" s="172" t="s">
        <v>430</v>
      </c>
      <c r="B361" s="174"/>
      <c r="C361" s="190"/>
      <c r="D361" s="174">
        <f>SUM(C359:C360)</f>
        <v>1865937636</v>
      </c>
      <c r="E361" s="174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2" t="s">
        <v>1255</v>
      </c>
      <c r="B363" s="256"/>
      <c r="C363" s="188">
        <v>21134846</v>
      </c>
      <c r="D363" s="174"/>
      <c r="E363" s="256"/>
    </row>
    <row r="364" spans="1:5" ht="12.6" customHeight="1" x14ac:dyDescent="0.25">
      <c r="A364" s="172" t="s">
        <v>432</v>
      </c>
      <c r="B364" s="171" t="s">
        <v>256</v>
      </c>
      <c r="C364" s="188">
        <v>1170185824</v>
      </c>
      <c r="D364" s="174"/>
      <c r="E364" s="174"/>
    </row>
    <row r="365" spans="1:5" ht="12.6" customHeight="1" x14ac:dyDescent="0.25">
      <c r="A365" s="172" t="s">
        <v>433</v>
      </c>
      <c r="B365" s="171" t="s">
        <v>256</v>
      </c>
      <c r="C365" s="188">
        <v>6527444</v>
      </c>
      <c r="D365" s="174"/>
      <c r="E365" s="174"/>
    </row>
    <row r="366" spans="1:5" ht="12.6" customHeight="1" x14ac:dyDescent="0.25">
      <c r="A366" s="172" t="s">
        <v>434</v>
      </c>
      <c r="B366" s="171" t="s">
        <v>256</v>
      </c>
      <c r="C366" s="188">
        <v>3284412</v>
      </c>
      <c r="D366" s="174"/>
      <c r="E366" s="174"/>
    </row>
    <row r="367" spans="1:5" ht="12.6" customHeight="1" x14ac:dyDescent="0.25">
      <c r="A367" s="172" t="s">
        <v>359</v>
      </c>
      <c r="B367" s="174"/>
      <c r="C367" s="190"/>
      <c r="D367" s="174">
        <f>SUM(C363:C366)</f>
        <v>1201132526</v>
      </c>
      <c r="E367" s="174"/>
    </row>
    <row r="368" spans="1:5" ht="12.6" customHeight="1" x14ac:dyDescent="0.25">
      <c r="A368" s="172" t="s">
        <v>435</v>
      </c>
      <c r="B368" s="174"/>
      <c r="C368" s="190"/>
      <c r="D368" s="174">
        <f>D361-D367</f>
        <v>664805110</v>
      </c>
      <c r="E368" s="174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2" t="s">
        <v>437</v>
      </c>
      <c r="B370" s="171" t="s">
        <v>256</v>
      </c>
      <c r="C370" s="188">
        <v>35920053</v>
      </c>
      <c r="D370" s="174"/>
      <c r="E370" s="174"/>
    </row>
    <row r="371" spans="1:5" ht="12.6" customHeight="1" x14ac:dyDescent="0.25">
      <c r="A371" s="172" t="s">
        <v>438</v>
      </c>
      <c r="B371" s="171" t="s">
        <v>256</v>
      </c>
      <c r="C371" s="188">
        <v>26216729</v>
      </c>
      <c r="D371" s="174"/>
      <c r="E371" s="174"/>
    </row>
    <row r="372" spans="1:5" ht="12.6" customHeight="1" x14ac:dyDescent="0.25">
      <c r="A372" s="172" t="s">
        <v>439</v>
      </c>
      <c r="B372" s="174"/>
      <c r="C372" s="190"/>
      <c r="D372" s="174">
        <f>SUM(C370:C371)</f>
        <v>62136782</v>
      </c>
      <c r="E372" s="174"/>
    </row>
    <row r="373" spans="1:5" ht="12.6" customHeight="1" x14ac:dyDescent="0.25">
      <c r="A373" s="172" t="s">
        <v>440</v>
      </c>
      <c r="B373" s="174"/>
      <c r="C373" s="190"/>
      <c r="D373" s="174">
        <f>D368+D372</f>
        <v>726941892</v>
      </c>
      <c r="E373" s="174"/>
    </row>
    <row r="374" spans="1:5" ht="12.6" customHeight="1" x14ac:dyDescent="0.25">
      <c r="A374" s="172"/>
      <c r="B374" s="174"/>
      <c r="C374" s="190"/>
      <c r="D374" s="174"/>
      <c r="E374" s="174"/>
    </row>
    <row r="375" spans="1:5" ht="12.6" customHeight="1" x14ac:dyDescent="0.25">
      <c r="A375" s="172"/>
      <c r="B375" s="174"/>
      <c r="C375" s="190"/>
      <c r="D375" s="174"/>
      <c r="E375" s="174"/>
    </row>
    <row r="376" spans="1:5" ht="12.6" customHeight="1" x14ac:dyDescent="0.25">
      <c r="A376" s="172"/>
      <c r="B376" s="174"/>
      <c r="C376" s="190"/>
      <c r="D376" s="174"/>
      <c r="E376" s="174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2" t="s">
        <v>442</v>
      </c>
      <c r="B378" s="171" t="s">
        <v>256</v>
      </c>
      <c r="C378" s="188">
        <v>375148454</v>
      </c>
      <c r="D378" s="174"/>
      <c r="E378" s="174"/>
    </row>
    <row r="379" spans="1:5" ht="12.6" customHeight="1" x14ac:dyDescent="0.25">
      <c r="A379" s="172" t="s">
        <v>3</v>
      </c>
      <c r="B379" s="171" t="s">
        <v>256</v>
      </c>
      <c r="C379" s="188">
        <v>84783827</v>
      </c>
      <c r="D379" s="174"/>
      <c r="E379" s="174"/>
    </row>
    <row r="380" spans="1:5" ht="12.6" customHeight="1" x14ac:dyDescent="0.25">
      <c r="A380" s="172" t="s">
        <v>236</v>
      </c>
      <c r="B380" s="171" t="s">
        <v>256</v>
      </c>
      <c r="C380" s="188">
        <v>13770196</v>
      </c>
      <c r="D380" s="174"/>
      <c r="E380" s="174"/>
    </row>
    <row r="381" spans="1:5" ht="12.6" customHeight="1" x14ac:dyDescent="0.25">
      <c r="A381" s="172" t="s">
        <v>443</v>
      </c>
      <c r="B381" s="171" t="s">
        <v>256</v>
      </c>
      <c r="C381" s="188">
        <v>95623016</v>
      </c>
      <c r="D381" s="174"/>
      <c r="E381" s="174"/>
    </row>
    <row r="382" spans="1:5" ht="12.6" customHeight="1" x14ac:dyDescent="0.25">
      <c r="A382" s="172" t="s">
        <v>444</v>
      </c>
      <c r="B382" s="171" t="s">
        <v>256</v>
      </c>
      <c r="C382" s="188">
        <v>6490159</v>
      </c>
      <c r="D382" s="174"/>
      <c r="E382" s="174"/>
    </row>
    <row r="383" spans="1:5" ht="12.6" customHeight="1" x14ac:dyDescent="0.25">
      <c r="A383" s="172" t="s">
        <v>445</v>
      </c>
      <c r="B383" s="171" t="s">
        <v>256</v>
      </c>
      <c r="C383" s="188">
        <v>51362046</v>
      </c>
      <c r="D383" s="174"/>
      <c r="E383" s="174"/>
    </row>
    <row r="384" spans="1:5" ht="12.6" customHeight="1" x14ac:dyDescent="0.25">
      <c r="A384" s="172" t="s">
        <v>6</v>
      </c>
      <c r="B384" s="171" t="s">
        <v>256</v>
      </c>
      <c r="C384" s="188">
        <v>35523011</v>
      </c>
      <c r="D384" s="174"/>
      <c r="E384" s="174"/>
    </row>
    <row r="385" spans="1:6" ht="12.6" customHeight="1" x14ac:dyDescent="0.25">
      <c r="A385" s="172" t="s">
        <v>446</v>
      </c>
      <c r="B385" s="171" t="s">
        <v>256</v>
      </c>
      <c r="C385" s="188">
        <v>16193084</v>
      </c>
      <c r="D385" s="174"/>
      <c r="E385" s="174"/>
    </row>
    <row r="386" spans="1:6" ht="12.6" customHeight="1" x14ac:dyDescent="0.25">
      <c r="A386" s="172" t="s">
        <v>447</v>
      </c>
      <c r="B386" s="171" t="s">
        <v>256</v>
      </c>
      <c r="C386" s="188">
        <v>3544971</v>
      </c>
      <c r="D386" s="174"/>
      <c r="E386" s="174"/>
    </row>
    <row r="387" spans="1:6" ht="12.6" customHeight="1" x14ac:dyDescent="0.25">
      <c r="A387" s="172" t="s">
        <v>448</v>
      </c>
      <c r="B387" s="171" t="s">
        <v>256</v>
      </c>
      <c r="C387" s="188">
        <v>7431718</v>
      </c>
      <c r="D387" s="174"/>
      <c r="E387" s="174"/>
    </row>
    <row r="388" spans="1:6" ht="12.6" customHeight="1" x14ac:dyDescent="0.25">
      <c r="A388" s="172" t="s">
        <v>449</v>
      </c>
      <c r="B388" s="171" t="s">
        <v>256</v>
      </c>
      <c r="C388" s="188">
        <v>8026275</v>
      </c>
      <c r="D388" s="174"/>
      <c r="E388" s="174"/>
    </row>
    <row r="389" spans="1:6" ht="12.6" customHeight="1" x14ac:dyDescent="0.25">
      <c r="A389" s="172" t="s">
        <v>451</v>
      </c>
      <c r="B389" s="171" t="s">
        <v>256</v>
      </c>
      <c r="C389" s="188">
        <v>6801189</v>
      </c>
      <c r="D389" s="174"/>
      <c r="E389" s="174"/>
    </row>
    <row r="390" spans="1:6" ht="12.6" customHeight="1" x14ac:dyDescent="0.25">
      <c r="A390" s="172" t="s">
        <v>452</v>
      </c>
      <c r="B390" s="174"/>
      <c r="C390" s="190"/>
      <c r="D390" s="174">
        <f>SUM(C378:C389)</f>
        <v>704697946</v>
      </c>
      <c r="E390" s="174"/>
    </row>
    <row r="391" spans="1:6" ht="12.6" customHeight="1" x14ac:dyDescent="0.25">
      <c r="A391" s="172" t="s">
        <v>453</v>
      </c>
      <c r="B391" s="174"/>
      <c r="C391" s="190"/>
      <c r="D391" s="174">
        <f>D373-D390</f>
        <v>22243946</v>
      </c>
      <c r="E391" s="174"/>
    </row>
    <row r="392" spans="1:6" ht="12.6" customHeight="1" x14ac:dyDescent="0.25">
      <c r="A392" s="172" t="s">
        <v>454</v>
      </c>
      <c r="B392" s="171" t="s">
        <v>256</v>
      </c>
      <c r="C392" s="188">
        <v>20882141</v>
      </c>
      <c r="D392" s="174"/>
      <c r="E392" s="174"/>
    </row>
    <row r="393" spans="1:6" ht="12.6" customHeight="1" x14ac:dyDescent="0.25">
      <c r="A393" s="172" t="s">
        <v>455</v>
      </c>
      <c r="B393" s="174"/>
      <c r="C393" s="190"/>
      <c r="D393" s="194">
        <f>D391+C392</f>
        <v>43126087</v>
      </c>
      <c r="E393" s="174"/>
      <c r="F393" s="196"/>
    </row>
    <row r="394" spans="1:6" ht="12.6" customHeight="1" x14ac:dyDescent="0.25">
      <c r="A394" s="172" t="s">
        <v>456</v>
      </c>
      <c r="B394" s="171" t="s">
        <v>256</v>
      </c>
      <c r="C394" s="188"/>
      <c r="D394" s="174"/>
      <c r="E394" s="174"/>
    </row>
    <row r="395" spans="1:6" ht="12.6" customHeight="1" x14ac:dyDescent="0.25">
      <c r="A395" s="172" t="s">
        <v>457</v>
      </c>
      <c r="B395" s="171" t="s">
        <v>256</v>
      </c>
      <c r="C395" s="188"/>
      <c r="D395" s="174"/>
      <c r="E395" s="174"/>
    </row>
    <row r="396" spans="1:6" ht="12.6" customHeight="1" x14ac:dyDescent="0.25">
      <c r="A396" s="172" t="s">
        <v>458</v>
      </c>
      <c r="B396" s="174"/>
      <c r="C396" s="190"/>
      <c r="D396" s="174">
        <f>D393+C394-C395</f>
        <v>43126087</v>
      </c>
      <c r="E396" s="174"/>
    </row>
    <row r="397" spans="1:6" ht="13.5" customHeight="1" x14ac:dyDescent="0.25">
      <c r="A397" s="178"/>
      <c r="B397" s="178"/>
    </row>
    <row r="398" spans="1:6" ht="12.6" customHeight="1" x14ac:dyDescent="0.25">
      <c r="A398" s="178"/>
      <c r="B398" s="178"/>
    </row>
    <row r="399" spans="1:6" ht="12.6" customHeight="1" x14ac:dyDescent="0.25">
      <c r="A399" s="178"/>
      <c r="B399" s="178"/>
    </row>
    <row r="400" spans="1:6" ht="12" customHeight="1" x14ac:dyDescent="0.25">
      <c r="A400" s="178"/>
      <c r="B400" s="178"/>
    </row>
    <row r="401" spans="1:5" ht="12" customHeight="1" x14ac:dyDescent="0.25">
      <c r="A401" s="178"/>
      <c r="B401" s="178"/>
    </row>
    <row r="402" spans="1:5" ht="12" customHeight="1" x14ac:dyDescent="0.25">
      <c r="A402" s="178"/>
      <c r="B402" s="178"/>
    </row>
    <row r="403" spans="1:5" ht="12" customHeight="1" x14ac:dyDescent="0.25">
      <c r="A403" s="178"/>
      <c r="B403" s="178"/>
    </row>
    <row r="404" spans="1:5" ht="12" customHeight="1" x14ac:dyDescent="0.25">
      <c r="A404" s="178"/>
      <c r="B404" s="178"/>
    </row>
    <row r="405" spans="1:5" ht="12.6" customHeight="1" x14ac:dyDescent="0.25">
      <c r="A405" s="178"/>
      <c r="B405" s="178"/>
    </row>
    <row r="406" spans="1:5" ht="12.6" customHeight="1" x14ac:dyDescent="0.25">
      <c r="A406" s="178"/>
      <c r="B406" s="178"/>
    </row>
    <row r="407" spans="1:5" ht="12.6" customHeight="1" x14ac:dyDescent="0.25">
      <c r="A407" s="178"/>
      <c r="B407" s="178"/>
    </row>
    <row r="408" spans="1:5" ht="12.6" customHeight="1" x14ac:dyDescent="0.25">
      <c r="A408" s="178"/>
      <c r="B408" s="178"/>
    </row>
    <row r="409" spans="1:5" ht="12.6" customHeight="1" x14ac:dyDescent="0.25">
      <c r="A409" s="178"/>
      <c r="B409" s="178"/>
    </row>
    <row r="410" spans="1:5" ht="12.6" customHeight="1" x14ac:dyDescent="0.25">
      <c r="A410" s="178"/>
      <c r="B410" s="178"/>
    </row>
    <row r="411" spans="1:5" ht="12.6" customHeight="1" x14ac:dyDescent="0.25">
      <c r="A411" s="178"/>
      <c r="B411" s="178"/>
      <c r="C411" s="180" t="s">
        <v>459</v>
      </c>
      <c r="D411" s="178"/>
      <c r="E411" s="259"/>
    </row>
    <row r="412" spans="1:5" ht="12.6" customHeight="1" x14ac:dyDescent="0.25">
      <c r="A412" s="178" t="str">
        <f>C84&amp;"   "&amp;"H-"&amp;FIXED(C83,0,TRUE)&amp;"     FYE "&amp;C82</f>
        <v>EvergreenHealth   H-0     FYE 12/31/2018</v>
      </c>
      <c r="B412" s="178"/>
      <c r="C412" s="178"/>
      <c r="D412" s="178"/>
      <c r="E412" s="259"/>
    </row>
    <row r="413" spans="1:5" ht="12.6" customHeight="1" x14ac:dyDescent="0.25">
      <c r="A413" s="178" t="s">
        <v>460</v>
      </c>
      <c r="B413" s="180" t="s">
        <v>461</v>
      </c>
      <c r="C413" s="180" t="s">
        <v>1243</v>
      </c>
      <c r="D413" s="180" t="s">
        <v>462</v>
      </c>
    </row>
    <row r="414" spans="1:5" ht="12.6" customHeight="1" x14ac:dyDescent="0.25">
      <c r="A414" s="178" t="s">
        <v>463</v>
      </c>
      <c r="B414" s="178">
        <f>C111</f>
        <v>15068</v>
      </c>
      <c r="C414" s="193">
        <f>E138</f>
        <v>15068</v>
      </c>
      <c r="D414" s="178"/>
    </row>
    <row r="415" spans="1:5" ht="12.6" customHeight="1" x14ac:dyDescent="0.25">
      <c r="A415" s="178" t="s">
        <v>464</v>
      </c>
      <c r="B415" s="178">
        <f>D111</f>
        <v>66716</v>
      </c>
      <c r="C415" s="178">
        <f>E139</f>
        <v>66716</v>
      </c>
      <c r="D415" s="193">
        <f>SUM(C59:H59)+N59</f>
        <v>51106</v>
      </c>
    </row>
    <row r="416" spans="1:5" ht="12.6" customHeight="1" x14ac:dyDescent="0.25">
      <c r="A416" s="178"/>
      <c r="B416" s="178"/>
      <c r="C416" s="193"/>
      <c r="D416" s="178"/>
    </row>
    <row r="417" spans="1:7" ht="12.6" customHeight="1" x14ac:dyDescent="0.25">
      <c r="A417" s="178" t="s">
        <v>465</v>
      </c>
      <c r="B417" s="178">
        <f>C112</f>
        <v>0</v>
      </c>
      <c r="C417" s="193">
        <f>E144</f>
        <v>0</v>
      </c>
      <c r="D417" s="178"/>
    </row>
    <row r="418" spans="1:7" ht="12.6" customHeight="1" x14ac:dyDescent="0.25">
      <c r="A418" s="178" t="s">
        <v>466</v>
      </c>
      <c r="B418" s="178">
        <f>D112</f>
        <v>0</v>
      </c>
      <c r="C418" s="178">
        <f>E145</f>
        <v>0</v>
      </c>
      <c r="D418" s="178">
        <f>K59+L59</f>
        <v>0</v>
      </c>
    </row>
    <row r="419" spans="1:7" ht="12.6" customHeight="1" x14ac:dyDescent="0.25">
      <c r="A419" s="178"/>
      <c r="B419" s="178"/>
      <c r="C419" s="193"/>
      <c r="D419" s="178"/>
    </row>
    <row r="420" spans="1:7" ht="12.6" customHeight="1" x14ac:dyDescent="0.25">
      <c r="A420" s="178" t="s">
        <v>467</v>
      </c>
      <c r="B420" s="178">
        <f>C113</f>
        <v>0</v>
      </c>
      <c r="C420" s="178">
        <f>E150</f>
        <v>0</v>
      </c>
      <c r="D420" s="178"/>
    </row>
    <row r="421" spans="1:7" ht="12.6" customHeight="1" x14ac:dyDescent="0.25">
      <c r="A421" s="178" t="s">
        <v>468</v>
      </c>
      <c r="B421" s="178">
        <f>D113</f>
        <v>0</v>
      </c>
      <c r="C421" s="178">
        <f>E151</f>
        <v>0</v>
      </c>
      <c r="D421" s="178">
        <f>I59</f>
        <v>0</v>
      </c>
    </row>
    <row r="422" spans="1:7" ht="12.6" customHeight="1" x14ac:dyDescent="0.25">
      <c r="A422" s="205"/>
      <c r="B422" s="205"/>
      <c r="C422" s="180"/>
      <c r="D422" s="178"/>
    </row>
    <row r="423" spans="1:7" ht="12.6" customHeight="1" x14ac:dyDescent="0.25">
      <c r="A423" s="179" t="s">
        <v>469</v>
      </c>
      <c r="B423" s="179">
        <f>C114</f>
        <v>4626</v>
      </c>
    </row>
    <row r="424" spans="1:7" ht="12.6" customHeight="1" x14ac:dyDescent="0.25">
      <c r="A424" s="178" t="s">
        <v>1244</v>
      </c>
      <c r="B424" s="178">
        <f>D114</f>
        <v>0</v>
      </c>
      <c r="D424" s="178">
        <f>J59</f>
        <v>0</v>
      </c>
    </row>
    <row r="425" spans="1:7" ht="12.6" customHeight="1" x14ac:dyDescent="0.25">
      <c r="A425" s="205"/>
      <c r="B425" s="205"/>
      <c r="C425" s="205"/>
      <c r="D425" s="205"/>
      <c r="F425" s="205"/>
      <c r="G425" s="205"/>
    </row>
    <row r="426" spans="1:7" ht="12.6" customHeight="1" x14ac:dyDescent="0.25">
      <c r="A426" s="178" t="s">
        <v>470</v>
      </c>
      <c r="B426" s="180" t="s">
        <v>471</v>
      </c>
      <c r="C426" s="180" t="s">
        <v>462</v>
      </c>
      <c r="D426" s="180" t="s">
        <v>472</v>
      </c>
    </row>
    <row r="427" spans="1:7" ht="12.6" customHeight="1" x14ac:dyDescent="0.25">
      <c r="A427" s="178" t="s">
        <v>473</v>
      </c>
      <c r="B427" s="178">
        <f t="shared" ref="B427:B437" si="12">C378</f>
        <v>375148454</v>
      </c>
      <c r="C427" s="178">
        <f t="shared" ref="C427:C434" si="13">CE61</f>
        <v>375148454.51999992</v>
      </c>
      <c r="D427" s="178"/>
    </row>
    <row r="428" spans="1:7" ht="12.6" customHeight="1" x14ac:dyDescent="0.25">
      <c r="A428" s="178" t="s">
        <v>3</v>
      </c>
      <c r="B428" s="178">
        <f t="shared" si="12"/>
        <v>84783827</v>
      </c>
      <c r="C428" s="178">
        <f t="shared" si="13"/>
        <v>84783812</v>
      </c>
      <c r="D428" s="178">
        <f>D173</f>
        <v>84783826</v>
      </c>
    </row>
    <row r="429" spans="1:7" ht="12.6" customHeight="1" x14ac:dyDescent="0.25">
      <c r="A429" s="178" t="s">
        <v>236</v>
      </c>
      <c r="B429" s="178">
        <f t="shared" si="12"/>
        <v>13770196</v>
      </c>
      <c r="C429" s="178">
        <f t="shared" si="13"/>
        <v>13770196.049000002</v>
      </c>
      <c r="D429" s="178"/>
    </row>
    <row r="430" spans="1:7" ht="12.6" customHeight="1" x14ac:dyDescent="0.25">
      <c r="A430" s="178" t="s">
        <v>237</v>
      </c>
      <c r="B430" s="178">
        <f t="shared" si="12"/>
        <v>95623016</v>
      </c>
      <c r="C430" s="178">
        <f t="shared" si="13"/>
        <v>95623016.941999972</v>
      </c>
      <c r="D430" s="178"/>
    </row>
    <row r="431" spans="1:7" ht="12.6" customHeight="1" x14ac:dyDescent="0.25">
      <c r="A431" s="178" t="s">
        <v>444</v>
      </c>
      <c r="B431" s="178">
        <f t="shared" si="12"/>
        <v>6490159</v>
      </c>
      <c r="C431" s="178">
        <f t="shared" si="13"/>
        <v>6490158.9899999993</v>
      </c>
      <c r="D431" s="178"/>
    </row>
    <row r="432" spans="1:7" ht="12.6" customHeight="1" x14ac:dyDescent="0.25">
      <c r="A432" s="178" t="s">
        <v>445</v>
      </c>
      <c r="B432" s="178">
        <f t="shared" si="12"/>
        <v>51362046</v>
      </c>
      <c r="C432" s="178">
        <f t="shared" si="13"/>
        <v>51362045.508000001</v>
      </c>
      <c r="D432" s="178"/>
    </row>
    <row r="433" spans="1:7" ht="12.6" customHeight="1" x14ac:dyDescent="0.25">
      <c r="A433" s="178" t="s">
        <v>6</v>
      </c>
      <c r="B433" s="178">
        <f t="shared" si="12"/>
        <v>35523011</v>
      </c>
      <c r="C433" s="178">
        <f t="shared" si="13"/>
        <v>35523008</v>
      </c>
      <c r="D433" s="178">
        <f>C217</f>
        <v>35792960</v>
      </c>
    </row>
    <row r="434" spans="1:7" ht="12.6" customHeight="1" x14ac:dyDescent="0.25">
      <c r="A434" s="178" t="s">
        <v>474</v>
      </c>
      <c r="B434" s="178">
        <f t="shared" si="12"/>
        <v>16193084</v>
      </c>
      <c r="C434" s="178">
        <f t="shared" si="13"/>
        <v>15230523.930000003</v>
      </c>
      <c r="D434" s="178">
        <f>D177</f>
        <v>16193083</v>
      </c>
    </row>
    <row r="435" spans="1:7" ht="12.6" customHeight="1" x14ac:dyDescent="0.25">
      <c r="A435" s="178" t="s">
        <v>447</v>
      </c>
      <c r="B435" s="178">
        <f t="shared" si="12"/>
        <v>3544971</v>
      </c>
      <c r="C435" s="178"/>
      <c r="D435" s="178">
        <f>D181</f>
        <v>3544972</v>
      </c>
    </row>
    <row r="436" spans="1:7" ht="12.6" customHeight="1" x14ac:dyDescent="0.25">
      <c r="A436" s="178" t="s">
        <v>475</v>
      </c>
      <c r="B436" s="178">
        <f t="shared" si="12"/>
        <v>7431718</v>
      </c>
      <c r="C436" s="178"/>
      <c r="D436" s="178">
        <f>D186</f>
        <v>7431718</v>
      </c>
    </row>
    <row r="437" spans="1:7" ht="12.6" customHeight="1" x14ac:dyDescent="0.25">
      <c r="A437" s="193" t="s">
        <v>449</v>
      </c>
      <c r="B437" s="193">
        <f t="shared" si="12"/>
        <v>8026275</v>
      </c>
      <c r="C437" s="193"/>
      <c r="D437" s="193">
        <f>D190</f>
        <v>8026275</v>
      </c>
    </row>
    <row r="438" spans="1:7" ht="12.6" customHeight="1" x14ac:dyDescent="0.25">
      <c r="A438" s="193" t="s">
        <v>476</v>
      </c>
      <c r="B438" s="193">
        <f>C386+C387+C388</f>
        <v>19002964</v>
      </c>
      <c r="C438" s="193">
        <f>CD69</f>
        <v>9913000.879999999</v>
      </c>
      <c r="D438" s="193">
        <f>D181+D186+D190</f>
        <v>19002965</v>
      </c>
    </row>
    <row r="439" spans="1:7" ht="12.6" customHeight="1" x14ac:dyDescent="0.25">
      <c r="A439" s="178" t="s">
        <v>451</v>
      </c>
      <c r="B439" s="193">
        <f>C389</f>
        <v>6801189</v>
      </c>
      <c r="C439" s="193">
        <f>SUM(C69:CC69)</f>
        <v>8827437.5399999991</v>
      </c>
      <c r="D439" s="178"/>
    </row>
    <row r="440" spans="1:7" ht="12.6" customHeight="1" x14ac:dyDescent="0.25">
      <c r="A440" s="178" t="s">
        <v>477</v>
      </c>
      <c r="B440" s="193">
        <f>B438+B439</f>
        <v>25804153</v>
      </c>
      <c r="C440" s="193">
        <f>CE69</f>
        <v>18740438.419999998</v>
      </c>
      <c r="D440" s="178"/>
    </row>
    <row r="441" spans="1:7" ht="12.6" customHeight="1" x14ac:dyDescent="0.25">
      <c r="A441" s="178" t="s">
        <v>478</v>
      </c>
      <c r="B441" s="178">
        <f>D390</f>
        <v>704697946</v>
      </c>
      <c r="C441" s="178">
        <f>SUM(C427:C437)+C440</f>
        <v>696671654.35899985</v>
      </c>
      <c r="D441" s="178"/>
    </row>
    <row r="442" spans="1:7" ht="12.6" customHeight="1" x14ac:dyDescent="0.25">
      <c r="A442" s="205"/>
      <c r="B442" s="205"/>
      <c r="C442" s="205"/>
      <c r="D442" s="205"/>
      <c r="F442" s="205"/>
      <c r="G442" s="205"/>
    </row>
    <row r="443" spans="1:7" ht="12.6" customHeight="1" x14ac:dyDescent="0.25">
      <c r="A443" s="178" t="s">
        <v>479</v>
      </c>
      <c r="B443" s="180" t="s">
        <v>480</v>
      </c>
      <c r="C443" s="180" t="s">
        <v>471</v>
      </c>
      <c r="D443" s="178"/>
    </row>
    <row r="444" spans="1:7" ht="12.6" customHeight="1" x14ac:dyDescent="0.25">
      <c r="A444" s="178" t="s">
        <v>1257</v>
      </c>
      <c r="B444" s="178">
        <f>D221</f>
        <v>21134846</v>
      </c>
      <c r="C444" s="178">
        <f>C363</f>
        <v>21134846</v>
      </c>
      <c r="D444" s="178"/>
    </row>
    <row r="445" spans="1:7" ht="12.6" customHeight="1" x14ac:dyDescent="0.25">
      <c r="A445" s="178" t="s">
        <v>343</v>
      </c>
      <c r="B445" s="178">
        <f>D229</f>
        <v>1170185824</v>
      </c>
      <c r="C445" s="178">
        <f>C364</f>
        <v>1170185824</v>
      </c>
      <c r="D445" s="178"/>
    </row>
    <row r="446" spans="1:7" ht="12.6" customHeight="1" x14ac:dyDescent="0.25">
      <c r="A446" s="178" t="s">
        <v>351</v>
      </c>
      <c r="B446" s="178">
        <f>D236</f>
        <v>6527444</v>
      </c>
      <c r="C446" s="178">
        <f>C365</f>
        <v>6527444</v>
      </c>
      <c r="D446" s="178"/>
    </row>
    <row r="447" spans="1:7" ht="12.6" customHeight="1" x14ac:dyDescent="0.25">
      <c r="A447" s="178" t="s">
        <v>356</v>
      </c>
      <c r="B447" s="178">
        <f>D240</f>
        <v>3284412</v>
      </c>
      <c r="C447" s="178">
        <f>C366</f>
        <v>3284412</v>
      </c>
      <c r="D447" s="178"/>
    </row>
    <row r="448" spans="1:7" ht="12.6" customHeight="1" x14ac:dyDescent="0.25">
      <c r="A448" s="178" t="s">
        <v>358</v>
      </c>
      <c r="B448" s="178">
        <f>D242</f>
        <v>1201132526</v>
      </c>
      <c r="C448" s="178">
        <f>D367</f>
        <v>1201132526</v>
      </c>
      <c r="D448" s="178"/>
    </row>
    <row r="449" spans="1:7" ht="12.6" customHeight="1" x14ac:dyDescent="0.25">
      <c r="A449" s="205"/>
      <c r="B449" s="205"/>
      <c r="C449" s="205"/>
      <c r="D449" s="205"/>
      <c r="F449" s="205"/>
      <c r="G449" s="205"/>
    </row>
    <row r="450" spans="1:7" ht="12.6" customHeight="1" x14ac:dyDescent="0.25">
      <c r="A450" s="179" t="s">
        <v>481</v>
      </c>
      <c r="B450" s="180" t="s">
        <v>482</v>
      </c>
      <c r="C450" s="205"/>
      <c r="D450" s="205"/>
      <c r="F450" s="205"/>
      <c r="G450" s="205"/>
    </row>
    <row r="451" spans="1:7" ht="12.6" customHeight="1" x14ac:dyDescent="0.25">
      <c r="B451" s="180" t="s">
        <v>483</v>
      </c>
    </row>
    <row r="452" spans="1:7" ht="12.6" customHeight="1" x14ac:dyDescent="0.25">
      <c r="B452" s="180" t="s">
        <v>472</v>
      </c>
    </row>
    <row r="453" spans="1:7" ht="12.6" customHeight="1" x14ac:dyDescent="0.25">
      <c r="A453" s="198" t="s">
        <v>484</v>
      </c>
      <c r="B453" s="179">
        <f>C231</f>
        <v>2525</v>
      </c>
    </row>
    <row r="454" spans="1:7" ht="12.6" customHeight="1" x14ac:dyDescent="0.25">
      <c r="A454" s="178" t="s">
        <v>168</v>
      </c>
      <c r="B454" s="178">
        <f>C233</f>
        <v>2733158</v>
      </c>
      <c r="C454" s="178"/>
      <c r="D454" s="178"/>
    </row>
    <row r="455" spans="1:7" ht="12.6" customHeight="1" x14ac:dyDescent="0.25">
      <c r="A455" s="178" t="s">
        <v>131</v>
      </c>
      <c r="B455" s="178">
        <f>C234</f>
        <v>3794286</v>
      </c>
      <c r="C455" s="178"/>
      <c r="D455" s="178"/>
    </row>
    <row r="456" spans="1:7" ht="12.6" customHeight="1" x14ac:dyDescent="0.25">
      <c r="A456" s="205"/>
      <c r="B456" s="205"/>
      <c r="C456" s="205"/>
      <c r="D456" s="205"/>
      <c r="F456" s="205"/>
      <c r="G456" s="205"/>
    </row>
    <row r="457" spans="1:7" ht="12.6" customHeight="1" x14ac:dyDescent="0.25">
      <c r="A457" s="178" t="s">
        <v>485</v>
      </c>
      <c r="B457" s="180" t="s">
        <v>471</v>
      </c>
      <c r="C457" s="180" t="s">
        <v>486</v>
      </c>
      <c r="D457" s="178"/>
    </row>
    <row r="458" spans="1:7" ht="12.6" customHeight="1" x14ac:dyDescent="0.25">
      <c r="A458" s="178" t="s">
        <v>487</v>
      </c>
      <c r="B458" s="193">
        <f>C370</f>
        <v>35920053</v>
      </c>
      <c r="C458" s="193">
        <f>CE70</f>
        <v>35920553.053000003</v>
      </c>
      <c r="D458" s="193"/>
    </row>
    <row r="459" spans="1:7" ht="12.6" customHeight="1" x14ac:dyDescent="0.25">
      <c r="A459" s="178" t="s">
        <v>244</v>
      </c>
      <c r="B459" s="193">
        <f>C371</f>
        <v>26216729</v>
      </c>
      <c r="C459" s="193">
        <f>CE72</f>
        <v>26216729</v>
      </c>
      <c r="D459" s="193"/>
    </row>
    <row r="460" spans="1:7" ht="12.6" customHeight="1" x14ac:dyDescent="0.25">
      <c r="A460" s="205"/>
      <c r="B460" s="205"/>
      <c r="C460" s="205"/>
      <c r="D460" s="205"/>
      <c r="F460" s="205"/>
      <c r="G460" s="205"/>
    </row>
    <row r="461" spans="1:7" ht="12.6" customHeight="1" x14ac:dyDescent="0.25">
      <c r="A461" s="178" t="s">
        <v>488</v>
      </c>
      <c r="B461" s="180"/>
      <c r="C461" s="180"/>
      <c r="D461" s="180" t="s">
        <v>1245</v>
      </c>
    </row>
    <row r="462" spans="1:7" ht="12.6" customHeight="1" x14ac:dyDescent="0.25">
      <c r="B462" s="180" t="s">
        <v>471</v>
      </c>
      <c r="C462" s="180" t="s">
        <v>486</v>
      </c>
      <c r="D462" s="180" t="s">
        <v>490</v>
      </c>
    </row>
    <row r="463" spans="1:7" ht="12.6" customHeight="1" x14ac:dyDescent="0.25">
      <c r="A463" s="178" t="s">
        <v>245</v>
      </c>
      <c r="B463" s="193">
        <f>C359</f>
        <v>781301601</v>
      </c>
      <c r="C463" s="193">
        <f>CE73</f>
        <v>781301600.66999996</v>
      </c>
      <c r="D463" s="193">
        <f>E141+E147+E153</f>
        <v>781301600</v>
      </c>
    </row>
    <row r="464" spans="1:7" ht="12.6" customHeight="1" x14ac:dyDescent="0.25">
      <c r="A464" s="178" t="s">
        <v>246</v>
      </c>
      <c r="B464" s="193">
        <f>C360</f>
        <v>1084636035</v>
      </c>
      <c r="C464" s="193">
        <f>CE74</f>
        <v>1084636034.6600001</v>
      </c>
      <c r="D464" s="193">
        <f>E142+E148+E154</f>
        <v>1084636035</v>
      </c>
    </row>
    <row r="465" spans="1:7" ht="12.6" customHeight="1" x14ac:dyDescent="0.25">
      <c r="A465" s="178" t="s">
        <v>247</v>
      </c>
      <c r="B465" s="193">
        <f>D361</f>
        <v>1865937636</v>
      </c>
      <c r="C465" s="193">
        <f>CE75</f>
        <v>1865937635.3300002</v>
      </c>
      <c r="D465" s="193">
        <f>D463+D464</f>
        <v>1865937635</v>
      </c>
    </row>
    <row r="466" spans="1:7" ht="12.6" customHeight="1" x14ac:dyDescent="0.25">
      <c r="A466" s="205"/>
      <c r="B466" s="205"/>
      <c r="C466" s="205"/>
      <c r="D466" s="205"/>
      <c r="F466" s="205"/>
      <c r="G466" s="205"/>
    </row>
    <row r="467" spans="1:7" ht="12.6" customHeight="1" x14ac:dyDescent="0.25">
      <c r="A467" s="178" t="s">
        <v>491</v>
      </c>
      <c r="B467" s="180" t="s">
        <v>492</v>
      </c>
      <c r="C467" s="180" t="s">
        <v>493</v>
      </c>
      <c r="D467" s="178"/>
    </row>
    <row r="468" spans="1:7" ht="12.6" customHeight="1" x14ac:dyDescent="0.25">
      <c r="A468" s="178" t="s">
        <v>332</v>
      </c>
      <c r="B468" s="178">
        <f t="shared" ref="B468:B475" si="14">C267</f>
        <v>4913660</v>
      </c>
      <c r="C468" s="178">
        <f>E195</f>
        <v>4913660</v>
      </c>
      <c r="D468" s="178"/>
    </row>
    <row r="469" spans="1:7" ht="12.6" customHeight="1" x14ac:dyDescent="0.25">
      <c r="A469" s="178" t="s">
        <v>333</v>
      </c>
      <c r="B469" s="178">
        <f t="shared" si="14"/>
        <v>14328875</v>
      </c>
      <c r="C469" s="178">
        <f>E196</f>
        <v>14328875</v>
      </c>
      <c r="D469" s="178"/>
    </row>
    <row r="470" spans="1:7" ht="12.6" customHeight="1" x14ac:dyDescent="0.25">
      <c r="A470" s="178" t="s">
        <v>334</v>
      </c>
      <c r="B470" s="178">
        <f t="shared" si="14"/>
        <v>336727253</v>
      </c>
      <c r="C470" s="178">
        <f>E197</f>
        <v>336727254</v>
      </c>
      <c r="D470" s="178"/>
    </row>
    <row r="471" spans="1:7" ht="12.6" customHeight="1" x14ac:dyDescent="0.25">
      <c r="A471" s="178" t="s">
        <v>494</v>
      </c>
      <c r="B471" s="178">
        <f t="shared" si="14"/>
        <v>130601438</v>
      </c>
      <c r="C471" s="178">
        <f>E198</f>
        <v>130601438</v>
      </c>
      <c r="D471" s="178"/>
    </row>
    <row r="472" spans="1:7" ht="12.6" customHeight="1" x14ac:dyDescent="0.25">
      <c r="A472" s="178" t="s">
        <v>377</v>
      </c>
      <c r="B472" s="178">
        <f t="shared" si="14"/>
        <v>115064</v>
      </c>
      <c r="C472" s="178">
        <f>E199</f>
        <v>115064</v>
      </c>
      <c r="D472" s="178"/>
    </row>
    <row r="473" spans="1:7" ht="12.6" customHeight="1" x14ac:dyDescent="0.25">
      <c r="A473" s="178" t="s">
        <v>495</v>
      </c>
      <c r="B473" s="178">
        <f t="shared" si="14"/>
        <v>286142022</v>
      </c>
      <c r="C473" s="178">
        <f>SUM(E200:E201)</f>
        <v>286521317</v>
      </c>
      <c r="D473" s="178"/>
    </row>
    <row r="474" spans="1:7" ht="12.6" customHeight="1" x14ac:dyDescent="0.25">
      <c r="A474" s="178" t="s">
        <v>339</v>
      </c>
      <c r="B474" s="178">
        <f t="shared" si="14"/>
        <v>35848689</v>
      </c>
      <c r="C474" s="178">
        <f>E202</f>
        <v>35469394</v>
      </c>
      <c r="D474" s="178"/>
    </row>
    <row r="475" spans="1:7" ht="12.6" customHeight="1" x14ac:dyDescent="0.25">
      <c r="A475" s="178" t="s">
        <v>340</v>
      </c>
      <c r="B475" s="178">
        <f t="shared" si="14"/>
        <v>14280147</v>
      </c>
      <c r="C475" s="178">
        <f>E203</f>
        <v>14280145</v>
      </c>
      <c r="D475" s="178"/>
    </row>
    <row r="476" spans="1:7" ht="12.6" customHeight="1" x14ac:dyDescent="0.25">
      <c r="A476" s="178" t="s">
        <v>203</v>
      </c>
      <c r="B476" s="178">
        <f>D275</f>
        <v>822957148</v>
      </c>
      <c r="C476" s="178">
        <f>E204</f>
        <v>822957147</v>
      </c>
      <c r="D476" s="178"/>
    </row>
    <row r="477" spans="1:7" ht="12.6" customHeight="1" x14ac:dyDescent="0.25">
      <c r="A477" s="178"/>
      <c r="B477" s="178"/>
      <c r="C477" s="178"/>
      <c r="D477" s="178"/>
    </row>
    <row r="478" spans="1:7" ht="12.6" customHeight="1" x14ac:dyDescent="0.25">
      <c r="A478" s="178" t="s">
        <v>496</v>
      </c>
      <c r="B478" s="178">
        <f>C276</f>
        <v>503916209</v>
      </c>
      <c r="C478" s="178">
        <f>E217</f>
        <v>503916209</v>
      </c>
      <c r="D478" s="178"/>
    </row>
    <row r="480" spans="1:7" ht="12.6" customHeight="1" x14ac:dyDescent="0.25">
      <c r="A480" s="179" t="s">
        <v>497</v>
      </c>
    </row>
    <row r="481" spans="1:12" ht="12.6" customHeight="1" x14ac:dyDescent="0.25">
      <c r="A481" s="179" t="s">
        <v>498</v>
      </c>
      <c r="C481" s="179">
        <f>D341</f>
        <v>682310412</v>
      </c>
    </row>
    <row r="482" spans="1:12" ht="12.6" customHeight="1" x14ac:dyDescent="0.25">
      <c r="A482" s="179" t="s">
        <v>499</v>
      </c>
      <c r="C482" s="179">
        <f>D339</f>
        <v>682310412</v>
      </c>
    </row>
    <row r="485" spans="1:12" ht="12.6" customHeight="1" x14ac:dyDescent="0.25">
      <c r="A485" s="198" t="s">
        <v>500</v>
      </c>
    </row>
    <row r="486" spans="1:12" ht="12.6" customHeight="1" x14ac:dyDescent="0.25">
      <c r="A486" s="198" t="s">
        <v>501</v>
      </c>
    </row>
    <row r="487" spans="1:12" ht="12.6" customHeight="1" x14ac:dyDescent="0.25">
      <c r="A487" s="198" t="s">
        <v>502</v>
      </c>
    </row>
    <row r="488" spans="1:12" ht="12.6" customHeight="1" x14ac:dyDescent="0.25">
      <c r="A488" s="198"/>
    </row>
    <row r="489" spans="1:12" ht="12.6" customHeight="1" x14ac:dyDescent="0.25">
      <c r="A489" s="197" t="s">
        <v>503</v>
      </c>
    </row>
    <row r="490" spans="1:12" ht="12.6" customHeight="1" x14ac:dyDescent="0.25">
      <c r="A490" s="198" t="s">
        <v>504</v>
      </c>
    </row>
    <row r="491" spans="1:12" ht="12.6" customHeight="1" x14ac:dyDescent="0.25">
      <c r="A491" s="198"/>
    </row>
    <row r="493" spans="1:12" ht="12.6" customHeight="1" x14ac:dyDescent="0.25">
      <c r="A493" s="179" t="str">
        <f>C83</f>
        <v>164</v>
      </c>
      <c r="B493" s="260" t="str">
        <f>RIGHT('Prior Year'!C82,4)</f>
        <v>2017</v>
      </c>
      <c r="C493" s="260" t="str">
        <f>RIGHT(C82,4)</f>
        <v>2018</v>
      </c>
      <c r="D493" s="260" t="str">
        <f>RIGHT('Prior Year'!C82,4)</f>
        <v>2017</v>
      </c>
      <c r="E493" s="260" t="str">
        <f>RIGHT(C82,4)</f>
        <v>2018</v>
      </c>
      <c r="F493" s="260" t="str">
        <f>RIGHT('Prior Year'!C82,4)</f>
        <v>2017</v>
      </c>
      <c r="G493" s="260" t="str">
        <f>RIGHT(C82,4)</f>
        <v>2018</v>
      </c>
      <c r="H493" s="260"/>
      <c r="K493" s="260"/>
      <c r="L493" s="260"/>
    </row>
    <row r="494" spans="1:12" ht="12.6" customHeight="1" x14ac:dyDescent="0.25">
      <c r="A494" s="197"/>
      <c r="B494" s="180" t="s">
        <v>505</v>
      </c>
      <c r="C494" s="180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0" t="s">
        <v>303</v>
      </c>
      <c r="C495" s="180" t="s">
        <v>303</v>
      </c>
      <c r="D495" s="180" t="s">
        <v>509</v>
      </c>
      <c r="E495" s="180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79" t="s">
        <v>512</v>
      </c>
      <c r="B496" s="239">
        <f>'Prior Year'!C71</f>
        <v>20158120.219000004</v>
      </c>
      <c r="C496" s="239">
        <f>C71</f>
        <v>19686610.655999996</v>
      </c>
      <c r="D496" s="239">
        <f>'Prior Year'!C59</f>
        <v>4893</v>
      </c>
      <c r="E496" s="179">
        <f>C59</f>
        <v>4913</v>
      </c>
      <c r="F496" s="262">
        <f t="shared" ref="F496:G511" si="15">IF(B496=0,"",IF(D496=0,"",B496/D496))</f>
        <v>4119.787496219089</v>
      </c>
      <c r="G496" s="263">
        <f t="shared" si="15"/>
        <v>4007.0447091390179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79" t="s">
        <v>513</v>
      </c>
      <c r="B497" s="239">
        <f>'Prior Year'!D71</f>
        <v>11662919.589000002</v>
      </c>
      <c r="C497" s="239">
        <f>D71</f>
        <v>10957247.251000002</v>
      </c>
      <c r="D497" s="239">
        <f>'Prior Year'!D59</f>
        <v>10042</v>
      </c>
      <c r="E497" s="179">
        <f>D59</f>
        <v>9676</v>
      </c>
      <c r="F497" s="262">
        <f t="shared" si="15"/>
        <v>1161.4140200159331</v>
      </c>
      <c r="G497" s="262">
        <f t="shared" si="15"/>
        <v>1132.4149701322863</v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79" t="s">
        <v>514</v>
      </c>
      <c r="B498" s="239">
        <f>'Prior Year'!E71</f>
        <v>27575751.002</v>
      </c>
      <c r="C498" s="239">
        <f>E71</f>
        <v>28745577.133000001</v>
      </c>
      <c r="D498" s="239">
        <f>'Prior Year'!E59</f>
        <v>32619</v>
      </c>
      <c r="E498" s="179">
        <f>E59</f>
        <v>33334</v>
      </c>
      <c r="F498" s="262">
        <f t="shared" si="15"/>
        <v>845.389221067476</v>
      </c>
      <c r="G498" s="262">
        <f t="shared" si="15"/>
        <v>862.35006698866027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79" t="s">
        <v>515</v>
      </c>
      <c r="B499" s="239">
        <f>'Prior Year'!F71</f>
        <v>1650496.7399999995</v>
      </c>
      <c r="C499" s="239">
        <f>F71</f>
        <v>0</v>
      </c>
      <c r="D499" s="239">
        <f>'Prior Year'!F59</f>
        <v>0</v>
      </c>
      <c r="E499" s="179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79" t="s">
        <v>516</v>
      </c>
      <c r="B500" s="239">
        <f>'Prior Year'!G71</f>
        <v>2220227.642</v>
      </c>
      <c r="C500" s="239">
        <f>G71</f>
        <v>2221140.7279999997</v>
      </c>
      <c r="D500" s="239">
        <f>'Prior Year'!G59</f>
        <v>3175</v>
      </c>
      <c r="E500" s="179">
        <f>G59</f>
        <v>3183</v>
      </c>
      <c r="F500" s="262">
        <f t="shared" si="15"/>
        <v>699.28429669291336</v>
      </c>
      <c r="G500" s="262">
        <f t="shared" si="15"/>
        <v>697.81361231542564</v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79" t="s">
        <v>517</v>
      </c>
      <c r="B501" s="239">
        <f>'Prior Year'!H71</f>
        <v>0</v>
      </c>
      <c r="C501" s="239">
        <f>H71</f>
        <v>0</v>
      </c>
      <c r="D501" s="239">
        <f>'Prior Year'!H59</f>
        <v>0</v>
      </c>
      <c r="E501" s="179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79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79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79" t="s">
        <v>519</v>
      </c>
      <c r="B503" s="239">
        <f>'Prior Year'!J71</f>
        <v>0</v>
      </c>
      <c r="C503" s="239">
        <f>J71</f>
        <v>0</v>
      </c>
      <c r="D503" s="239">
        <f>'Prior Year'!J59</f>
        <v>0</v>
      </c>
      <c r="E503" s="179">
        <f>J59</f>
        <v>0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79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79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79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79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79" t="s">
        <v>522</v>
      </c>
      <c r="B506" s="239">
        <f>'Prior Year'!M71</f>
        <v>5456566.5599999996</v>
      </c>
      <c r="C506" s="239">
        <f>M71</f>
        <v>5980549.5099999998</v>
      </c>
      <c r="D506" s="239">
        <f>'Prior Year'!M59</f>
        <v>4175</v>
      </c>
      <c r="E506" s="179">
        <f>M59</f>
        <v>3828</v>
      </c>
      <c r="F506" s="262">
        <f t="shared" si="15"/>
        <v>1306.9620502994012</v>
      </c>
      <c r="G506" s="262">
        <f t="shared" si="15"/>
        <v>1562.3170088819227</v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79" t="s">
        <v>523</v>
      </c>
      <c r="B507" s="239">
        <f>'Prior Year'!N71</f>
        <v>14971301.550000003</v>
      </c>
      <c r="C507" s="239">
        <f>N71</f>
        <v>16204315.480000002</v>
      </c>
      <c r="D507" s="239">
        <f>'Prior Year'!N59</f>
        <v>0</v>
      </c>
      <c r="E507" s="179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79" t="s">
        <v>524</v>
      </c>
      <c r="B508" s="239">
        <f>'Prior Year'!O71</f>
        <v>23824663.800000004</v>
      </c>
      <c r="C508" s="239">
        <f>O71</f>
        <v>25074429.68</v>
      </c>
      <c r="D508" s="239">
        <f>'Prior Year'!O59</f>
        <v>10090</v>
      </c>
      <c r="E508" s="179">
        <f>O59</f>
        <v>4552</v>
      </c>
      <c r="F508" s="262">
        <f t="shared" si="15"/>
        <v>2361.2154410307239</v>
      </c>
      <c r="G508" s="262">
        <f t="shared" si="15"/>
        <v>5508.4423725834795</v>
      </c>
      <c r="H508" s="264">
        <f t="shared" si="16"/>
        <v>1.3328842751337082</v>
      </c>
      <c r="I508" s="266"/>
      <c r="K508" s="260"/>
      <c r="L508" s="260"/>
    </row>
    <row r="509" spans="1:12" ht="12.6" customHeight="1" x14ac:dyDescent="0.25">
      <c r="A509" s="179" t="s">
        <v>525</v>
      </c>
      <c r="B509" s="239">
        <f>'Prior Year'!P71</f>
        <v>56719518.371000029</v>
      </c>
      <c r="C509" s="239">
        <f>P71</f>
        <v>59588662.580999993</v>
      </c>
      <c r="D509" s="239">
        <f>'Prior Year'!P59</f>
        <v>867898</v>
      </c>
      <c r="E509" s="179">
        <f>P59</f>
        <v>908664</v>
      </c>
      <c r="F509" s="262">
        <f t="shared" si="15"/>
        <v>65.352746948374147</v>
      </c>
      <c r="G509" s="262">
        <f t="shared" si="15"/>
        <v>65.578324420247739</v>
      </c>
      <c r="H509" s="264" t="str">
        <f t="shared" si="16"/>
        <v/>
      </c>
      <c r="I509" s="266"/>
      <c r="K509" s="260"/>
      <c r="L509" s="260"/>
    </row>
    <row r="510" spans="1:12" ht="12.6" customHeight="1" x14ac:dyDescent="0.25">
      <c r="A510" s="179" t="s">
        <v>526</v>
      </c>
      <c r="B510" s="239">
        <f>'Prior Year'!Q71</f>
        <v>4634506.1199999992</v>
      </c>
      <c r="C510" s="239">
        <f>Q71</f>
        <v>5202835.0200000005</v>
      </c>
      <c r="D510" s="239">
        <f>'Prior Year'!Q59</f>
        <v>1533724</v>
      </c>
      <c r="E510" s="179">
        <f>Q59</f>
        <v>1509023</v>
      </c>
      <c r="F510" s="262">
        <f t="shared" si="15"/>
        <v>3.0217341060060345</v>
      </c>
      <c r="G510" s="262">
        <f t="shared" si="15"/>
        <v>3.4478169120020041</v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79" t="s">
        <v>527</v>
      </c>
      <c r="B511" s="239">
        <f>'Prior Year'!R71</f>
        <v>974590.36999999988</v>
      </c>
      <c r="C511" s="239">
        <f>R71</f>
        <v>1301681.49</v>
      </c>
      <c r="D511" s="239">
        <f>'Prior Year'!R59</f>
        <v>920106</v>
      </c>
      <c r="E511" s="179">
        <f>R59</f>
        <v>947293</v>
      </c>
      <c r="F511" s="262">
        <f t="shared" si="15"/>
        <v>1.0592153186698052</v>
      </c>
      <c r="G511" s="262">
        <f t="shared" si="15"/>
        <v>1.374106522480373</v>
      </c>
      <c r="H511" s="264">
        <f t="shared" si="16"/>
        <v>0.29728724486917146</v>
      </c>
      <c r="I511" s="266"/>
      <c r="K511" s="260"/>
      <c r="L511" s="260"/>
    </row>
    <row r="512" spans="1:12" ht="12.6" customHeight="1" x14ac:dyDescent="0.25">
      <c r="A512" s="179" t="s">
        <v>528</v>
      </c>
      <c r="B512" s="239">
        <f>'Prior Year'!S71</f>
        <v>2653519.0399999996</v>
      </c>
      <c r="C512" s="239">
        <f>S71</f>
        <v>2702378.54</v>
      </c>
      <c r="D512" s="180" t="s">
        <v>529</v>
      </c>
      <c r="E512" s="180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79" t="s">
        <v>1246</v>
      </c>
      <c r="B513" s="239">
        <f>'Prior Year'!T71</f>
        <v>0</v>
      </c>
      <c r="C513" s="239">
        <f>T71</f>
        <v>0</v>
      </c>
      <c r="D513" s="180" t="s">
        <v>529</v>
      </c>
      <c r="E513" s="180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79" t="s">
        <v>530</v>
      </c>
      <c r="B514" s="239">
        <f>'Prior Year'!U71</f>
        <v>14830735.217</v>
      </c>
      <c r="C514" s="239">
        <f>U71</f>
        <v>15098929.093</v>
      </c>
      <c r="D514" s="239">
        <f>'Prior Year'!U59</f>
        <v>770803</v>
      </c>
      <c r="E514" s="179">
        <f>U59</f>
        <v>804851</v>
      </c>
      <c r="F514" s="262">
        <f t="shared" si="17"/>
        <v>19.24062985873174</v>
      </c>
      <c r="G514" s="262">
        <f t="shared" si="17"/>
        <v>18.759905986325421</v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79" t="s">
        <v>531</v>
      </c>
      <c r="B515" s="239">
        <f>'Prior Year'!V71</f>
        <v>205661.50999999998</v>
      </c>
      <c r="C515" s="239">
        <f>V71</f>
        <v>202149.05</v>
      </c>
      <c r="D515" s="239">
        <f>'Prior Year'!V59</f>
        <v>0</v>
      </c>
      <c r="E515" s="179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79" t="s">
        <v>532</v>
      </c>
      <c r="B516" s="239">
        <f>'Prior Year'!W71</f>
        <v>1421067.7400000002</v>
      </c>
      <c r="C516" s="239">
        <f>W71</f>
        <v>1336194.5649999999</v>
      </c>
      <c r="D516" s="239">
        <f>'Prior Year'!W59</f>
        <v>38255.160000000003</v>
      </c>
      <c r="E516" s="179">
        <f>W59</f>
        <v>35394.33</v>
      </c>
      <c r="F516" s="262">
        <f t="shared" si="17"/>
        <v>37.147086562963011</v>
      </c>
      <c r="G516" s="262">
        <f t="shared" si="17"/>
        <v>37.751655844311784</v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79" t="s">
        <v>533</v>
      </c>
      <c r="B517" s="239">
        <f>'Prior Year'!X71</f>
        <v>2393829.3000000003</v>
      </c>
      <c r="C517" s="239">
        <f>X71</f>
        <v>2380105.66</v>
      </c>
      <c r="D517" s="239">
        <f>'Prior Year'!X59</f>
        <v>122026.07999999999</v>
      </c>
      <c r="E517" s="179">
        <f>X59</f>
        <v>130386.44</v>
      </c>
      <c r="F517" s="262">
        <f t="shared" si="17"/>
        <v>19.617358027070939</v>
      </c>
      <c r="G517" s="262">
        <f t="shared" si="17"/>
        <v>18.254242235618982</v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79" t="s">
        <v>534</v>
      </c>
      <c r="B518" s="239">
        <f>'Prior Year'!Y71</f>
        <v>28261158.403999995</v>
      </c>
      <c r="C518" s="239">
        <f>Y71</f>
        <v>28322076.506999999</v>
      </c>
      <c r="D518" s="239">
        <f>'Prior Year'!Y59</f>
        <v>366204.54000000004</v>
      </c>
      <c r="E518" s="179">
        <f>Y59</f>
        <v>356012.05</v>
      </c>
      <c r="F518" s="262">
        <f t="shared" si="17"/>
        <v>77.173151386927074</v>
      </c>
      <c r="G518" s="262">
        <f t="shared" si="17"/>
        <v>79.553701923853424</v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79" t="s">
        <v>535</v>
      </c>
      <c r="B519" s="239">
        <f>'Prior Year'!Z71</f>
        <v>7949927.5199999986</v>
      </c>
      <c r="C519" s="239">
        <f>Z71</f>
        <v>7980554.0899999999</v>
      </c>
      <c r="D519" s="239">
        <f>'Prior Year'!Z59</f>
        <v>50766.75</v>
      </c>
      <c r="E519" s="179">
        <f>Z59</f>
        <v>52817.56</v>
      </c>
      <c r="F519" s="262">
        <f t="shared" si="17"/>
        <v>156.59713335992552</v>
      </c>
      <c r="G519" s="262">
        <f t="shared" si="17"/>
        <v>151.09660669671223</v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79" t="s">
        <v>536</v>
      </c>
      <c r="B520" s="239">
        <f>'Prior Year'!AA71</f>
        <v>1105185.7000000002</v>
      </c>
      <c r="C520" s="239">
        <f>AA71</f>
        <v>1127679.8</v>
      </c>
      <c r="D520" s="239">
        <f>'Prior Year'!AA59</f>
        <v>15173.84</v>
      </c>
      <c r="E520" s="179">
        <f>AA59</f>
        <v>14083.609999999999</v>
      </c>
      <c r="F520" s="262">
        <f t="shared" si="17"/>
        <v>72.834938288528164</v>
      </c>
      <c r="G520" s="262">
        <f t="shared" si="17"/>
        <v>80.070365481577525</v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79" t="s">
        <v>537</v>
      </c>
      <c r="B521" s="239">
        <f>'Prior Year'!AB71</f>
        <v>20898757.799999997</v>
      </c>
      <c r="C521" s="239">
        <f>AB71</f>
        <v>23759705.399999995</v>
      </c>
      <c r="D521" s="180" t="s">
        <v>529</v>
      </c>
      <c r="E521" s="180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79" t="s">
        <v>538</v>
      </c>
      <c r="B522" s="239">
        <f>'Prior Year'!AC71</f>
        <v>3081223.32</v>
      </c>
      <c r="C522" s="239">
        <f>AC71</f>
        <v>3016690.7000000007</v>
      </c>
      <c r="D522" s="239">
        <f>'Prior Year'!AC59</f>
        <v>0</v>
      </c>
      <c r="E522" s="179">
        <f>AC59</f>
        <v>27204.33</v>
      </c>
      <c r="F522" s="262" t="str">
        <f t="shared" si="17"/>
        <v/>
      </c>
      <c r="G522" s="262">
        <f t="shared" si="17"/>
        <v>110.89009359907045</v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79" t="s">
        <v>539</v>
      </c>
      <c r="B523" s="239">
        <f>'Prior Year'!AD71</f>
        <v>0</v>
      </c>
      <c r="C523" s="239">
        <f>AD71</f>
        <v>0</v>
      </c>
      <c r="D523" s="239">
        <f>'Prior Year'!AD59</f>
        <v>0</v>
      </c>
      <c r="E523" s="179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79" t="s">
        <v>540</v>
      </c>
      <c r="B524" s="239">
        <f>'Prior Year'!AE71</f>
        <v>6170661.5799999991</v>
      </c>
      <c r="C524" s="239">
        <f>AE71</f>
        <v>6833640.1499999994</v>
      </c>
      <c r="D524" s="239">
        <f>'Prior Year'!AE59</f>
        <v>71743</v>
      </c>
      <c r="E524" s="179">
        <f>AE59</f>
        <v>83563.179999999993</v>
      </c>
      <c r="F524" s="262">
        <f t="shared" si="17"/>
        <v>86.010643268332785</v>
      </c>
      <c r="G524" s="262">
        <f t="shared" si="17"/>
        <v>81.77812464772164</v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79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79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79" t="s">
        <v>542</v>
      </c>
      <c r="B526" s="239">
        <f>'Prior Year'!AG71</f>
        <v>15746664.174000001</v>
      </c>
      <c r="C526" s="239">
        <f>AG71</f>
        <v>16032838.036</v>
      </c>
      <c r="D526" s="239">
        <f>'Prior Year'!AG59</f>
        <v>57669</v>
      </c>
      <c r="E526" s="179">
        <f>AG59</f>
        <v>57153</v>
      </c>
      <c r="F526" s="262">
        <f t="shared" si="17"/>
        <v>273.05249222285806</v>
      </c>
      <c r="G526" s="262">
        <f t="shared" si="17"/>
        <v>280.52487246513743</v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79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79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79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79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79" t="s">
        <v>545</v>
      </c>
      <c r="B529" s="239">
        <f>'Prior Year'!AJ71</f>
        <v>65975960.94000002</v>
      </c>
      <c r="C529" s="239">
        <f>AJ71</f>
        <v>92175443.554999992</v>
      </c>
      <c r="D529" s="239">
        <f>'Prior Year'!AJ59</f>
        <v>193513</v>
      </c>
      <c r="E529" s="179">
        <f>AJ59</f>
        <v>274894</v>
      </c>
      <c r="F529" s="262">
        <f t="shared" si="18"/>
        <v>340.93813304532523</v>
      </c>
      <c r="G529" s="262">
        <f t="shared" si="18"/>
        <v>335.31267890532348</v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79" t="s">
        <v>546</v>
      </c>
      <c r="B530" s="239">
        <f>'Prior Year'!AK71</f>
        <v>0</v>
      </c>
      <c r="C530" s="239">
        <f>AK71</f>
        <v>0</v>
      </c>
      <c r="D530" s="239">
        <f>'Prior Year'!AK59</f>
        <v>0</v>
      </c>
      <c r="E530" s="179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79" t="s">
        <v>547</v>
      </c>
      <c r="B531" s="239">
        <f>'Prior Year'!AL71</f>
        <v>0</v>
      </c>
      <c r="C531" s="239">
        <f>AL71</f>
        <v>0</v>
      </c>
      <c r="D531" s="239">
        <f>'Prior Year'!AL59</f>
        <v>0</v>
      </c>
      <c r="E531" s="179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79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79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79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79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79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79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79" t="s">
        <v>550</v>
      </c>
      <c r="B535" s="239">
        <f>'Prior Year'!AP71</f>
        <v>82822906.059999987</v>
      </c>
      <c r="C535" s="239">
        <f>AP71</f>
        <v>68084707.111000001</v>
      </c>
      <c r="D535" s="239">
        <f>'Prior Year'!AP59</f>
        <v>388380</v>
      </c>
      <c r="E535" s="179">
        <f>AP59</f>
        <v>328699</v>
      </c>
      <c r="F535" s="262">
        <f t="shared" si="18"/>
        <v>213.25224280343988</v>
      </c>
      <c r="G535" s="262">
        <f t="shared" si="18"/>
        <v>207.13390400031639</v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79" t="s">
        <v>551</v>
      </c>
      <c r="B536" s="239">
        <f>'Prior Year'!AQ71</f>
        <v>1821558.6800000002</v>
      </c>
      <c r="C536" s="239">
        <f>AQ71</f>
        <v>0</v>
      </c>
      <c r="D536" s="239">
        <f>'Prior Year'!AQ59</f>
        <v>0</v>
      </c>
      <c r="E536" s="179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79" t="s">
        <v>552</v>
      </c>
      <c r="B537" s="239">
        <f>'Prior Year'!AR71</f>
        <v>62415741.377999999</v>
      </c>
      <c r="C537" s="239">
        <f>AR71</f>
        <v>63271759.472000003</v>
      </c>
      <c r="D537" s="239">
        <f>'Prior Year'!AR59</f>
        <v>0</v>
      </c>
      <c r="E537" s="179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79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79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79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79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79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79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79" t="s">
        <v>556</v>
      </c>
      <c r="B541" s="239">
        <f>'Prior Year'!AV71</f>
        <v>3012754.5700000003</v>
      </c>
      <c r="C541" s="239">
        <f>AV71</f>
        <v>3099763.5199999986</v>
      </c>
      <c r="D541" s="180" t="s">
        <v>529</v>
      </c>
      <c r="E541" s="180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79" t="s">
        <v>1248</v>
      </c>
      <c r="B542" s="239">
        <f>'Prior Year'!AW71</f>
        <v>276931.1660000002</v>
      </c>
      <c r="C542" s="239">
        <f>AW71</f>
        <v>-179547.14899999974</v>
      </c>
      <c r="D542" s="180" t="s">
        <v>529</v>
      </c>
      <c r="E542" s="180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79" t="s">
        <v>557</v>
      </c>
      <c r="B543" s="239">
        <f>'Prior Year'!AX71</f>
        <v>4069485.3380000005</v>
      </c>
      <c r="C543" s="239">
        <f>AX71</f>
        <v>3854968.9819999998</v>
      </c>
      <c r="D543" s="180" t="s">
        <v>529</v>
      </c>
      <c r="E543" s="180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79" t="s">
        <v>558</v>
      </c>
      <c r="B544" s="239">
        <f>'Prior Year'!AY71</f>
        <v>0</v>
      </c>
      <c r="C544" s="239">
        <f>AY71</f>
        <v>0</v>
      </c>
      <c r="D544" s="239">
        <f>'Prior Year'!AY59</f>
        <v>0</v>
      </c>
      <c r="E544" s="179">
        <f>AY59</f>
        <v>0</v>
      </c>
      <c r="F544" s="262" t="str">
        <f t="shared" ref="F544:G550" si="19">IF(B544=0,"",IF(D544=0,"",B544/D544))</f>
        <v/>
      </c>
      <c r="G544" s="262" t="str">
        <f t="shared" si="19"/>
        <v/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79" t="s">
        <v>559</v>
      </c>
      <c r="B545" s="239">
        <f>'Prior Year'!AZ71</f>
        <v>4313833.1999999993</v>
      </c>
      <c r="C545" s="239">
        <f>AZ71</f>
        <v>4344413.7059999993</v>
      </c>
      <c r="D545" s="239">
        <f>'Prior Year'!AZ59</f>
        <v>834538.1</v>
      </c>
      <c r="E545" s="179">
        <f>AZ59</f>
        <v>795431.23</v>
      </c>
      <c r="F545" s="262">
        <f t="shared" si="19"/>
        <v>5.1691267301037538</v>
      </c>
      <c r="G545" s="262">
        <f t="shared" si="19"/>
        <v>5.4617087463362477</v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79" t="s">
        <v>560</v>
      </c>
      <c r="B546" s="239">
        <f>'Prior Year'!BA71</f>
        <v>292834.86</v>
      </c>
      <c r="C546" s="239">
        <f>BA71</f>
        <v>373719.39999999997</v>
      </c>
      <c r="D546" s="239">
        <f>'Prior Year'!BA59</f>
        <v>0</v>
      </c>
      <c r="E546" s="179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79" t="s">
        <v>561</v>
      </c>
      <c r="B547" s="239">
        <f>'Prior Year'!BB71</f>
        <v>202982.11000000002</v>
      </c>
      <c r="C547" s="239">
        <f>BB71</f>
        <v>240526.33999999997</v>
      </c>
      <c r="D547" s="180" t="s">
        <v>529</v>
      </c>
      <c r="E547" s="180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79" t="s">
        <v>562</v>
      </c>
      <c r="B548" s="239">
        <f>'Prior Year'!BC71</f>
        <v>581033.25999999989</v>
      </c>
      <c r="C548" s="239">
        <f>BC71</f>
        <v>447925.42999999993</v>
      </c>
      <c r="D548" s="180" t="s">
        <v>529</v>
      </c>
      <c r="E548" s="180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79" t="s">
        <v>563</v>
      </c>
      <c r="B549" s="239">
        <f>'Prior Year'!BD71</f>
        <v>2721682.2699999996</v>
      </c>
      <c r="C549" s="239">
        <f>BD71</f>
        <v>2794288.4400000009</v>
      </c>
      <c r="D549" s="180" t="s">
        <v>529</v>
      </c>
      <c r="E549" s="180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79" t="s">
        <v>564</v>
      </c>
      <c r="B550" s="239">
        <f>'Prior Year'!BE71</f>
        <v>16018587.35</v>
      </c>
      <c r="C550" s="239">
        <f>BE71</f>
        <v>15547051.300000003</v>
      </c>
      <c r="D550" s="239">
        <f>'Prior Year'!BE59</f>
        <v>789998</v>
      </c>
      <c r="E550" s="179">
        <f>BE59</f>
        <v>782365</v>
      </c>
      <c r="F550" s="262">
        <f t="shared" si="19"/>
        <v>20.276744181630839</v>
      </c>
      <c r="G550" s="262">
        <f t="shared" si="19"/>
        <v>19.871864538930044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79" t="s">
        <v>565</v>
      </c>
      <c r="B551" s="239">
        <f>'Prior Year'!BF71</f>
        <v>6021031.0099999998</v>
      </c>
      <c r="C551" s="239">
        <f>BF71</f>
        <v>5809572.1299999999</v>
      </c>
      <c r="D551" s="180" t="s">
        <v>529</v>
      </c>
      <c r="E551" s="180" t="s">
        <v>529</v>
      </c>
      <c r="F551" s="262"/>
      <c r="G551" s="262"/>
      <c r="H551" s="264"/>
      <c r="I551" s="266"/>
      <c r="J551" s="198"/>
      <c r="M551" s="264"/>
    </row>
    <row r="552" spans="1:13" ht="12.6" customHeight="1" x14ac:dyDescent="0.25">
      <c r="A552" s="179" t="s">
        <v>566</v>
      </c>
      <c r="B552" s="239">
        <f>'Prior Year'!BG71</f>
        <v>1985297.8999999997</v>
      </c>
      <c r="C552" s="239">
        <f>BG71</f>
        <v>2269557.4299999997</v>
      </c>
      <c r="D552" s="180" t="s">
        <v>529</v>
      </c>
      <c r="E552" s="180" t="s">
        <v>529</v>
      </c>
      <c r="F552" s="262"/>
      <c r="G552" s="262"/>
      <c r="H552" s="264"/>
      <c r="J552" s="198"/>
      <c r="M552" s="264"/>
    </row>
    <row r="553" spans="1:13" ht="12.6" customHeight="1" x14ac:dyDescent="0.25">
      <c r="A553" s="179" t="s">
        <v>567</v>
      </c>
      <c r="B553" s="239">
        <f>'Prior Year'!BH71</f>
        <v>25983263.009999998</v>
      </c>
      <c r="C553" s="239">
        <f>BH71</f>
        <v>28912914.355</v>
      </c>
      <c r="D553" s="180" t="s">
        <v>529</v>
      </c>
      <c r="E553" s="180" t="s">
        <v>529</v>
      </c>
      <c r="F553" s="262"/>
      <c r="G553" s="262"/>
      <c r="H553" s="264"/>
      <c r="J553" s="198"/>
      <c r="M553" s="264"/>
    </row>
    <row r="554" spans="1:13" ht="12.6" customHeight="1" x14ac:dyDescent="0.25">
      <c r="A554" s="179" t="s">
        <v>568</v>
      </c>
      <c r="B554" s="239">
        <f>'Prior Year'!BI71</f>
        <v>2565564.7899999996</v>
      </c>
      <c r="C554" s="239">
        <f>BI71</f>
        <v>2697600.46</v>
      </c>
      <c r="D554" s="180" t="s">
        <v>529</v>
      </c>
      <c r="E554" s="180" t="s">
        <v>529</v>
      </c>
      <c r="F554" s="262"/>
      <c r="G554" s="262"/>
      <c r="H554" s="264"/>
      <c r="J554" s="198"/>
      <c r="M554" s="264"/>
    </row>
    <row r="555" spans="1:13" ht="12.6" customHeight="1" x14ac:dyDescent="0.25">
      <c r="A555" s="179" t="s">
        <v>569</v>
      </c>
      <c r="B555" s="239">
        <f>'Prior Year'!BJ71</f>
        <v>2029277.8099999996</v>
      </c>
      <c r="C555" s="239">
        <f>BJ71</f>
        <v>1942339.1099999996</v>
      </c>
      <c r="D555" s="180" t="s">
        <v>529</v>
      </c>
      <c r="E555" s="180" t="s">
        <v>529</v>
      </c>
      <c r="F555" s="262"/>
      <c r="G555" s="262"/>
      <c r="H555" s="264"/>
      <c r="J555" s="198"/>
      <c r="M555" s="264"/>
    </row>
    <row r="556" spans="1:13" ht="12.6" customHeight="1" x14ac:dyDescent="0.25">
      <c r="A556" s="179" t="s">
        <v>570</v>
      </c>
      <c r="B556" s="239">
        <f>'Prior Year'!BK71</f>
        <v>9871896.8400000017</v>
      </c>
      <c r="C556" s="239">
        <f>BK71</f>
        <v>10387670.100000001</v>
      </c>
      <c r="D556" s="180" t="s">
        <v>529</v>
      </c>
      <c r="E556" s="180" t="s">
        <v>529</v>
      </c>
      <c r="F556" s="262"/>
      <c r="G556" s="262"/>
      <c r="H556" s="264"/>
      <c r="J556" s="198"/>
      <c r="M556" s="264"/>
    </row>
    <row r="557" spans="1:13" ht="12.6" customHeight="1" x14ac:dyDescent="0.25">
      <c r="A557" s="179" t="s">
        <v>571</v>
      </c>
      <c r="B557" s="239">
        <f>'Prior Year'!BL71</f>
        <v>4078645.0099999988</v>
      </c>
      <c r="C557" s="239">
        <f>BL71</f>
        <v>4368500.68</v>
      </c>
      <c r="D557" s="180" t="s">
        <v>529</v>
      </c>
      <c r="E557" s="180" t="s">
        <v>529</v>
      </c>
      <c r="F557" s="262"/>
      <c r="G557" s="262"/>
      <c r="H557" s="264"/>
      <c r="J557" s="198"/>
      <c r="M557" s="264"/>
    </row>
    <row r="558" spans="1:13" ht="12.6" customHeight="1" x14ac:dyDescent="0.25">
      <c r="A558" s="179" t="s">
        <v>572</v>
      </c>
      <c r="B558" s="239">
        <f>'Prior Year'!BM71</f>
        <v>2543740.3800000004</v>
      </c>
      <c r="C558" s="239">
        <f>BM71</f>
        <v>3867644.55</v>
      </c>
      <c r="D558" s="180" t="s">
        <v>529</v>
      </c>
      <c r="E558" s="180" t="s">
        <v>529</v>
      </c>
      <c r="F558" s="262"/>
      <c r="G558" s="262"/>
      <c r="H558" s="264"/>
      <c r="J558" s="198"/>
      <c r="M558" s="264"/>
    </row>
    <row r="559" spans="1:13" ht="12.6" customHeight="1" x14ac:dyDescent="0.25">
      <c r="A559" s="179" t="s">
        <v>573</v>
      </c>
      <c r="B559" s="239">
        <f>'Prior Year'!BN71</f>
        <v>9780987.2800000012</v>
      </c>
      <c r="C559" s="239">
        <f>BN71</f>
        <v>12445542.48</v>
      </c>
      <c r="D559" s="180" t="s">
        <v>529</v>
      </c>
      <c r="E559" s="180" t="s">
        <v>529</v>
      </c>
      <c r="F559" s="262"/>
      <c r="G559" s="262"/>
      <c r="H559" s="264"/>
      <c r="J559" s="198"/>
      <c r="M559" s="264"/>
    </row>
    <row r="560" spans="1:13" ht="12.6" customHeight="1" x14ac:dyDescent="0.25">
      <c r="A560" s="179" t="s">
        <v>574</v>
      </c>
      <c r="B560" s="239">
        <f>'Prior Year'!BO71</f>
        <v>1063181.5020000001</v>
      </c>
      <c r="C560" s="239">
        <f>BO71</f>
        <v>1097067.9879999999</v>
      </c>
      <c r="D560" s="180" t="s">
        <v>529</v>
      </c>
      <c r="E560" s="180" t="s">
        <v>529</v>
      </c>
      <c r="F560" s="262"/>
      <c r="G560" s="262"/>
      <c r="H560" s="264"/>
      <c r="J560" s="198"/>
      <c r="M560" s="264"/>
    </row>
    <row r="561" spans="1:13" ht="12.6" customHeight="1" x14ac:dyDescent="0.25">
      <c r="A561" s="179" t="s">
        <v>575</v>
      </c>
      <c r="B561" s="239">
        <f>'Prior Year'!BP71</f>
        <v>4194350.6490000002</v>
      </c>
      <c r="C561" s="239">
        <f>BP71</f>
        <v>4365665.169999999</v>
      </c>
      <c r="D561" s="180" t="s">
        <v>529</v>
      </c>
      <c r="E561" s="180" t="s">
        <v>529</v>
      </c>
      <c r="F561" s="262"/>
      <c r="G561" s="262"/>
      <c r="H561" s="264"/>
      <c r="J561" s="198"/>
      <c r="M561" s="264"/>
    </row>
    <row r="562" spans="1:13" ht="12.6" customHeight="1" x14ac:dyDescent="0.25">
      <c r="A562" s="179" t="s">
        <v>576</v>
      </c>
      <c r="B562" s="239">
        <f>'Prior Year'!BQ71</f>
        <v>527386.78999999992</v>
      </c>
      <c r="C562" s="239">
        <f>BQ71</f>
        <v>491671.6399999999</v>
      </c>
      <c r="D562" s="180" t="s">
        <v>529</v>
      </c>
      <c r="E562" s="180" t="s">
        <v>529</v>
      </c>
      <c r="F562" s="262"/>
      <c r="G562" s="262"/>
      <c r="H562" s="264"/>
      <c r="J562" s="198"/>
      <c r="M562" s="264"/>
    </row>
    <row r="563" spans="1:13" ht="12.6" customHeight="1" x14ac:dyDescent="0.25">
      <c r="A563" s="179" t="s">
        <v>577</v>
      </c>
      <c r="B563" s="239">
        <f>'Prior Year'!BR71</f>
        <v>4555734.4300000006</v>
      </c>
      <c r="C563" s="239">
        <f>BR71</f>
        <v>4382053.5999999996</v>
      </c>
      <c r="D563" s="180" t="s">
        <v>529</v>
      </c>
      <c r="E563" s="180" t="s">
        <v>529</v>
      </c>
      <c r="F563" s="262"/>
      <c r="G563" s="262"/>
      <c r="H563" s="264"/>
      <c r="J563" s="198"/>
      <c r="M563" s="264"/>
    </row>
    <row r="564" spans="1:13" ht="12.6" customHeight="1" x14ac:dyDescent="0.25">
      <c r="A564" s="179" t="s">
        <v>1249</v>
      </c>
      <c r="B564" s="239">
        <f>'Prior Year'!BS71</f>
        <v>458068.66999999981</v>
      </c>
      <c r="C564" s="239">
        <f>BS71</f>
        <v>133740.64000000001</v>
      </c>
      <c r="D564" s="180" t="s">
        <v>529</v>
      </c>
      <c r="E564" s="180" t="s">
        <v>529</v>
      </c>
      <c r="F564" s="262"/>
      <c r="G564" s="262"/>
      <c r="H564" s="264"/>
      <c r="J564" s="198"/>
      <c r="M564" s="264"/>
    </row>
    <row r="565" spans="1:13" ht="12.6" customHeight="1" x14ac:dyDescent="0.25">
      <c r="A565" s="179" t="s">
        <v>578</v>
      </c>
      <c r="B565" s="239">
        <f>'Prior Year'!BT71</f>
        <v>338222.60000000003</v>
      </c>
      <c r="C565" s="239">
        <f>BT71</f>
        <v>200624.88999999998</v>
      </c>
      <c r="D565" s="180" t="s">
        <v>529</v>
      </c>
      <c r="E565" s="180" t="s">
        <v>529</v>
      </c>
      <c r="F565" s="262"/>
      <c r="G565" s="262"/>
      <c r="H565" s="264"/>
      <c r="J565" s="198"/>
      <c r="M565" s="264"/>
    </row>
    <row r="566" spans="1:13" ht="12.6" customHeight="1" x14ac:dyDescent="0.25">
      <c r="A566" s="179" t="s">
        <v>579</v>
      </c>
      <c r="B566" s="239">
        <f>'Prior Year'!BU71</f>
        <v>281472.7</v>
      </c>
      <c r="C566" s="239">
        <f>BU71</f>
        <v>230371.04</v>
      </c>
      <c r="D566" s="180" t="s">
        <v>529</v>
      </c>
      <c r="E566" s="180" t="s">
        <v>529</v>
      </c>
      <c r="F566" s="262"/>
      <c r="G566" s="262"/>
      <c r="H566" s="264"/>
      <c r="J566" s="198"/>
      <c r="M566" s="264"/>
    </row>
    <row r="567" spans="1:13" ht="12.6" customHeight="1" x14ac:dyDescent="0.25">
      <c r="A567" s="179" t="s">
        <v>580</v>
      </c>
      <c r="B567" s="239">
        <f>'Prior Year'!BV71</f>
        <v>6774752.0100000007</v>
      </c>
      <c r="C567" s="239">
        <f>BV71</f>
        <v>6058922.1120000007</v>
      </c>
      <c r="D567" s="180" t="s">
        <v>529</v>
      </c>
      <c r="E567" s="180" t="s">
        <v>529</v>
      </c>
      <c r="F567" s="262"/>
      <c r="G567" s="262"/>
      <c r="H567" s="264"/>
      <c r="J567" s="198"/>
      <c r="M567" s="264"/>
    </row>
    <row r="568" spans="1:13" ht="12.6" customHeight="1" x14ac:dyDescent="0.25">
      <c r="A568" s="179" t="s">
        <v>581</v>
      </c>
      <c r="B568" s="239">
        <f>'Prior Year'!BW71</f>
        <v>2672734.5830000001</v>
      </c>
      <c r="C568" s="239">
        <f>BW71</f>
        <v>2728504.1569999992</v>
      </c>
      <c r="D568" s="180" t="s">
        <v>529</v>
      </c>
      <c r="E568" s="180" t="s">
        <v>529</v>
      </c>
      <c r="F568" s="262"/>
      <c r="G568" s="262"/>
      <c r="H568" s="264"/>
      <c r="J568" s="198"/>
      <c r="M568" s="264"/>
    </row>
    <row r="569" spans="1:13" ht="12.6" customHeight="1" x14ac:dyDescent="0.25">
      <c r="A569" s="179" t="s">
        <v>582</v>
      </c>
      <c r="B569" s="239">
        <f>'Prior Year'!BX71</f>
        <v>6515576.5499999998</v>
      </c>
      <c r="C569" s="239">
        <f>BX71</f>
        <v>7176595.5000000019</v>
      </c>
      <c r="D569" s="180" t="s">
        <v>529</v>
      </c>
      <c r="E569" s="180" t="s">
        <v>529</v>
      </c>
      <c r="F569" s="262"/>
      <c r="G569" s="262"/>
      <c r="H569" s="264"/>
      <c r="J569" s="198"/>
      <c r="M569" s="264"/>
    </row>
    <row r="570" spans="1:13" ht="12.6" customHeight="1" x14ac:dyDescent="0.25">
      <c r="A570" s="179" t="s">
        <v>583</v>
      </c>
      <c r="B570" s="239">
        <f>'Prior Year'!BY71</f>
        <v>2420065.11</v>
      </c>
      <c r="C570" s="239">
        <f>BY71</f>
        <v>2407243.61</v>
      </c>
      <c r="D570" s="180" t="s">
        <v>529</v>
      </c>
      <c r="E570" s="180" t="s">
        <v>529</v>
      </c>
      <c r="F570" s="262"/>
      <c r="G570" s="262"/>
      <c r="H570" s="264"/>
      <c r="J570" s="198"/>
      <c r="M570" s="264"/>
    </row>
    <row r="571" spans="1:13" ht="12.6" customHeight="1" x14ac:dyDescent="0.25">
      <c r="A571" s="179" t="s">
        <v>584</v>
      </c>
      <c r="B571" s="239">
        <f>'Prior Year'!BZ71</f>
        <v>3512821.2799999989</v>
      </c>
      <c r="C571" s="239">
        <f>BZ71</f>
        <v>4182646.41</v>
      </c>
      <c r="D571" s="180" t="s">
        <v>529</v>
      </c>
      <c r="E571" s="180" t="s">
        <v>529</v>
      </c>
      <c r="F571" s="262"/>
      <c r="G571" s="262"/>
      <c r="H571" s="264"/>
      <c r="J571" s="198"/>
      <c r="M571" s="264"/>
    </row>
    <row r="572" spans="1:13" ht="12.6" customHeight="1" x14ac:dyDescent="0.25">
      <c r="A572" s="179" t="s">
        <v>585</v>
      </c>
      <c r="B572" s="239">
        <f>'Prior Year'!CA71</f>
        <v>1391892.71</v>
      </c>
      <c r="C572" s="239">
        <f>CA71</f>
        <v>2234503.3899999997</v>
      </c>
      <c r="D572" s="180" t="s">
        <v>529</v>
      </c>
      <c r="E572" s="180" t="s">
        <v>529</v>
      </c>
      <c r="F572" s="262"/>
      <c r="G572" s="262"/>
      <c r="H572" s="264"/>
      <c r="J572" s="198"/>
      <c r="M572" s="264"/>
    </row>
    <row r="573" spans="1:13" ht="12.6" customHeight="1" x14ac:dyDescent="0.25">
      <c r="A573" s="179" t="s">
        <v>586</v>
      </c>
      <c r="B573" s="239">
        <f>'Prior Year'!CB71</f>
        <v>5008579.2499999991</v>
      </c>
      <c r="C573" s="239">
        <f>CB71</f>
        <v>5248482.4470000006</v>
      </c>
      <c r="D573" s="180" t="s">
        <v>529</v>
      </c>
      <c r="E573" s="180" t="s">
        <v>529</v>
      </c>
      <c r="F573" s="262"/>
      <c r="G573" s="262"/>
      <c r="H573" s="264"/>
      <c r="J573" s="198"/>
      <c r="M573" s="264"/>
    </row>
    <row r="574" spans="1:13" ht="12.6" customHeight="1" x14ac:dyDescent="0.25">
      <c r="A574" s="179" t="s">
        <v>587</v>
      </c>
      <c r="B574" s="239">
        <f>'Prior Year'!CC71</f>
        <v>-1307896.2599999998</v>
      </c>
      <c r="C574" s="239">
        <f>CC71</f>
        <v>-520160.38000000082</v>
      </c>
      <c r="D574" s="180" t="s">
        <v>529</v>
      </c>
      <c r="E574" s="180" t="s">
        <v>529</v>
      </c>
      <c r="F574" s="262"/>
      <c r="G574" s="262"/>
      <c r="H574" s="264"/>
      <c r="J574" s="198"/>
      <c r="M574" s="264"/>
    </row>
    <row r="575" spans="1:13" ht="12.6" customHeight="1" x14ac:dyDescent="0.25">
      <c r="A575" s="179" t="s">
        <v>588</v>
      </c>
      <c r="B575" s="239">
        <f>'Prior Year'!CD71</f>
        <v>9350547.9300000016</v>
      </c>
      <c r="C575" s="239">
        <f>CD71</f>
        <v>9820816.5699999984</v>
      </c>
      <c r="D575" s="180" t="s">
        <v>529</v>
      </c>
      <c r="E575" s="180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5"/>
      <c r="C612" s="180" t="s">
        <v>589</v>
      </c>
      <c r="D612" s="179">
        <f>CE76-(BE76+CD76)</f>
        <v>1124175</v>
      </c>
      <c r="E612" s="179">
        <f>SUM(C624:D647)+SUM(C668:D713)</f>
        <v>629738060.38957274</v>
      </c>
      <c r="F612" s="179">
        <f>CE64-(AX64+BD64+BE64+BG64+BJ64+BN64+BP64+BQ64+CB64+CC64+CD64)</f>
        <v>96026291.031999975</v>
      </c>
      <c r="G612" s="179">
        <f>CE77-(AX77+AY77+BD77+BE77+BG77+BJ77+BN77+BP77+BQ77+CB77+CC77+CD77)</f>
        <v>189152</v>
      </c>
      <c r="H612" s="196">
        <f>CE60-(AX60+AY60+AZ60+BD60+BE60+BG60+BJ60+BN60+BO60+BP60+BQ60+BR60+CB60+CC60+CD60)</f>
        <v>3399.9827884615397</v>
      </c>
      <c r="I612" s="179">
        <f>CE78-(AX78+AY78+AZ78+BD78+BE78+BF78+BG78+BJ78+BN78+BO78+BP78+BQ78+BR78+CB78+CC78+CD78)</f>
        <v>114063</v>
      </c>
      <c r="J612" s="179">
        <f>CE79-(AX79+AY79+AZ79+BA79+BD79+BE79+BF79+BG79+BJ79+BN79+BO79+BP79+BQ79+BR79+CB79+CC79+CD79)</f>
        <v>2145199.13</v>
      </c>
      <c r="K612" s="179">
        <f>CE75-(AW75+AX75+AY75+AZ75+BA75+BB75+BC75+BD75+BE75+BF75+BG75+BH75+BI75+BJ75+BK75+BL75+BM75+BN75+BO75+BP75+BQ75+BR75+BS75+BT75+BU75+BV75+BW75+BX75+CB75+CC75+CD75)</f>
        <v>1865937635.3300002</v>
      </c>
      <c r="L612" s="196">
        <f>CE80-(AW80+AX80+AY80+AZ80+BA80+BB80+BC80+BD80+BE80+BF80+BG80+BH80+BI80+BJ80+BK80+BL80+BM80+BN80+BO80+BP80+BQ80+BR80+BS80+BT80+BU80+BV80+BW80+BX80+BY80+BZ80+CA80+CB80+CC80+CD80)</f>
        <v>926.31720192307648</v>
      </c>
    </row>
    <row r="613" spans="1:14" ht="12.6" customHeight="1" x14ac:dyDescent="0.25">
      <c r="A613" s="195"/>
      <c r="C613" s="180" t="s">
        <v>590</v>
      </c>
      <c r="D613" s="180" t="s">
        <v>591</v>
      </c>
      <c r="E613" s="197" t="s">
        <v>592</v>
      </c>
      <c r="F613" s="180" t="s">
        <v>593</v>
      </c>
      <c r="G613" s="180" t="s">
        <v>594</v>
      </c>
      <c r="H613" s="180" t="s">
        <v>595</v>
      </c>
      <c r="I613" s="180" t="s">
        <v>596</v>
      </c>
      <c r="J613" s="180" t="s">
        <v>597</v>
      </c>
      <c r="K613" s="180" t="s">
        <v>598</v>
      </c>
      <c r="L613" s="197" t="s">
        <v>599</v>
      </c>
    </row>
    <row r="614" spans="1:14" ht="12.6" customHeight="1" x14ac:dyDescent="0.25">
      <c r="A614" s="195">
        <v>8430</v>
      </c>
      <c r="B614" s="197" t="s">
        <v>140</v>
      </c>
      <c r="C614" s="179">
        <f>BE71</f>
        <v>15547051.300000003</v>
      </c>
      <c r="N614" s="198" t="s">
        <v>600</v>
      </c>
    </row>
    <row r="615" spans="1:14" ht="12.6" customHeight="1" x14ac:dyDescent="0.25">
      <c r="A615" s="195"/>
      <c r="B615" s="197" t="s">
        <v>601</v>
      </c>
      <c r="C615" s="272">
        <f>CD69-CD70</f>
        <v>9820816.5699999984</v>
      </c>
      <c r="D615" s="265">
        <f>SUM(C614:C615)</f>
        <v>25367867.870000001</v>
      </c>
      <c r="N615" s="198" t="s">
        <v>602</v>
      </c>
    </row>
    <row r="616" spans="1:14" ht="12.6" customHeight="1" x14ac:dyDescent="0.25">
      <c r="A616" s="195">
        <v>8310</v>
      </c>
      <c r="B616" s="199" t="s">
        <v>603</v>
      </c>
      <c r="C616" s="179">
        <f>AX71</f>
        <v>3854968.9819999998</v>
      </c>
      <c r="D616" s="179">
        <f>(D615/D612)*AX76</f>
        <v>0</v>
      </c>
      <c r="N616" s="198" t="s">
        <v>604</v>
      </c>
    </row>
    <row r="617" spans="1:14" ht="12.6" customHeight="1" x14ac:dyDescent="0.25">
      <c r="A617" s="195">
        <v>8510</v>
      </c>
      <c r="B617" s="199" t="s">
        <v>145</v>
      </c>
      <c r="C617" s="179">
        <f>BJ71</f>
        <v>1942339.1099999996</v>
      </c>
      <c r="D617" s="179">
        <f>(D615/D612)*BJ76</f>
        <v>96220.418171263373</v>
      </c>
      <c r="N617" s="198" t="s">
        <v>605</v>
      </c>
    </row>
    <row r="618" spans="1:14" ht="12.6" customHeight="1" x14ac:dyDescent="0.25">
      <c r="A618" s="195">
        <v>8470</v>
      </c>
      <c r="B618" s="199" t="s">
        <v>606</v>
      </c>
      <c r="C618" s="179">
        <f>BG71</f>
        <v>2269557.4299999997</v>
      </c>
      <c r="D618" s="179">
        <f>(D615/D612)*BG76</f>
        <v>112422.6368032913</v>
      </c>
      <c r="N618" s="198" t="s">
        <v>607</v>
      </c>
    </row>
    <row r="619" spans="1:14" ht="12.6" customHeight="1" x14ac:dyDescent="0.25">
      <c r="A619" s="195">
        <v>8610</v>
      </c>
      <c r="B619" s="199" t="s">
        <v>608</v>
      </c>
      <c r="C619" s="179">
        <f>BN71</f>
        <v>12445542.48</v>
      </c>
      <c r="D619" s="179">
        <f>(D615/D612)*BN76</f>
        <v>316981.28847367183</v>
      </c>
      <c r="N619" s="198" t="s">
        <v>609</v>
      </c>
    </row>
    <row r="620" spans="1:14" ht="12.6" customHeight="1" x14ac:dyDescent="0.25">
      <c r="A620" s="195">
        <v>8790</v>
      </c>
      <c r="B620" s="199" t="s">
        <v>610</v>
      </c>
      <c r="C620" s="179">
        <f>CC71</f>
        <v>-520160.38000000082</v>
      </c>
      <c r="D620" s="179">
        <f>(D615/D612)*CC76</f>
        <v>145052.73170846177</v>
      </c>
      <c r="N620" s="198" t="s">
        <v>611</v>
      </c>
    </row>
    <row r="621" spans="1:14" ht="12.6" customHeight="1" x14ac:dyDescent="0.25">
      <c r="A621" s="195">
        <v>8630</v>
      </c>
      <c r="B621" s="199" t="s">
        <v>612</v>
      </c>
      <c r="C621" s="179">
        <f>BP71</f>
        <v>4365665.169999999</v>
      </c>
      <c r="D621" s="179">
        <f>(D615/D612)*BP76</f>
        <v>42739.55722710432</v>
      </c>
      <c r="N621" s="198" t="s">
        <v>613</v>
      </c>
    </row>
    <row r="622" spans="1:14" ht="12.6" customHeight="1" x14ac:dyDescent="0.25">
      <c r="A622" s="195">
        <v>8770</v>
      </c>
      <c r="B622" s="197" t="s">
        <v>614</v>
      </c>
      <c r="C622" s="179">
        <f>CB71</f>
        <v>5248482.4470000006</v>
      </c>
      <c r="D622" s="179">
        <f>(D615/D612)*CB76</f>
        <v>163714.6186286388</v>
      </c>
      <c r="N622" s="198" t="s">
        <v>615</v>
      </c>
    </row>
    <row r="623" spans="1:14" ht="12.6" customHeight="1" x14ac:dyDescent="0.25">
      <c r="A623" s="195">
        <v>8640</v>
      </c>
      <c r="B623" s="199" t="s">
        <v>616</v>
      </c>
      <c r="C623" s="179">
        <f>BQ71</f>
        <v>491671.6399999999</v>
      </c>
      <c r="D623" s="179">
        <f>(D615/D612)*BQ76</f>
        <v>37842.786414917609</v>
      </c>
      <c r="E623" s="179">
        <f>SUM(C616:D623)</f>
        <v>31013040.916427348</v>
      </c>
      <c r="N623" s="198" t="s">
        <v>617</v>
      </c>
    </row>
    <row r="624" spans="1:14" ht="12.6" customHeight="1" x14ac:dyDescent="0.25">
      <c r="A624" s="195">
        <v>8420</v>
      </c>
      <c r="B624" s="199" t="s">
        <v>139</v>
      </c>
      <c r="C624" s="179">
        <f>BD71</f>
        <v>2794288.4400000009</v>
      </c>
      <c r="D624" s="179">
        <f>(D615/D612)*BD76</f>
        <v>218052.97860903331</v>
      </c>
      <c r="E624" s="179">
        <f>(E623/E612)*SUM(C624:D624)</f>
        <v>148350.35953167183</v>
      </c>
      <c r="F624" s="179">
        <f>SUM(C624:E624)</f>
        <v>3160691.778140706</v>
      </c>
      <c r="N624" s="198" t="s">
        <v>618</v>
      </c>
    </row>
    <row r="625" spans="1:14" ht="12.6" customHeight="1" x14ac:dyDescent="0.25">
      <c r="A625" s="195">
        <v>8320</v>
      </c>
      <c r="B625" s="199" t="s">
        <v>135</v>
      </c>
      <c r="C625" s="179">
        <f>AY71</f>
        <v>0</v>
      </c>
      <c r="D625" s="179">
        <f>(D615/D612)*AY76</f>
        <v>0</v>
      </c>
      <c r="E625" s="179">
        <f>(E623/E612)*SUM(C625:D625)</f>
        <v>0</v>
      </c>
      <c r="F625" s="179">
        <f>(F624/F612)*AY64</f>
        <v>0</v>
      </c>
      <c r="G625" s="179">
        <f>SUM(C625:F625)</f>
        <v>0</v>
      </c>
      <c r="N625" s="198" t="s">
        <v>619</v>
      </c>
    </row>
    <row r="626" spans="1:14" ht="12.6" customHeight="1" x14ac:dyDescent="0.25">
      <c r="A626" s="195">
        <v>8650</v>
      </c>
      <c r="B626" s="199" t="s">
        <v>152</v>
      </c>
      <c r="C626" s="179">
        <f>BR71</f>
        <v>4382053.5999999996</v>
      </c>
      <c r="D626" s="179">
        <f>(D615/D612)*BR76</f>
        <v>78438.596051433269</v>
      </c>
      <c r="E626" s="179">
        <f>(E623/E612)*SUM(C626:D626)</f>
        <v>219668.20124858138</v>
      </c>
      <c r="F626" s="179">
        <f>(F624/F612)*BR64</f>
        <v>1253.2092081699448</v>
      </c>
      <c r="G626" s="179">
        <f>(G625/G612)*BR77</f>
        <v>0</v>
      </c>
      <c r="N626" s="198" t="s">
        <v>620</v>
      </c>
    </row>
    <row r="627" spans="1:14" ht="12.6" customHeight="1" x14ac:dyDescent="0.25">
      <c r="A627" s="195">
        <v>8620</v>
      </c>
      <c r="B627" s="197" t="s">
        <v>621</v>
      </c>
      <c r="C627" s="179">
        <f>BO71</f>
        <v>1097067.9879999999</v>
      </c>
      <c r="D627" s="179">
        <f>(D615/D612)*BO76</f>
        <v>47230.144285284769</v>
      </c>
      <c r="E627" s="179">
        <f>(E623/E612)*SUM(C627:D627)</f>
        <v>56353.850957016948</v>
      </c>
      <c r="F627" s="179">
        <f>(F624/F612)*BO64</f>
        <v>6078.3563017276538</v>
      </c>
      <c r="G627" s="179">
        <f>(G625/G612)*BO77</f>
        <v>0</v>
      </c>
      <c r="N627" s="198" t="s">
        <v>622</v>
      </c>
    </row>
    <row r="628" spans="1:14" ht="12.6" customHeight="1" x14ac:dyDescent="0.25">
      <c r="A628" s="195">
        <v>8330</v>
      </c>
      <c r="B628" s="199" t="s">
        <v>136</v>
      </c>
      <c r="C628" s="179">
        <f>AZ71</f>
        <v>4344413.7059999993</v>
      </c>
      <c r="D628" s="179">
        <f>(D615/D612)*AZ76</f>
        <v>519193.10067646054</v>
      </c>
      <c r="E628" s="179">
        <f>(E623/E612)*SUM(C628:D628)</f>
        <v>239520.59814133021</v>
      </c>
      <c r="F628" s="179">
        <f>(F624/F612)*AZ64</f>
        <v>55473.584337475768</v>
      </c>
      <c r="G628" s="179">
        <f>(G625/G612)*AZ77</f>
        <v>0</v>
      </c>
      <c r="H628" s="179">
        <f>SUM(C626:G628)</f>
        <v>11046744.935207479</v>
      </c>
      <c r="N628" s="198" t="s">
        <v>623</v>
      </c>
    </row>
    <row r="629" spans="1:14" ht="12.6" customHeight="1" x14ac:dyDescent="0.25">
      <c r="A629" s="195">
        <v>8460</v>
      </c>
      <c r="B629" s="199" t="s">
        <v>141</v>
      </c>
      <c r="C629" s="179">
        <f>BF71</f>
        <v>5809572.1299999999</v>
      </c>
      <c r="D629" s="179">
        <f>(D615/D612)*BF76</f>
        <v>213810.61495607891</v>
      </c>
      <c r="E629" s="179">
        <f>(E623/E612)*SUM(C629:D629)</f>
        <v>296636.69273707829</v>
      </c>
      <c r="F629" s="179">
        <f>(F624/F612)*BF64</f>
        <v>11712.894576601315</v>
      </c>
      <c r="G629" s="179">
        <f>(G625/G612)*BF77</f>
        <v>0</v>
      </c>
      <c r="H629" s="179">
        <f>(H628/H612)*BF60</f>
        <v>327909.56893688254</v>
      </c>
      <c r="I629" s="179">
        <f>SUM(C629:H629)</f>
        <v>6659641.9012066415</v>
      </c>
      <c r="N629" s="198" t="s">
        <v>624</v>
      </c>
    </row>
    <row r="630" spans="1:14" ht="12.6" customHeight="1" x14ac:dyDescent="0.25">
      <c r="A630" s="195">
        <v>8350</v>
      </c>
      <c r="B630" s="199" t="s">
        <v>625</v>
      </c>
      <c r="C630" s="179">
        <f>BA71</f>
        <v>373719.39999999997</v>
      </c>
      <c r="D630" s="179">
        <f>(D615/D612)*BA76</f>
        <v>80988.527396028207</v>
      </c>
      <c r="E630" s="179">
        <f>(E623/E612)*SUM(C630:D630)</f>
        <v>22393.240053861602</v>
      </c>
      <c r="F630" s="179">
        <f>(F624/F612)*BA64</f>
        <v>1173.0338793290061</v>
      </c>
      <c r="G630" s="179">
        <f>(G625/G612)*BA77</f>
        <v>0</v>
      </c>
      <c r="H630" s="179">
        <f>(H628/H612)*BA60</f>
        <v>18382.707634577608</v>
      </c>
      <c r="I630" s="179">
        <f>(I629/I612)*BA78</f>
        <v>23062.330036704483</v>
      </c>
      <c r="J630" s="179">
        <f>SUM(C630:I630)</f>
        <v>519719.23900050082</v>
      </c>
      <c r="N630" s="198" t="s">
        <v>626</v>
      </c>
    </row>
    <row r="631" spans="1:14" ht="12.6" customHeight="1" x14ac:dyDescent="0.25">
      <c r="A631" s="195">
        <v>8200</v>
      </c>
      <c r="B631" s="199" t="s">
        <v>627</v>
      </c>
      <c r="C631" s="179">
        <f>AW71</f>
        <v>-179547.14899999974</v>
      </c>
      <c r="D631" s="179">
        <f>(D615/D612)*AW76</f>
        <v>83764.116381737724</v>
      </c>
      <c r="E631" s="179">
        <f>(E623/E612)*SUM(C631:D631)</f>
        <v>-4717.0773001269927</v>
      </c>
      <c r="F631" s="179">
        <f>(F624/F612)*AW64</f>
        <v>1090.8247413835775</v>
      </c>
      <c r="G631" s="179">
        <f>(G625/G612)*AW77</f>
        <v>0</v>
      </c>
      <c r="H631" s="179">
        <f>(H628/H612)*AW60</f>
        <v>34920.012196207805</v>
      </c>
      <c r="I631" s="179">
        <f>(I629/I612)*AW78</f>
        <v>23879.729075980082</v>
      </c>
      <c r="J631" s="179">
        <f>(J630/J612)*AW79</f>
        <v>0</v>
      </c>
      <c r="N631" s="198" t="s">
        <v>628</v>
      </c>
    </row>
    <row r="632" spans="1:14" ht="12.6" customHeight="1" x14ac:dyDescent="0.25">
      <c r="A632" s="195">
        <v>8360</v>
      </c>
      <c r="B632" s="199" t="s">
        <v>629</v>
      </c>
      <c r="C632" s="179">
        <f>BB71</f>
        <v>240526.33999999997</v>
      </c>
      <c r="D632" s="179">
        <f>(D615/D612)*BB76</f>
        <v>0</v>
      </c>
      <c r="E632" s="179">
        <f>(E623/E612)*SUM(C632:D632)</f>
        <v>11845.326959091368</v>
      </c>
      <c r="F632" s="179">
        <f>(F624/F612)*BB64</f>
        <v>0.79061490030516857</v>
      </c>
      <c r="G632" s="179">
        <f>(G625/G612)*BB77</f>
        <v>0</v>
      </c>
      <c r="H632" s="179">
        <f>(H628/H612)*BB60</f>
        <v>0</v>
      </c>
      <c r="I632" s="179">
        <f>(I629/I612)*BB78</f>
        <v>0</v>
      </c>
      <c r="J632" s="179">
        <f>(J630/J612)*BB79</f>
        <v>0</v>
      </c>
      <c r="N632" s="198" t="s">
        <v>630</v>
      </c>
    </row>
    <row r="633" spans="1:14" ht="12.6" customHeight="1" x14ac:dyDescent="0.25">
      <c r="A633" s="195">
        <v>8370</v>
      </c>
      <c r="B633" s="199" t="s">
        <v>631</v>
      </c>
      <c r="C633" s="179">
        <f>BC71</f>
        <v>447925.42999999993</v>
      </c>
      <c r="D633" s="179">
        <f>(D615/D612)*BC76</f>
        <v>0</v>
      </c>
      <c r="E633" s="179">
        <f>(E623/E612)*SUM(C633:D633)</f>
        <v>22059.218843315015</v>
      </c>
      <c r="F633" s="179">
        <f>(F624/F612)*BC64</f>
        <v>140.79561111983261</v>
      </c>
      <c r="G633" s="179">
        <f>(G625/G612)*BC77</f>
        <v>0</v>
      </c>
      <c r="H633" s="179">
        <f>(H628/H612)*BC60</f>
        <v>23293.863493304812</v>
      </c>
      <c r="I633" s="179">
        <f>(I629/I612)*BC78</f>
        <v>0</v>
      </c>
      <c r="J633" s="179">
        <f>(J630/J612)*BC79</f>
        <v>0</v>
      </c>
      <c r="N633" s="198" t="s">
        <v>632</v>
      </c>
    </row>
    <row r="634" spans="1:14" ht="12.6" customHeight="1" x14ac:dyDescent="0.25">
      <c r="A634" s="195">
        <v>8490</v>
      </c>
      <c r="B634" s="199" t="s">
        <v>633</v>
      </c>
      <c r="C634" s="179">
        <f>BI71</f>
        <v>2697600.46</v>
      </c>
      <c r="D634" s="179">
        <f>(D615/D612)*BI76</f>
        <v>1604786.880550555</v>
      </c>
      <c r="E634" s="179">
        <f>(E623/E612)*SUM(C634:D634)</f>
        <v>211881.92841364862</v>
      </c>
      <c r="F634" s="179">
        <f>(F624/F612)*BI64</f>
        <v>1157.2120360139484</v>
      </c>
      <c r="G634" s="179">
        <f>(G625/G612)*BI77</f>
        <v>0</v>
      </c>
      <c r="H634" s="179">
        <f>(H628/H612)*BI60</f>
        <v>59482.164644184129</v>
      </c>
      <c r="I634" s="179">
        <f>(I629/I612)*BI78</f>
        <v>457159.60553771164</v>
      </c>
      <c r="J634" s="179">
        <f>(J630/J612)*BI79</f>
        <v>0</v>
      </c>
      <c r="N634" s="198" t="s">
        <v>634</v>
      </c>
    </row>
    <row r="635" spans="1:14" ht="12.6" customHeight="1" x14ac:dyDescent="0.25">
      <c r="A635" s="195">
        <v>8530</v>
      </c>
      <c r="B635" s="199" t="s">
        <v>635</v>
      </c>
      <c r="C635" s="179">
        <f>BK71</f>
        <v>10387670.100000001</v>
      </c>
      <c r="D635" s="179">
        <f>(D615/D612)*BK76</f>
        <v>367889.65230912447</v>
      </c>
      <c r="E635" s="179">
        <f>(E623/E612)*SUM(C635:D635)</f>
        <v>529684.69854131318</v>
      </c>
      <c r="F635" s="179">
        <f>(F624/F612)*BK64</f>
        <v>2393.7060916101223</v>
      </c>
      <c r="G635" s="179">
        <f>(G625/G612)*BK77</f>
        <v>0</v>
      </c>
      <c r="H635" s="179">
        <f>(H628/H612)*BK60</f>
        <v>303415.95913901698</v>
      </c>
      <c r="I635" s="179">
        <f>(I629/I612)*BK78</f>
        <v>104802.23396426467</v>
      </c>
      <c r="J635" s="179">
        <f>(J630/J612)*BK79</f>
        <v>0</v>
      </c>
      <c r="N635" s="198" t="s">
        <v>636</v>
      </c>
    </row>
    <row r="636" spans="1:14" ht="12.6" customHeight="1" x14ac:dyDescent="0.25">
      <c r="A636" s="195">
        <v>8480</v>
      </c>
      <c r="B636" s="199" t="s">
        <v>637</v>
      </c>
      <c r="C636" s="179">
        <f>BH71</f>
        <v>28912914.355</v>
      </c>
      <c r="D636" s="179">
        <f>(D615/D612)*BH76</f>
        <v>412908.35171148623</v>
      </c>
      <c r="E636" s="179">
        <f>(E623/E612)*SUM(C636:D636)</f>
        <v>1444224.1889405686</v>
      </c>
      <c r="F636" s="179">
        <f>(F624/F612)*BH64</f>
        <v>22685.896049790474</v>
      </c>
      <c r="G636" s="179">
        <f>(G625/G612)*BH77</f>
        <v>0</v>
      </c>
      <c r="H636" s="179">
        <f>(H628/H612)*BH60</f>
        <v>312069.81236598821</v>
      </c>
      <c r="I636" s="179">
        <f>(I629/I612)*BH78</f>
        <v>117647.07601002413</v>
      </c>
      <c r="J636" s="179">
        <f>(J630/J612)*BH79</f>
        <v>0</v>
      </c>
      <c r="N636" s="198" t="s">
        <v>638</v>
      </c>
    </row>
    <row r="637" spans="1:14" ht="12.6" customHeight="1" x14ac:dyDescent="0.25">
      <c r="A637" s="195">
        <v>8560</v>
      </c>
      <c r="B637" s="199" t="s">
        <v>147</v>
      </c>
      <c r="C637" s="179">
        <f>BL71</f>
        <v>4368500.68</v>
      </c>
      <c r="D637" s="179">
        <f>(D615/D612)*BL76</f>
        <v>102448.5690660262</v>
      </c>
      <c r="E637" s="179">
        <f>(E623/E612)*SUM(C637:D637)</f>
        <v>220183.18522907351</v>
      </c>
      <c r="F637" s="179">
        <f>(F624/F612)*BL64</f>
        <v>1305.4134902881797</v>
      </c>
      <c r="G637" s="179">
        <f>(G625/G612)*BL77</f>
        <v>0</v>
      </c>
      <c r="H637" s="179">
        <f>(H628/H612)*BL60</f>
        <v>219936.68153693381</v>
      </c>
      <c r="I637" s="179">
        <f>(I629/I612)*BL78</f>
        <v>29192.822831271496</v>
      </c>
      <c r="J637" s="179">
        <f>(J630/J612)*BL79</f>
        <v>0</v>
      </c>
      <c r="N637" s="198" t="s">
        <v>639</v>
      </c>
    </row>
    <row r="638" spans="1:14" ht="12.6" customHeight="1" x14ac:dyDescent="0.25">
      <c r="A638" s="195">
        <v>8590</v>
      </c>
      <c r="B638" s="199" t="s">
        <v>640</v>
      </c>
      <c r="C638" s="179">
        <f>BM71</f>
        <v>3867644.55</v>
      </c>
      <c r="D638" s="179">
        <f>(D615/D612)*BM76</f>
        <v>107119.68223709831</v>
      </c>
      <c r="E638" s="179">
        <f>(E623/E612)*SUM(C638:D638)</f>
        <v>195747.30117354388</v>
      </c>
      <c r="F638" s="179">
        <f>(F624/F612)*BM64</f>
        <v>278.00383181567446</v>
      </c>
      <c r="G638" s="179">
        <f>(G625/G612)*BM77</f>
        <v>0</v>
      </c>
      <c r="H638" s="179">
        <f>(H628/H612)*BM60</f>
        <v>78308.853077326028</v>
      </c>
      <c r="I638" s="179">
        <f>(I629/I612)*BM78</f>
        <v>30535.692681509983</v>
      </c>
      <c r="J638" s="179">
        <f>(J630/J612)*BM79</f>
        <v>0</v>
      </c>
      <c r="N638" s="198" t="s">
        <v>641</v>
      </c>
    </row>
    <row r="639" spans="1:14" ht="12.6" customHeight="1" x14ac:dyDescent="0.25">
      <c r="A639" s="195">
        <v>8660</v>
      </c>
      <c r="B639" s="199" t="s">
        <v>642</v>
      </c>
      <c r="C639" s="179">
        <f>BS71</f>
        <v>133740.64000000001</v>
      </c>
      <c r="D639" s="179">
        <f>(D615/D612)*BS76</f>
        <v>82410.170535050143</v>
      </c>
      <c r="E639" s="179">
        <f>(E623/E612)*SUM(C639:D639)</f>
        <v>10644.8924606772</v>
      </c>
      <c r="F639" s="179">
        <f>(F624/F612)*BS64</f>
        <v>14931.935477818766</v>
      </c>
      <c r="G639" s="179">
        <f>(G625/G612)*BS77</f>
        <v>0</v>
      </c>
      <c r="H639" s="179">
        <f>(H628/H612)*BS60</f>
        <v>15062.325464236148</v>
      </c>
      <c r="I639" s="179">
        <f>(I629/I612)*BS78</f>
        <v>23471.029556342284</v>
      </c>
      <c r="J639" s="179">
        <f>(J630/J612)*BS79</f>
        <v>0</v>
      </c>
      <c r="N639" s="198" t="s">
        <v>643</v>
      </c>
    </row>
    <row r="640" spans="1:14" ht="12.6" customHeight="1" x14ac:dyDescent="0.25">
      <c r="A640" s="195">
        <v>8670</v>
      </c>
      <c r="B640" s="199" t="s">
        <v>644</v>
      </c>
      <c r="C640" s="179">
        <f>BT71</f>
        <v>200624.88999999998</v>
      </c>
      <c r="D640" s="179">
        <f>(D615/D612)*BT76</f>
        <v>21369.77861355216</v>
      </c>
      <c r="E640" s="179">
        <f>(E623/E612)*SUM(C640:D640)</f>
        <v>10932.688007902436</v>
      </c>
      <c r="F640" s="179">
        <f>(F624/F612)*BT64</f>
        <v>6.8969794425455877</v>
      </c>
      <c r="G640" s="179">
        <f>(G625/G612)*BT77</f>
        <v>0</v>
      </c>
      <c r="H640" s="179">
        <f>(H628/H612)*BT60</f>
        <v>6093.2197840888339</v>
      </c>
      <c r="I640" s="179">
        <f>(I629/I612)*BT78</f>
        <v>6072.1071489044707</v>
      </c>
      <c r="J640" s="179">
        <f>(J630/J612)*BT79</f>
        <v>0</v>
      </c>
      <c r="N640" s="198" t="s">
        <v>645</v>
      </c>
    </row>
    <row r="641" spans="1:14" ht="12.6" customHeight="1" x14ac:dyDescent="0.25">
      <c r="A641" s="195">
        <v>8680</v>
      </c>
      <c r="B641" s="199" t="s">
        <v>646</v>
      </c>
      <c r="C641" s="179">
        <f>BU71</f>
        <v>230371.04</v>
      </c>
      <c r="D641" s="179">
        <f>(D615/D612)*BU76</f>
        <v>9432.4893985900781</v>
      </c>
      <c r="E641" s="179">
        <f>(E623/E612)*SUM(C641:D641)</f>
        <v>11809.730325877736</v>
      </c>
      <c r="F641" s="179">
        <f>(F624/F612)*BU64</f>
        <v>0</v>
      </c>
      <c r="G641" s="179">
        <f>(G625/G612)*BU77</f>
        <v>0</v>
      </c>
      <c r="H641" s="179">
        <f>(H628/H612)*BU60</f>
        <v>0</v>
      </c>
      <c r="I641" s="179">
        <f>(I629/I612)*BU78</f>
        <v>2685.7397004769778</v>
      </c>
      <c r="J641" s="179">
        <f>(J630/J612)*BU79</f>
        <v>0</v>
      </c>
      <c r="N641" s="198" t="s">
        <v>647</v>
      </c>
    </row>
    <row r="642" spans="1:14" ht="12.6" customHeight="1" x14ac:dyDescent="0.25">
      <c r="A642" s="195">
        <v>8690</v>
      </c>
      <c r="B642" s="199" t="s">
        <v>648</v>
      </c>
      <c r="C642" s="179">
        <f>BV71</f>
        <v>6058922.1120000007</v>
      </c>
      <c r="D642" s="179">
        <f>(D615/D612)*BV76</f>
        <v>172786.0558014455</v>
      </c>
      <c r="E642" s="179">
        <f>(E623/E612)*SUM(C642:D642)</f>
        <v>306896.20422132709</v>
      </c>
      <c r="F642" s="179">
        <f>(F624/F612)*BV64</f>
        <v>806.97029347592797</v>
      </c>
      <c r="G642" s="179">
        <f>(G625/G612)*BV77</f>
        <v>0</v>
      </c>
      <c r="H642" s="179">
        <f>(H628/H612)*BV60</f>
        <v>182822.82030241346</v>
      </c>
      <c r="I642" s="179">
        <f>(I629/I612)*BV78</f>
        <v>49219.099293523745</v>
      </c>
      <c r="J642" s="179">
        <f>(J630/J612)*BV79</f>
        <v>0</v>
      </c>
      <c r="N642" s="198" t="s">
        <v>649</v>
      </c>
    </row>
    <row r="643" spans="1:14" ht="12.6" customHeight="1" x14ac:dyDescent="0.25">
      <c r="A643" s="195">
        <v>8700</v>
      </c>
      <c r="B643" s="199" t="s">
        <v>650</v>
      </c>
      <c r="C643" s="179">
        <f>BW71</f>
        <v>2728504.1569999992</v>
      </c>
      <c r="D643" s="179">
        <f>(D615/D612)*BW76</f>
        <v>73451.562182800728</v>
      </c>
      <c r="E643" s="179">
        <f>(E623/E612)*SUM(C643:D643)</f>
        <v>137989.38452485608</v>
      </c>
      <c r="F643" s="179">
        <f>(F624/F612)*BW64</f>
        <v>1405.8041377519503</v>
      </c>
      <c r="G643" s="179">
        <f>(G625/G612)*BW77</f>
        <v>0</v>
      </c>
      <c r="H643" s="179">
        <f>(H628/H612)*BW60</f>
        <v>21363.828679632592</v>
      </c>
      <c r="I643" s="179">
        <f>(I629/I612)*BW78</f>
        <v>20902.06114719039</v>
      </c>
      <c r="J643" s="179">
        <f>(J630/J612)*BW79</f>
        <v>0</v>
      </c>
      <c r="N643" s="198" t="s">
        <v>651</v>
      </c>
    </row>
    <row r="644" spans="1:14" ht="12.6" customHeight="1" x14ac:dyDescent="0.25">
      <c r="A644" s="195">
        <v>8710</v>
      </c>
      <c r="B644" s="199" t="s">
        <v>652</v>
      </c>
      <c r="C644" s="179">
        <f>BX71</f>
        <v>7176595.5000000019</v>
      </c>
      <c r="D644" s="179">
        <f>(D615/D612)*BX76</f>
        <v>378044.24615928123</v>
      </c>
      <c r="E644" s="179">
        <f>(E623/E612)*SUM(C644:D644)</f>
        <v>372047.31029210251</v>
      </c>
      <c r="F644" s="179">
        <f>(F624/F612)*BX64</f>
        <v>1486.3849776491652</v>
      </c>
      <c r="G644" s="179">
        <f>(G625/G612)*BX77</f>
        <v>0</v>
      </c>
      <c r="H644" s="179">
        <f>(H628/H612)*BX60</f>
        <v>161810.57730388717</v>
      </c>
      <c r="I644" s="179">
        <f>(I629/I612)*BX78</f>
        <v>107721.51624739182</v>
      </c>
      <c r="J644" s="179">
        <f>(J630/J612)*BX79</f>
        <v>0</v>
      </c>
      <c r="K644" s="179">
        <f>SUM(C631:J644)</f>
        <v>76609193.106094807</v>
      </c>
      <c r="N644" s="198" t="s">
        <v>653</v>
      </c>
    </row>
    <row r="645" spans="1:14" ht="12.6" customHeight="1" x14ac:dyDescent="0.25">
      <c r="A645" s="195">
        <v>8720</v>
      </c>
      <c r="B645" s="199" t="s">
        <v>654</v>
      </c>
      <c r="C645" s="179">
        <f>BY71</f>
        <v>2407243.61</v>
      </c>
      <c r="D645" s="179">
        <f>(D615/D612)*BY76</f>
        <v>70991.893894651628</v>
      </c>
      <c r="E645" s="179">
        <f>(E623/E612)*SUM(C645:D645)</f>
        <v>122046.96510685982</v>
      </c>
      <c r="F645" s="179">
        <f>(F624/F612)*BY64</f>
        <v>76.287754907755982</v>
      </c>
      <c r="G645" s="179">
        <f>(G625/G612)*BY77</f>
        <v>0</v>
      </c>
      <c r="H645" s="179">
        <f>(H628/H612)*BY60</f>
        <v>54238.90183832695</v>
      </c>
      <c r="I645" s="179">
        <f>(I629/I612)*BY78</f>
        <v>20201.433399239875</v>
      </c>
      <c r="J645" s="179">
        <f>(J630/J612)*BY79</f>
        <v>0</v>
      </c>
      <c r="K645" s="179">
        <v>0</v>
      </c>
      <c r="N645" s="198" t="s">
        <v>655</v>
      </c>
    </row>
    <row r="646" spans="1:14" ht="12.6" customHeight="1" x14ac:dyDescent="0.25">
      <c r="A646" s="195">
        <v>8730</v>
      </c>
      <c r="B646" s="199" t="s">
        <v>656</v>
      </c>
      <c r="C646" s="179">
        <f>BZ71</f>
        <v>4182646.41</v>
      </c>
      <c r="D646" s="179">
        <f>(D615/D612)*BZ76</f>
        <v>0</v>
      </c>
      <c r="E646" s="179">
        <f>(E623/E612)*SUM(C646:D646)</f>
        <v>205984.98393448192</v>
      </c>
      <c r="F646" s="179">
        <f>(F624/F612)*BZ64</f>
        <v>13.298261116623408</v>
      </c>
      <c r="G646" s="179">
        <f>(G625/G612)*BZ77</f>
        <v>0</v>
      </c>
      <c r="H646" s="179">
        <f>(H628/H612)*BZ60</f>
        <v>129907.61324828015</v>
      </c>
      <c r="I646" s="179">
        <f>(I629/I612)*BZ78</f>
        <v>0</v>
      </c>
      <c r="J646" s="179">
        <f>(J630/J612)*BZ79</f>
        <v>0</v>
      </c>
      <c r="K646" s="179">
        <v>0</v>
      </c>
      <c r="N646" s="198" t="s">
        <v>657</v>
      </c>
    </row>
    <row r="647" spans="1:14" ht="12.6" customHeight="1" x14ac:dyDescent="0.25">
      <c r="A647" s="195">
        <v>8740</v>
      </c>
      <c r="B647" s="199" t="s">
        <v>658</v>
      </c>
      <c r="C647" s="179">
        <f>CA71</f>
        <v>2234503.3899999997</v>
      </c>
      <c r="D647" s="179">
        <f>(D615/D612)*CA76</f>
        <v>80266.42294446149</v>
      </c>
      <c r="E647" s="179">
        <f>(E623/E612)*SUM(C647:D647)</f>
        <v>113996.68439374214</v>
      </c>
      <c r="F647" s="179">
        <f>(F624/F612)*CA64</f>
        <v>1425.8614650541554</v>
      </c>
      <c r="G647" s="179">
        <f>(G625/G612)*CA77</f>
        <v>0</v>
      </c>
      <c r="H647" s="179">
        <f>(H628/H612)*CA60</f>
        <v>26531.675825796265</v>
      </c>
      <c r="I647" s="179">
        <f>(I629/I612)*CA78</f>
        <v>22887.173099716852</v>
      </c>
      <c r="J647" s="179">
        <f>(J630/J612)*CA79</f>
        <v>0</v>
      </c>
      <c r="K647" s="179">
        <v>0</v>
      </c>
      <c r="L647" s="179">
        <f>SUM(C645:K647)</f>
        <v>9672962.6051666364</v>
      </c>
      <c r="N647" s="198" t="s">
        <v>659</v>
      </c>
    </row>
    <row r="648" spans="1:14" ht="12.6" customHeight="1" x14ac:dyDescent="0.25">
      <c r="A648" s="195"/>
      <c r="B648" s="195"/>
      <c r="C648" s="179">
        <f>SUM(C614:C647)</f>
        <v>150363436.528</v>
      </c>
      <c r="L648" s="265"/>
    </row>
    <row r="666" spans="1:14" ht="12.6" customHeight="1" x14ac:dyDescent="0.25">
      <c r="C666" s="180" t="s">
        <v>660</v>
      </c>
      <c r="M666" s="180" t="s">
        <v>661</v>
      </c>
    </row>
    <row r="667" spans="1:14" ht="12.6" customHeight="1" x14ac:dyDescent="0.25">
      <c r="C667" s="180" t="s">
        <v>590</v>
      </c>
      <c r="D667" s="180" t="s">
        <v>591</v>
      </c>
      <c r="E667" s="197" t="s">
        <v>592</v>
      </c>
      <c r="F667" s="180" t="s">
        <v>593</v>
      </c>
      <c r="G667" s="180" t="s">
        <v>594</v>
      </c>
      <c r="H667" s="180" t="s">
        <v>595</v>
      </c>
      <c r="I667" s="180" t="s">
        <v>596</v>
      </c>
      <c r="J667" s="180" t="s">
        <v>597</v>
      </c>
      <c r="K667" s="180" t="s">
        <v>598</v>
      </c>
      <c r="L667" s="197" t="s">
        <v>599</v>
      </c>
      <c r="M667" s="180" t="s">
        <v>662</v>
      </c>
    </row>
    <row r="668" spans="1:14" ht="12.6" customHeight="1" x14ac:dyDescent="0.25">
      <c r="A668" s="195">
        <v>6010</v>
      </c>
      <c r="B668" s="197" t="s">
        <v>283</v>
      </c>
      <c r="C668" s="179">
        <f>C71</f>
        <v>19686610.655999996</v>
      </c>
      <c r="D668" s="179">
        <f>(D615/D612)*C76</f>
        <v>721720.83357680961</v>
      </c>
      <c r="E668" s="179">
        <f>(E623/E612)*SUM(C668:D668)</f>
        <v>1005059.8166652246</v>
      </c>
      <c r="F668" s="179">
        <f>(F624/F612)*C64</f>
        <v>43518.597027088741</v>
      </c>
      <c r="G668" s="179">
        <f>(G625/G612)*C77</f>
        <v>0</v>
      </c>
      <c r="H668" s="179">
        <f>(H628/H612)*C60</f>
        <v>449828.02708721743</v>
      </c>
      <c r="I668" s="179">
        <f>(I629/I612)*C78</f>
        <v>205634.24402347641</v>
      </c>
      <c r="J668" s="179">
        <f>(J630/J612)*C79</f>
        <v>38890.263371210902</v>
      </c>
      <c r="K668" s="179">
        <f>(K644/K612)*C75</f>
        <v>2922231.2440965069</v>
      </c>
      <c r="L668" s="179">
        <f>(L647/L612)*C80</f>
        <v>1004621.9800496476</v>
      </c>
      <c r="M668" s="179">
        <f t="shared" ref="M668:M713" si="20">ROUND(SUM(D668:L668),0)</f>
        <v>6391505</v>
      </c>
      <c r="N668" s="197" t="s">
        <v>663</v>
      </c>
    </row>
    <row r="669" spans="1:14" ht="12.6" customHeight="1" x14ac:dyDescent="0.25">
      <c r="A669" s="195">
        <v>6030</v>
      </c>
      <c r="B669" s="197" t="s">
        <v>284</v>
      </c>
      <c r="C669" s="179">
        <f>D71</f>
        <v>10957247.251000002</v>
      </c>
      <c r="D669" s="179">
        <f>(D615/D612)*D76</f>
        <v>551710.3667610737</v>
      </c>
      <c r="E669" s="179">
        <f>(E623/E612)*SUM(C669:D669)</f>
        <v>566787.67880767351</v>
      </c>
      <c r="F669" s="179">
        <f>(F624/F612)*D64</f>
        <v>18616.867768273332</v>
      </c>
      <c r="G669" s="179">
        <f>(G625/G612)*D77</f>
        <v>0</v>
      </c>
      <c r="H669" s="179">
        <f>(H628/H612)*D60</f>
        <v>237878.92298012014</v>
      </c>
      <c r="I669" s="179">
        <f>(I629/I612)*D78</f>
        <v>157174.15812356572</v>
      </c>
      <c r="J669" s="179">
        <f>(J630/J612)*D79</f>
        <v>52379.248325446926</v>
      </c>
      <c r="K669" s="179">
        <f>(K644/K612)*D75</f>
        <v>1976417.346613874</v>
      </c>
      <c r="L669" s="179">
        <f>(L647/L612)*D80</f>
        <v>497040.09483462613</v>
      </c>
      <c r="M669" s="179">
        <f t="shared" si="20"/>
        <v>4058005</v>
      </c>
      <c r="N669" s="197" t="s">
        <v>664</v>
      </c>
    </row>
    <row r="670" spans="1:14" ht="12.6" customHeight="1" x14ac:dyDescent="0.25">
      <c r="A670" s="195">
        <v>6070</v>
      </c>
      <c r="B670" s="197" t="s">
        <v>665</v>
      </c>
      <c r="C670" s="179">
        <f>E71</f>
        <v>28745577.133000001</v>
      </c>
      <c r="D670" s="179">
        <f>(D615/D612)*E76</f>
        <v>2551330.4219698356</v>
      </c>
      <c r="E670" s="179">
        <f>(E623/E612)*SUM(C670:D670)</f>
        <v>1541295.2394198265</v>
      </c>
      <c r="F670" s="179">
        <f>(F624/F612)*E64</f>
        <v>53061.7609203213</v>
      </c>
      <c r="G670" s="179">
        <f>(G625/G612)*E77</f>
        <v>0</v>
      </c>
      <c r="H670" s="179">
        <f>(H628/H612)*E60</f>
        <v>780399.96562928206</v>
      </c>
      <c r="I670" s="179">
        <f>(I629/I612)*E78</f>
        <v>726842.90285299765</v>
      </c>
      <c r="J670" s="179">
        <f>(J630/J612)*E79</f>
        <v>120734.99281909016</v>
      </c>
      <c r="K670" s="179">
        <f>(K644/K612)*E75</f>
        <v>4857983.2184760645</v>
      </c>
      <c r="L670" s="179">
        <f>(L647/L612)*E80</f>
        <v>1535104.8229745512</v>
      </c>
      <c r="M670" s="179">
        <f t="shared" si="20"/>
        <v>12166753</v>
      </c>
      <c r="N670" s="197" t="s">
        <v>666</v>
      </c>
    </row>
    <row r="671" spans="1:14" ht="12.6" customHeight="1" x14ac:dyDescent="0.25">
      <c r="A671" s="195">
        <v>6100</v>
      </c>
      <c r="B671" s="197" t="s">
        <v>667</v>
      </c>
      <c r="C671" s="179">
        <f>F71</f>
        <v>0</v>
      </c>
      <c r="D671" s="179">
        <f>(D615/D612)*F76</f>
        <v>3407.4303808303866</v>
      </c>
      <c r="E671" s="179">
        <f>(E623/E612)*SUM(C671:D671)</f>
        <v>167.80751310345948</v>
      </c>
      <c r="F671" s="179">
        <f>(F624/F612)*F64</f>
        <v>0</v>
      </c>
      <c r="G671" s="179">
        <f>(G625/G612)*F77</f>
        <v>0</v>
      </c>
      <c r="H671" s="179">
        <f>(H628/H612)*F60</f>
        <v>0</v>
      </c>
      <c r="I671" s="179">
        <f>(I629/I612)*F78</f>
        <v>992.55597626323083</v>
      </c>
      <c r="J671" s="179">
        <f>(J630/J612)*F79</f>
        <v>0</v>
      </c>
      <c r="K671" s="179">
        <f>(K644/K612)*F75</f>
        <v>0</v>
      </c>
      <c r="L671" s="179">
        <f>(L647/L612)*F80</f>
        <v>0</v>
      </c>
      <c r="M671" s="179">
        <f t="shared" si="20"/>
        <v>4568</v>
      </c>
      <c r="N671" s="197" t="s">
        <v>668</v>
      </c>
    </row>
    <row r="672" spans="1:14" ht="12.6" customHeight="1" x14ac:dyDescent="0.25">
      <c r="A672" s="195">
        <v>6120</v>
      </c>
      <c r="B672" s="197" t="s">
        <v>669</v>
      </c>
      <c r="C672" s="179">
        <f>G71</f>
        <v>2221140.7279999997</v>
      </c>
      <c r="D672" s="179">
        <f>(D615/D612)*G76</f>
        <v>202505.16713623769</v>
      </c>
      <c r="E672" s="179">
        <f>(E623/E612)*SUM(C672:D672)</f>
        <v>119358.56198098056</v>
      </c>
      <c r="F672" s="179">
        <f>(F624/F612)*G64</f>
        <v>2141.3482009152544</v>
      </c>
      <c r="G672" s="179">
        <f>(G625/G612)*G77</f>
        <v>0</v>
      </c>
      <c r="H672" s="179">
        <f>(H628/H612)*G60</f>
        <v>56009.826480160315</v>
      </c>
      <c r="I672" s="179">
        <f>(I629/I612)*G78</f>
        <v>57685.017914592478</v>
      </c>
      <c r="J672" s="179">
        <f>(J630/J612)*G79</f>
        <v>8250.5680695738101</v>
      </c>
      <c r="K672" s="179">
        <f>(K644/K612)*G75</f>
        <v>542727.23727278074</v>
      </c>
      <c r="L672" s="179">
        <f>(L647/L612)*G80</f>
        <v>107689.47437896823</v>
      </c>
      <c r="M672" s="179">
        <f t="shared" si="20"/>
        <v>1096367</v>
      </c>
      <c r="N672" s="197" t="s">
        <v>670</v>
      </c>
    </row>
    <row r="673" spans="1:14" ht="12.6" customHeight="1" x14ac:dyDescent="0.25">
      <c r="A673" s="195">
        <v>6140</v>
      </c>
      <c r="B673" s="197" t="s">
        <v>671</v>
      </c>
      <c r="C673" s="179">
        <f>H71</f>
        <v>0</v>
      </c>
      <c r="D673" s="179">
        <f>(D615/D612)*H76</f>
        <v>0</v>
      </c>
      <c r="E673" s="179">
        <f>(E623/E612)*SUM(C673:D673)</f>
        <v>0</v>
      </c>
      <c r="F673" s="179">
        <f>(F624/F612)*H64</f>
        <v>0</v>
      </c>
      <c r="G673" s="179">
        <f>(G625/G612)*H77</f>
        <v>0</v>
      </c>
      <c r="H673" s="179">
        <f>(H628/H612)*H60</f>
        <v>0</v>
      </c>
      <c r="I673" s="179">
        <f>(I629/I612)*H78</f>
        <v>0</v>
      </c>
      <c r="J673" s="179">
        <f>(J630/J612)*H79</f>
        <v>0</v>
      </c>
      <c r="K673" s="179">
        <f>(K644/K612)*H75</f>
        <v>0</v>
      </c>
      <c r="L673" s="179">
        <f>(L647/L612)*H80</f>
        <v>0</v>
      </c>
      <c r="M673" s="179">
        <f t="shared" si="20"/>
        <v>0</v>
      </c>
      <c r="N673" s="197" t="s">
        <v>672</v>
      </c>
    </row>
    <row r="674" spans="1:14" ht="12.6" customHeight="1" x14ac:dyDescent="0.25">
      <c r="A674" s="195">
        <v>6150</v>
      </c>
      <c r="B674" s="197" t="s">
        <v>673</v>
      </c>
      <c r="C674" s="179">
        <f>I71</f>
        <v>0</v>
      </c>
      <c r="D674" s="179">
        <f>(D615/D612)*I76</f>
        <v>0</v>
      </c>
      <c r="E674" s="179">
        <f>(E623/E612)*SUM(C674:D674)</f>
        <v>0</v>
      </c>
      <c r="F674" s="179">
        <f>(F624/F612)*I64</f>
        <v>0</v>
      </c>
      <c r="G674" s="179">
        <f>(G625/G612)*I77</f>
        <v>0</v>
      </c>
      <c r="H674" s="179">
        <f>(H628/H612)*I60</f>
        <v>0</v>
      </c>
      <c r="I674" s="179">
        <f>(I629/I612)*I78</f>
        <v>0</v>
      </c>
      <c r="J674" s="179">
        <f>(J630/J612)*I79</f>
        <v>0</v>
      </c>
      <c r="K674" s="179">
        <f>(K644/K612)*I75</f>
        <v>0</v>
      </c>
      <c r="L674" s="179">
        <f>(L647/L612)*I80</f>
        <v>0</v>
      </c>
      <c r="M674" s="179">
        <f t="shared" si="20"/>
        <v>0</v>
      </c>
      <c r="N674" s="197" t="s">
        <v>674</v>
      </c>
    </row>
    <row r="675" spans="1:14" ht="12.6" customHeight="1" x14ac:dyDescent="0.25">
      <c r="A675" s="195">
        <v>6170</v>
      </c>
      <c r="B675" s="197" t="s">
        <v>99</v>
      </c>
      <c r="C675" s="179">
        <f>J71</f>
        <v>0</v>
      </c>
      <c r="D675" s="179">
        <f>(D615/D612)*J76</f>
        <v>0</v>
      </c>
      <c r="E675" s="179">
        <f>(E623/E612)*SUM(C675:D675)</f>
        <v>0</v>
      </c>
      <c r="F675" s="179">
        <f>(F624/F612)*J64</f>
        <v>0</v>
      </c>
      <c r="G675" s="179">
        <f>(G625/G612)*J77</f>
        <v>0</v>
      </c>
      <c r="H675" s="179">
        <f>(H628/H612)*J60</f>
        <v>0</v>
      </c>
      <c r="I675" s="179">
        <f>(I629/I612)*J78</f>
        <v>0</v>
      </c>
      <c r="J675" s="179">
        <f>(J630/J612)*J79</f>
        <v>0</v>
      </c>
      <c r="K675" s="179">
        <f>(K644/K612)*J75</f>
        <v>0</v>
      </c>
      <c r="L675" s="179">
        <f>(L647/L612)*J80</f>
        <v>0</v>
      </c>
      <c r="M675" s="179">
        <f t="shared" si="20"/>
        <v>0</v>
      </c>
      <c r="N675" s="197" t="s">
        <v>675</v>
      </c>
    </row>
    <row r="676" spans="1:14" ht="12.6" customHeight="1" x14ac:dyDescent="0.25">
      <c r="A676" s="195">
        <v>6200</v>
      </c>
      <c r="B676" s="197" t="s">
        <v>288</v>
      </c>
      <c r="C676" s="179">
        <f>K71</f>
        <v>0</v>
      </c>
      <c r="D676" s="179">
        <f>(D615/D612)*K76</f>
        <v>0</v>
      </c>
      <c r="E676" s="179">
        <f>(E623/E612)*SUM(C676:D676)</f>
        <v>0</v>
      </c>
      <c r="F676" s="179">
        <f>(F624/F612)*K64</f>
        <v>0</v>
      </c>
      <c r="G676" s="179">
        <f>(G625/G612)*K77</f>
        <v>0</v>
      </c>
      <c r="H676" s="179">
        <f>(H628/H612)*K60</f>
        <v>0</v>
      </c>
      <c r="I676" s="179">
        <f>(I629/I612)*K78</f>
        <v>0</v>
      </c>
      <c r="J676" s="179">
        <f>(J630/J612)*K79</f>
        <v>0</v>
      </c>
      <c r="K676" s="179">
        <f>(K644/K612)*K75</f>
        <v>0</v>
      </c>
      <c r="L676" s="179">
        <f>(L647/L612)*K80</f>
        <v>0</v>
      </c>
      <c r="M676" s="179">
        <f t="shared" si="20"/>
        <v>0</v>
      </c>
      <c r="N676" s="197" t="s">
        <v>676</v>
      </c>
    </row>
    <row r="677" spans="1:14" ht="12.6" customHeight="1" x14ac:dyDescent="0.25">
      <c r="A677" s="195">
        <v>6210</v>
      </c>
      <c r="B677" s="197" t="s">
        <v>289</v>
      </c>
      <c r="C677" s="179">
        <f>L71</f>
        <v>0</v>
      </c>
      <c r="D677" s="179">
        <f>(D615/D612)*L76</f>
        <v>0</v>
      </c>
      <c r="E677" s="179">
        <f>(E623/E612)*SUM(C677:D677)</f>
        <v>0</v>
      </c>
      <c r="F677" s="179">
        <f>(F624/F612)*L64</f>
        <v>0</v>
      </c>
      <c r="G677" s="179">
        <f>(G625/G612)*L77</f>
        <v>0</v>
      </c>
      <c r="H677" s="179">
        <f>(H628/H612)*L60</f>
        <v>0</v>
      </c>
      <c r="I677" s="179">
        <f>(I629/I612)*L78</f>
        <v>0</v>
      </c>
      <c r="J677" s="179">
        <f>(J630/J612)*L79</f>
        <v>0</v>
      </c>
      <c r="K677" s="179">
        <f>(K644/K612)*L75</f>
        <v>0</v>
      </c>
      <c r="L677" s="179">
        <f>(L647/L612)*L80</f>
        <v>0</v>
      </c>
      <c r="M677" s="179">
        <f t="shared" si="20"/>
        <v>0</v>
      </c>
      <c r="N677" s="197" t="s">
        <v>677</v>
      </c>
    </row>
    <row r="678" spans="1:14" ht="12.6" customHeight="1" x14ac:dyDescent="0.25">
      <c r="A678" s="195">
        <v>6330</v>
      </c>
      <c r="B678" s="197" t="s">
        <v>678</v>
      </c>
      <c r="C678" s="179">
        <f>M71</f>
        <v>5980549.5099999998</v>
      </c>
      <c r="D678" s="179">
        <f>(D615/D612)*M76</f>
        <v>463049.47956714925</v>
      </c>
      <c r="E678" s="179">
        <f>(E623/E612)*SUM(C678:D678)</f>
        <v>317331.30277828895</v>
      </c>
      <c r="F678" s="179">
        <f>(F624/F612)*M64</f>
        <v>5186.5101084735434</v>
      </c>
      <c r="G678" s="179">
        <f>(G625/G612)*M77</f>
        <v>0</v>
      </c>
      <c r="H678" s="179">
        <f>(H628/H612)*M60</f>
        <v>150497.21301890106</v>
      </c>
      <c r="I678" s="179">
        <f>(I629/I612)*M78</f>
        <v>131893.17355168462</v>
      </c>
      <c r="J678" s="179">
        <f>(J630/J612)*M79</f>
        <v>8800.9250923588606</v>
      </c>
      <c r="K678" s="179">
        <f>(K644/K612)*M75</f>
        <v>260317.10804166525</v>
      </c>
      <c r="L678" s="179">
        <f>(L647/L612)*M80</f>
        <v>181052.31286197572</v>
      </c>
      <c r="M678" s="179">
        <f t="shared" si="20"/>
        <v>1518128</v>
      </c>
      <c r="N678" s="197" t="s">
        <v>679</v>
      </c>
    </row>
    <row r="679" spans="1:14" ht="12.6" customHeight="1" x14ac:dyDescent="0.25">
      <c r="A679" s="195">
        <v>6400</v>
      </c>
      <c r="B679" s="197" t="s">
        <v>680</v>
      </c>
      <c r="C679" s="179">
        <f>N71</f>
        <v>16204315.480000002</v>
      </c>
      <c r="D679" s="179">
        <f>(D615/D612)*N76</f>
        <v>115378.75190189249</v>
      </c>
      <c r="E679" s="179">
        <f>(E623/E612)*SUM(C679:D679)</f>
        <v>803704.55081666086</v>
      </c>
      <c r="F679" s="179">
        <f>(F624/F612)*N64</f>
        <v>177.43939389921405</v>
      </c>
      <c r="G679" s="179">
        <f>(G625/G612)*N77</f>
        <v>0</v>
      </c>
      <c r="H679" s="179">
        <f>(H628/H612)*N60</f>
        <v>143935.23836079767</v>
      </c>
      <c r="I679" s="179">
        <f>(I629/I612)*N78</f>
        <v>32871.118508011707</v>
      </c>
      <c r="J679" s="179">
        <f>(J630/J612)*N79</f>
        <v>0</v>
      </c>
      <c r="K679" s="179">
        <f>(K644/K612)*N75</f>
        <v>673658.36519679567</v>
      </c>
      <c r="L679" s="179">
        <f>(L647/L612)*N80</f>
        <v>0</v>
      </c>
      <c r="M679" s="179">
        <f t="shared" si="20"/>
        <v>1769725</v>
      </c>
      <c r="N679" s="197" t="s">
        <v>681</v>
      </c>
    </row>
    <row r="680" spans="1:14" ht="12.6" customHeight="1" x14ac:dyDescent="0.25">
      <c r="A680" s="195">
        <v>7010</v>
      </c>
      <c r="B680" s="197" t="s">
        <v>682</v>
      </c>
      <c r="C680" s="179">
        <f>O71</f>
        <v>25074429.68</v>
      </c>
      <c r="D680" s="179">
        <f>(D615/D612)*O76</f>
        <v>1227555.0018992862</v>
      </c>
      <c r="E680" s="179">
        <f>(E623/E612)*SUM(C680:D680)</f>
        <v>1295307.6500066889</v>
      </c>
      <c r="F680" s="179">
        <f>(F624/F612)*O64</f>
        <v>61067.959902051662</v>
      </c>
      <c r="G680" s="179">
        <f>(G625/G612)*O77</f>
        <v>0</v>
      </c>
      <c r="H680" s="179">
        <f>(H628/H612)*O60</f>
        <v>586322.81082191202</v>
      </c>
      <c r="I680" s="179">
        <f>(I629/I612)*O78</f>
        <v>349730.01751863252</v>
      </c>
      <c r="J680" s="179">
        <f>(J630/J612)*O79</f>
        <v>76866.654407117356</v>
      </c>
      <c r="K680" s="179">
        <f>(K644/K612)*O75</f>
        <v>4431117.9015434729</v>
      </c>
      <c r="L680" s="179">
        <f>(L647/L612)*O80</f>
        <v>1354472.5651659744</v>
      </c>
      <c r="M680" s="179">
        <f t="shared" si="20"/>
        <v>9382441</v>
      </c>
      <c r="N680" s="197" t="s">
        <v>683</v>
      </c>
    </row>
    <row r="681" spans="1:14" ht="12.6" customHeight="1" x14ac:dyDescent="0.25">
      <c r="A681" s="195">
        <v>7020</v>
      </c>
      <c r="B681" s="197" t="s">
        <v>684</v>
      </c>
      <c r="C681" s="179">
        <f>P71</f>
        <v>59588662.580999993</v>
      </c>
      <c r="D681" s="179">
        <f>(D615/D612)*P76</f>
        <v>1675169.498814197</v>
      </c>
      <c r="E681" s="179">
        <f>(E623/E612)*SUM(C681:D681)</f>
        <v>3017092.106221172</v>
      </c>
      <c r="F681" s="179">
        <f>(F624/F612)*P64</f>
        <v>1255697.4911575678</v>
      </c>
      <c r="G681" s="179">
        <f>(G625/G612)*P77</f>
        <v>0</v>
      </c>
      <c r="H681" s="179">
        <f>(H628/H612)*P60</f>
        <v>481987.05761120789</v>
      </c>
      <c r="I681" s="179">
        <f>(I629/I612)*P78</f>
        <v>477244.26764562639</v>
      </c>
      <c r="J681" s="179">
        <f>(J630/J612)*P79</f>
        <v>33606.881014854465</v>
      </c>
      <c r="K681" s="179">
        <f>(K644/K612)*P75</f>
        <v>12995882.828774845</v>
      </c>
      <c r="L681" s="179">
        <f>(L647/L612)*P80</f>
        <v>690265.21858313284</v>
      </c>
      <c r="M681" s="179">
        <f t="shared" si="20"/>
        <v>20626945</v>
      </c>
      <c r="N681" s="197" t="s">
        <v>685</v>
      </c>
    </row>
    <row r="682" spans="1:14" ht="12.6" customHeight="1" x14ac:dyDescent="0.25">
      <c r="A682" s="195">
        <v>7030</v>
      </c>
      <c r="B682" s="197" t="s">
        <v>686</v>
      </c>
      <c r="C682" s="179">
        <f>Q71</f>
        <v>5202835.0200000005</v>
      </c>
      <c r="D682" s="179">
        <f>(D615/D612)*Q76</f>
        <v>115491.5807224498</v>
      </c>
      <c r="E682" s="179">
        <f>(E623/E612)*SUM(C682:D682)</f>
        <v>261914.4225983333</v>
      </c>
      <c r="F682" s="179">
        <f>(F624/F612)*Q64</f>
        <v>9985.1051148569277</v>
      </c>
      <c r="G682" s="179">
        <f>(G625/G612)*Q77</f>
        <v>0</v>
      </c>
      <c r="H682" s="179">
        <f>(H628/H612)*Q60</f>
        <v>112566.96320976988</v>
      </c>
      <c r="I682" s="179">
        <f>(I629/I612)*Q78</f>
        <v>32929.50415367425</v>
      </c>
      <c r="J682" s="179">
        <f>(J630/J612)*Q79</f>
        <v>0</v>
      </c>
      <c r="K682" s="179">
        <f>(K644/K612)*Q75</f>
        <v>671674.58143464418</v>
      </c>
      <c r="L682" s="179">
        <f>(L647/L612)*Q80</f>
        <v>291222.90840671974</v>
      </c>
      <c r="M682" s="179">
        <f t="shared" si="20"/>
        <v>1495785</v>
      </c>
      <c r="N682" s="197" t="s">
        <v>687</v>
      </c>
    </row>
    <row r="683" spans="1:14" ht="12.6" customHeight="1" x14ac:dyDescent="0.25">
      <c r="A683" s="195">
        <v>7040</v>
      </c>
      <c r="B683" s="197" t="s">
        <v>107</v>
      </c>
      <c r="C683" s="179">
        <f>R71</f>
        <v>1301681.49</v>
      </c>
      <c r="D683" s="179">
        <f>(D615/D612)*R76</f>
        <v>14690.312436560145</v>
      </c>
      <c r="E683" s="179">
        <f>(E623/E612)*SUM(C683:D683)</f>
        <v>64828.053341640196</v>
      </c>
      <c r="F683" s="179">
        <f>(F624/F612)*R64</f>
        <v>13145.8761838384</v>
      </c>
      <c r="G683" s="179">
        <f>(G625/G612)*R77</f>
        <v>0</v>
      </c>
      <c r="H683" s="179">
        <f>(H628/H612)*R60</f>
        <v>23336.897905578135</v>
      </c>
      <c r="I683" s="179">
        <f>(I629/I612)*R78</f>
        <v>4203.7664877030957</v>
      </c>
      <c r="J683" s="179">
        <f>(J630/J612)*R79</f>
        <v>0</v>
      </c>
      <c r="K683" s="179">
        <f>(K644/K612)*R75</f>
        <v>1236703.2205821115</v>
      </c>
      <c r="L683" s="179">
        <f>(L647/L612)*R80</f>
        <v>0</v>
      </c>
      <c r="M683" s="179">
        <f t="shared" si="20"/>
        <v>1356908</v>
      </c>
      <c r="N683" s="197" t="s">
        <v>688</v>
      </c>
    </row>
    <row r="684" spans="1:14" ht="12.6" customHeight="1" x14ac:dyDescent="0.25">
      <c r="A684" s="195">
        <v>7050</v>
      </c>
      <c r="B684" s="197" t="s">
        <v>689</v>
      </c>
      <c r="C684" s="179">
        <f>S71</f>
        <v>2702378.54</v>
      </c>
      <c r="D684" s="179">
        <f>(D615/D612)*S76</f>
        <v>231750.39742468923</v>
      </c>
      <c r="E684" s="179">
        <f>(E623/E612)*SUM(C684:D684)</f>
        <v>144498.58840377643</v>
      </c>
      <c r="F684" s="179">
        <f>(F624/F612)*S64</f>
        <v>20327.832141816674</v>
      </c>
      <c r="G684" s="179">
        <f>(G625/G612)*S77</f>
        <v>0</v>
      </c>
      <c r="H684" s="179">
        <f>(H628/H612)*S60</f>
        <v>66483.933813196913</v>
      </c>
      <c r="I684" s="179">
        <f>(I629/I612)*S78</f>
        <v>66034.165244336124</v>
      </c>
      <c r="J684" s="179">
        <f>(J630/J612)*S79</f>
        <v>4143.5536803712885</v>
      </c>
      <c r="K684" s="179">
        <f>(K644/K612)*S75</f>
        <v>0</v>
      </c>
      <c r="L684" s="179">
        <f>(L647/L612)*S80</f>
        <v>0</v>
      </c>
      <c r="M684" s="179">
        <f t="shared" si="20"/>
        <v>533238</v>
      </c>
      <c r="N684" s="197" t="s">
        <v>690</v>
      </c>
    </row>
    <row r="685" spans="1:14" ht="12.6" customHeight="1" x14ac:dyDescent="0.25">
      <c r="A685" s="195">
        <v>7060</v>
      </c>
      <c r="B685" s="197" t="s">
        <v>691</v>
      </c>
      <c r="C685" s="179">
        <f>T71</f>
        <v>0</v>
      </c>
      <c r="D685" s="179">
        <f>(D615/D612)*T76</f>
        <v>0</v>
      </c>
      <c r="E685" s="179">
        <f>(E623/E612)*SUM(C685:D685)</f>
        <v>0</v>
      </c>
      <c r="F685" s="179">
        <f>(F624/F612)*T64</f>
        <v>0</v>
      </c>
      <c r="G685" s="179">
        <f>(G625/G612)*T77</f>
        <v>0</v>
      </c>
      <c r="H685" s="179">
        <f>(H628/H612)*T60</f>
        <v>0</v>
      </c>
      <c r="I685" s="179">
        <f>(I629/I612)*T78</f>
        <v>0</v>
      </c>
      <c r="J685" s="179">
        <f>(J630/J612)*T79</f>
        <v>0</v>
      </c>
      <c r="K685" s="179">
        <f>(K644/K612)*T75</f>
        <v>0</v>
      </c>
      <c r="L685" s="179">
        <f>(L647/L612)*T80</f>
        <v>0</v>
      </c>
      <c r="M685" s="179">
        <f t="shared" si="20"/>
        <v>0</v>
      </c>
      <c r="N685" s="197" t="s">
        <v>692</v>
      </c>
    </row>
    <row r="686" spans="1:14" ht="12.6" customHeight="1" x14ac:dyDescent="0.25">
      <c r="A686" s="195">
        <v>7070</v>
      </c>
      <c r="B686" s="197" t="s">
        <v>109</v>
      </c>
      <c r="C686" s="179">
        <f>U71</f>
        <v>15098929.093</v>
      </c>
      <c r="D686" s="179">
        <f>(D615/D612)*U76</f>
        <v>533071.04560500814</v>
      </c>
      <c r="E686" s="179">
        <f>(E623/E612)*SUM(C686:D686)</f>
        <v>769837.31871668587</v>
      </c>
      <c r="F686" s="179">
        <f>(F624/F612)*U64</f>
        <v>112877.53032907244</v>
      </c>
      <c r="G686" s="179">
        <f>(G625/G612)*U77</f>
        <v>0</v>
      </c>
      <c r="H686" s="179">
        <f>(H628/H612)*U60</f>
        <v>251749.68726938951</v>
      </c>
      <c r="I686" s="179">
        <f>(I629/I612)*U78</f>
        <v>151861.06436827432</v>
      </c>
      <c r="J686" s="179">
        <f>(J630/J612)*U79</f>
        <v>508.04199430383431</v>
      </c>
      <c r="K686" s="179">
        <f>(K644/K612)*U75</f>
        <v>3993753.6286064168</v>
      </c>
      <c r="L686" s="179">
        <f>(L647/L612)*U80</f>
        <v>0</v>
      </c>
      <c r="M686" s="179">
        <f t="shared" si="20"/>
        <v>5813658</v>
      </c>
      <c r="N686" s="197" t="s">
        <v>693</v>
      </c>
    </row>
    <row r="687" spans="1:14" ht="12.6" customHeight="1" x14ac:dyDescent="0.25">
      <c r="A687" s="195">
        <v>7110</v>
      </c>
      <c r="B687" s="197" t="s">
        <v>694</v>
      </c>
      <c r="C687" s="179">
        <f>V71</f>
        <v>202149.05</v>
      </c>
      <c r="D687" s="179">
        <f>(D615/D612)*V76</f>
        <v>7085.6499309982873</v>
      </c>
      <c r="E687" s="179">
        <f>(E623/E612)*SUM(C687:D687)</f>
        <v>10304.291130318812</v>
      </c>
      <c r="F687" s="179">
        <f>(F624/F612)*V64</f>
        <v>215.5511793660896</v>
      </c>
      <c r="G687" s="179">
        <f>(G625/G612)*V77</f>
        <v>0</v>
      </c>
      <c r="H687" s="179">
        <f>(H628/H612)*V60</f>
        <v>8249.3766130309668</v>
      </c>
      <c r="I687" s="179">
        <f>(I629/I612)*V78</f>
        <v>2043.4975981890047</v>
      </c>
      <c r="J687" s="179">
        <f>(J630/J612)*V79</f>
        <v>0</v>
      </c>
      <c r="K687" s="179">
        <f>(K644/K612)*V75</f>
        <v>70149.268885480138</v>
      </c>
      <c r="L687" s="179">
        <f>(L647/L612)*V80</f>
        <v>0</v>
      </c>
      <c r="M687" s="179">
        <f t="shared" si="20"/>
        <v>98048</v>
      </c>
      <c r="N687" s="197" t="s">
        <v>695</v>
      </c>
    </row>
    <row r="688" spans="1:14" ht="12.6" customHeight="1" x14ac:dyDescent="0.25">
      <c r="A688" s="195">
        <v>7120</v>
      </c>
      <c r="B688" s="197" t="s">
        <v>696</v>
      </c>
      <c r="C688" s="179">
        <f>W71</f>
        <v>1336194.5649999999</v>
      </c>
      <c r="D688" s="179">
        <f>(D615/D612)*W76</f>
        <v>131716.36511858919</v>
      </c>
      <c r="E688" s="179">
        <f>(E623/E612)*SUM(C688:D688)</f>
        <v>72290.98033121285</v>
      </c>
      <c r="F688" s="179">
        <f>(F624/F612)*W64</f>
        <v>6782.4956401332875</v>
      </c>
      <c r="G688" s="179">
        <f>(G625/G612)*W77</f>
        <v>0</v>
      </c>
      <c r="H688" s="179">
        <f>(H628/H612)*W60</f>
        <v>23434.916394512831</v>
      </c>
      <c r="I688" s="179">
        <f>(I629/I612)*W78</f>
        <v>37541.970161015146</v>
      </c>
      <c r="J688" s="179">
        <f>(J630/J612)*W79</f>
        <v>4443.0004638522323</v>
      </c>
      <c r="K688" s="179">
        <f>(K644/K612)*W75</f>
        <v>632794.36282673921</v>
      </c>
      <c r="L688" s="179">
        <f>(L647/L612)*W80</f>
        <v>0</v>
      </c>
      <c r="M688" s="179">
        <f t="shared" si="20"/>
        <v>909004</v>
      </c>
      <c r="N688" s="197" t="s">
        <v>697</v>
      </c>
    </row>
    <row r="689" spans="1:14" ht="12.6" customHeight="1" x14ac:dyDescent="0.25">
      <c r="A689" s="195">
        <v>7130</v>
      </c>
      <c r="B689" s="197" t="s">
        <v>698</v>
      </c>
      <c r="C689" s="179">
        <f>X71</f>
        <v>2380105.66</v>
      </c>
      <c r="D689" s="179">
        <f>(D615/D612)*X76</f>
        <v>71443.209176880831</v>
      </c>
      <c r="E689" s="179">
        <f>(E623/E612)*SUM(C689:D689)</f>
        <v>120732.71439456847</v>
      </c>
      <c r="F689" s="179">
        <f>(F624/F612)*X64</f>
        <v>13642.2954460037</v>
      </c>
      <c r="G689" s="179">
        <f>(G625/G612)*X77</f>
        <v>0</v>
      </c>
      <c r="H689" s="179">
        <f>(H628/H612)*X60</f>
        <v>46442.237870125522</v>
      </c>
      <c r="I689" s="179">
        <f>(I629/I612)*X78</f>
        <v>20376.590336227506</v>
      </c>
      <c r="J689" s="179">
        <f>(J630/J612)*X79</f>
        <v>0</v>
      </c>
      <c r="K689" s="179">
        <f>(K644/K612)*X75</f>
        <v>2526202.0803875886</v>
      </c>
      <c r="L689" s="179">
        <f>(L647/L612)*X80</f>
        <v>0</v>
      </c>
      <c r="M689" s="179">
        <f t="shared" si="20"/>
        <v>2798839</v>
      </c>
      <c r="N689" s="197" t="s">
        <v>699</v>
      </c>
    </row>
    <row r="690" spans="1:14" ht="12.6" customHeight="1" x14ac:dyDescent="0.25">
      <c r="A690" s="195">
        <v>7140</v>
      </c>
      <c r="B690" s="197" t="s">
        <v>1250</v>
      </c>
      <c r="C690" s="179">
        <f>Y71</f>
        <v>28322076.506999999</v>
      </c>
      <c r="D690" s="179">
        <f>(D615/D612)*Y76</f>
        <v>947310.77739907044</v>
      </c>
      <c r="E690" s="179">
        <f>(E623/E612)*SUM(C690:D690)</f>
        <v>1441444.8840654143</v>
      </c>
      <c r="F690" s="179">
        <f>(F624/F612)*Y64</f>
        <v>181228.55010154913</v>
      </c>
      <c r="G690" s="179">
        <f>(G625/G612)*Y77</f>
        <v>0</v>
      </c>
      <c r="H690" s="179">
        <f>(H628/H612)*Y60</f>
        <v>430796.02311326959</v>
      </c>
      <c r="I690" s="179">
        <f>(I629/I612)*Y78</f>
        <v>269858.45425227372</v>
      </c>
      <c r="J690" s="179">
        <f>(J630/J612)*Y79</f>
        <v>58080.87740440057</v>
      </c>
      <c r="K690" s="179">
        <f>(K644/K612)*Y75</f>
        <v>6392852.1539580226</v>
      </c>
      <c r="L690" s="179">
        <f>(L647/L612)*Y80</f>
        <v>207059.93087536001</v>
      </c>
      <c r="M690" s="179">
        <f t="shared" si="20"/>
        <v>9928632</v>
      </c>
      <c r="N690" s="197" t="s">
        <v>700</v>
      </c>
    </row>
    <row r="691" spans="1:14" ht="12.6" customHeight="1" x14ac:dyDescent="0.25">
      <c r="A691" s="195">
        <v>7150</v>
      </c>
      <c r="B691" s="197" t="s">
        <v>701</v>
      </c>
      <c r="C691" s="179">
        <f>Z71</f>
        <v>7980554.0899999999</v>
      </c>
      <c r="D691" s="179">
        <f>(D615/D612)*Z76</f>
        <v>372177.14749030181</v>
      </c>
      <c r="E691" s="179">
        <f>(E623/E612)*SUM(C691:D691)</f>
        <v>411351.34101940144</v>
      </c>
      <c r="F691" s="179">
        <f>(F624/F612)*Z64</f>
        <v>12334.719120365849</v>
      </c>
      <c r="G691" s="179">
        <f>(G625/G612)*Z77</f>
        <v>0</v>
      </c>
      <c r="H691" s="179">
        <f>(H628/H612)*Z60</f>
        <v>65984.79711273167</v>
      </c>
      <c r="I691" s="179">
        <f>(I629/I612)*Z78</f>
        <v>106028.33252317808</v>
      </c>
      <c r="J691" s="179">
        <f>(J630/J612)*Z79</f>
        <v>9844.5528550878444</v>
      </c>
      <c r="K691" s="179">
        <f>(K644/K612)*Z75</f>
        <v>1284080.815827572</v>
      </c>
      <c r="L691" s="179">
        <f>(L647/L612)*Z80</f>
        <v>42614.678044349203</v>
      </c>
      <c r="M691" s="179">
        <f t="shared" si="20"/>
        <v>2304416</v>
      </c>
      <c r="N691" s="197" t="s">
        <v>702</v>
      </c>
    </row>
    <row r="692" spans="1:14" ht="12.6" customHeight="1" x14ac:dyDescent="0.25">
      <c r="A692" s="195">
        <v>7160</v>
      </c>
      <c r="B692" s="197" t="s">
        <v>703</v>
      </c>
      <c r="C692" s="179">
        <f>AA71</f>
        <v>1127679.8</v>
      </c>
      <c r="D692" s="179">
        <f>(D615/D612)*AA76</f>
        <v>25702.405322952389</v>
      </c>
      <c r="E692" s="179">
        <f>(E623/E612)*SUM(C692:D692)</f>
        <v>56801.219071675172</v>
      </c>
      <c r="F692" s="179">
        <f>(F624/F612)*AA64</f>
        <v>11538.582752553348</v>
      </c>
      <c r="G692" s="179">
        <f>(G625/G612)*AA77</f>
        <v>0</v>
      </c>
      <c r="H692" s="179">
        <f>(H628/H612)*AA60</f>
        <v>10213.182896516229</v>
      </c>
      <c r="I692" s="179">
        <f>(I629/I612)*AA78</f>
        <v>7298.2057078178741</v>
      </c>
      <c r="J692" s="179">
        <f>(J630/J612)*AA79</f>
        <v>0</v>
      </c>
      <c r="K692" s="179">
        <f>(K644/K612)*AA75</f>
        <v>145229.85487917956</v>
      </c>
      <c r="L692" s="179">
        <f>(L647/L612)*AA80</f>
        <v>0</v>
      </c>
      <c r="M692" s="179">
        <f t="shared" si="20"/>
        <v>256783</v>
      </c>
      <c r="N692" s="197" t="s">
        <v>704</v>
      </c>
    </row>
    <row r="693" spans="1:14" ht="12.6" customHeight="1" x14ac:dyDescent="0.25">
      <c r="A693" s="195">
        <v>7170</v>
      </c>
      <c r="B693" s="197" t="s">
        <v>115</v>
      </c>
      <c r="C693" s="179">
        <f>AB71</f>
        <v>23759705.399999995</v>
      </c>
      <c r="D693" s="179">
        <f>(D615/D612)*AB76</f>
        <v>166354.81302967956</v>
      </c>
      <c r="E693" s="179">
        <f>(E623/E612)*SUM(C693:D693)</f>
        <v>1178299.2501621395</v>
      </c>
      <c r="F693" s="179">
        <f>(F624/F612)*AB64</f>
        <v>545835.38257831032</v>
      </c>
      <c r="G693" s="179">
        <f>(G625/G612)*AB77</f>
        <v>0</v>
      </c>
      <c r="H693" s="179">
        <f>(H628/H612)*AB60</f>
        <v>176931.04218100221</v>
      </c>
      <c r="I693" s="179">
        <f>(I629/I612)*AB78</f>
        <v>47409.144277984909</v>
      </c>
      <c r="J693" s="179">
        <f>(J630/J612)*AB79</f>
        <v>0</v>
      </c>
      <c r="K693" s="179">
        <f>(K644/K612)*AB75</f>
        <v>4838358.0815230189</v>
      </c>
      <c r="L693" s="179">
        <f>(L647/L612)*AB80</f>
        <v>0</v>
      </c>
      <c r="M693" s="179">
        <f t="shared" si="20"/>
        <v>6953188</v>
      </c>
      <c r="N693" s="197" t="s">
        <v>705</v>
      </c>
    </row>
    <row r="694" spans="1:14" ht="12.6" customHeight="1" x14ac:dyDescent="0.25">
      <c r="A694" s="195">
        <v>7180</v>
      </c>
      <c r="B694" s="197" t="s">
        <v>706</v>
      </c>
      <c r="C694" s="179">
        <f>AC71</f>
        <v>3016690.7000000007</v>
      </c>
      <c r="D694" s="179">
        <f>(D615/D612)*AC76</f>
        <v>59573.61725425312</v>
      </c>
      <c r="E694" s="179">
        <f>(E623/E612)*SUM(C694:D694)</f>
        <v>151498.40408523497</v>
      </c>
      <c r="F694" s="179">
        <f>(F624/F612)*AC64</f>
        <v>10017.473915819006</v>
      </c>
      <c r="G694" s="179">
        <f>(G625/G612)*AC77</f>
        <v>0</v>
      </c>
      <c r="H694" s="179">
        <f>(H628/H612)*AC60</f>
        <v>75940.538938947851</v>
      </c>
      <c r="I694" s="179">
        <f>(I629/I612)*AC78</f>
        <v>16990.22288780001</v>
      </c>
      <c r="J694" s="179">
        <f>(J630/J612)*AC79</f>
        <v>0</v>
      </c>
      <c r="K694" s="179">
        <f>(K644/K612)*AC75</f>
        <v>676524.72949846287</v>
      </c>
      <c r="L694" s="179">
        <f>(L647/L612)*AC80</f>
        <v>0</v>
      </c>
      <c r="M694" s="179">
        <f t="shared" si="20"/>
        <v>990545</v>
      </c>
      <c r="N694" s="197" t="s">
        <v>707</v>
      </c>
    </row>
    <row r="695" spans="1:14" ht="12.6" customHeight="1" x14ac:dyDescent="0.25">
      <c r="A695" s="195">
        <v>7190</v>
      </c>
      <c r="B695" s="197" t="s">
        <v>117</v>
      </c>
      <c r="C695" s="179">
        <f>AD71</f>
        <v>0</v>
      </c>
      <c r="D695" s="179">
        <f>(D615/D612)*AD76</f>
        <v>0</v>
      </c>
      <c r="E695" s="179">
        <f>(E623/E612)*SUM(C695:D695)</f>
        <v>0</v>
      </c>
      <c r="F695" s="179">
        <f>(F624/F612)*AD64</f>
        <v>0</v>
      </c>
      <c r="G695" s="179">
        <f>(G625/G612)*AD77</f>
        <v>0</v>
      </c>
      <c r="H695" s="179">
        <f>(H628/H612)*AD60</f>
        <v>0</v>
      </c>
      <c r="I695" s="179">
        <f>(I629/I612)*AD78</f>
        <v>0</v>
      </c>
      <c r="J695" s="179">
        <f>(J630/J612)*AD79</f>
        <v>0</v>
      </c>
      <c r="K695" s="179">
        <f>(K644/K612)*AD75</f>
        <v>0</v>
      </c>
      <c r="L695" s="179">
        <f>(L647/L612)*AD80</f>
        <v>0</v>
      </c>
      <c r="M695" s="179">
        <f t="shared" si="20"/>
        <v>0</v>
      </c>
      <c r="N695" s="197" t="s">
        <v>708</v>
      </c>
    </row>
    <row r="696" spans="1:14" ht="12.6" customHeight="1" x14ac:dyDescent="0.25">
      <c r="A696" s="195">
        <v>7200</v>
      </c>
      <c r="B696" s="197" t="s">
        <v>709</v>
      </c>
      <c r="C696" s="179">
        <f>AE71</f>
        <v>6833640.1499999994</v>
      </c>
      <c r="D696" s="179">
        <f>(D615/D612)*AE76</f>
        <v>395194.22688399052</v>
      </c>
      <c r="E696" s="179">
        <f>(E623/E612)*SUM(C696:D696)</f>
        <v>356002.20220085001</v>
      </c>
      <c r="F696" s="179">
        <f>(F624/F612)*AE64</f>
        <v>3749.8473034658423</v>
      </c>
      <c r="G696" s="179">
        <f>(G625/G612)*AE77</f>
        <v>0</v>
      </c>
      <c r="H696" s="179">
        <f>(H628/H612)*AE60</f>
        <v>202350.91498394331</v>
      </c>
      <c r="I696" s="179">
        <f>(I629/I612)*AE78</f>
        <v>112567.52483738289</v>
      </c>
      <c r="J696" s="179">
        <f>(J630/J612)*AE79</f>
        <v>0</v>
      </c>
      <c r="K696" s="179">
        <f>(K644/K612)*AE75</f>
        <v>1306012.3668663085</v>
      </c>
      <c r="L696" s="179">
        <f>(L647/L612)*AE80</f>
        <v>0</v>
      </c>
      <c r="M696" s="179">
        <f t="shared" si="20"/>
        <v>2375877</v>
      </c>
      <c r="N696" s="197" t="s">
        <v>710</v>
      </c>
    </row>
    <row r="697" spans="1:14" ht="12.6" customHeight="1" x14ac:dyDescent="0.25">
      <c r="A697" s="195">
        <v>7220</v>
      </c>
      <c r="B697" s="197" t="s">
        <v>711</v>
      </c>
      <c r="C697" s="179">
        <f>AF71</f>
        <v>0</v>
      </c>
      <c r="D697" s="179">
        <f>(D615/D612)*AF76</f>
        <v>0</v>
      </c>
      <c r="E697" s="179">
        <f>(E623/E612)*SUM(C697:D697)</f>
        <v>0</v>
      </c>
      <c r="F697" s="179">
        <f>(F624/F612)*AF64</f>
        <v>0</v>
      </c>
      <c r="G697" s="179">
        <f>(G625/G612)*AF77</f>
        <v>0</v>
      </c>
      <c r="H697" s="179">
        <f>(H628/H612)*AF60</f>
        <v>0</v>
      </c>
      <c r="I697" s="179">
        <f>(I629/I612)*AF78</f>
        <v>0</v>
      </c>
      <c r="J697" s="179">
        <f>(J630/J612)*AF79</f>
        <v>0</v>
      </c>
      <c r="K697" s="179">
        <f>(K644/K612)*AF75</f>
        <v>0</v>
      </c>
      <c r="L697" s="179">
        <f>(L647/L612)*AF80</f>
        <v>0</v>
      </c>
      <c r="M697" s="179">
        <f t="shared" si="20"/>
        <v>0</v>
      </c>
      <c r="N697" s="197" t="s">
        <v>712</v>
      </c>
    </row>
    <row r="698" spans="1:14" ht="12.6" customHeight="1" x14ac:dyDescent="0.25">
      <c r="A698" s="195">
        <v>7230</v>
      </c>
      <c r="B698" s="197" t="s">
        <v>713</v>
      </c>
      <c r="C698" s="179">
        <f>AG71</f>
        <v>16032838.036</v>
      </c>
      <c r="D698" s="179">
        <f>(D615/D612)*AG76</f>
        <v>1242403.2746846266</v>
      </c>
      <c r="E698" s="179">
        <f>(E623/E612)*SUM(C698:D698)</f>
        <v>850762.87953436445</v>
      </c>
      <c r="F698" s="179">
        <f>(F624/F612)*AG64</f>
        <v>43509.458216636216</v>
      </c>
      <c r="G698" s="179">
        <f>(G625/G612)*AG77</f>
        <v>0</v>
      </c>
      <c r="H698" s="179">
        <f>(H628/H612)*AG60</f>
        <v>374662.138810142</v>
      </c>
      <c r="I698" s="179">
        <f>(I629/I612)*AG78</f>
        <v>353933.7840063356</v>
      </c>
      <c r="J698" s="179">
        <f>(J630/J612)*AG79</f>
        <v>75247.863508204769</v>
      </c>
      <c r="K698" s="179">
        <f>(K644/K612)*AG75</f>
        <v>6649306.8997389833</v>
      </c>
      <c r="L698" s="179">
        <f>(L647/L612)*AG80</f>
        <v>678124.43771023548</v>
      </c>
      <c r="M698" s="179">
        <f t="shared" si="20"/>
        <v>10267951</v>
      </c>
      <c r="N698" s="197" t="s">
        <v>714</v>
      </c>
    </row>
    <row r="699" spans="1:14" ht="12.6" customHeight="1" x14ac:dyDescent="0.25">
      <c r="A699" s="195">
        <v>7240</v>
      </c>
      <c r="B699" s="197" t="s">
        <v>119</v>
      </c>
      <c r="C699" s="179">
        <f>AH71</f>
        <v>0</v>
      </c>
      <c r="D699" s="179">
        <f>(D615/D612)*AH76</f>
        <v>0</v>
      </c>
      <c r="E699" s="179">
        <f>(E623/E612)*SUM(C699:D699)</f>
        <v>0</v>
      </c>
      <c r="F699" s="179">
        <f>(F624/F612)*AH64</f>
        <v>0</v>
      </c>
      <c r="G699" s="179">
        <f>(G625/G612)*AH77</f>
        <v>0</v>
      </c>
      <c r="H699" s="179">
        <f>(H628/H612)*AH60</f>
        <v>0</v>
      </c>
      <c r="I699" s="179">
        <f>(I629/I612)*AH78</f>
        <v>0</v>
      </c>
      <c r="J699" s="179">
        <f>(J630/J612)*AH79</f>
        <v>0</v>
      </c>
      <c r="K699" s="179">
        <f>(K644/K612)*AH75</f>
        <v>0</v>
      </c>
      <c r="L699" s="179">
        <f>(L647/L612)*AH80</f>
        <v>0</v>
      </c>
      <c r="M699" s="179">
        <f t="shared" si="20"/>
        <v>0</v>
      </c>
      <c r="N699" s="197" t="s">
        <v>715</v>
      </c>
    </row>
    <row r="700" spans="1:14" ht="12.6" customHeight="1" x14ac:dyDescent="0.25">
      <c r="A700" s="195">
        <v>7250</v>
      </c>
      <c r="B700" s="197" t="s">
        <v>716</v>
      </c>
      <c r="C700" s="179">
        <f>AI71</f>
        <v>0</v>
      </c>
      <c r="D700" s="179">
        <f>(D615/D612)*AI76</f>
        <v>0</v>
      </c>
      <c r="E700" s="179">
        <f>(E623/E612)*SUM(C700:D700)</f>
        <v>0</v>
      </c>
      <c r="F700" s="179">
        <f>(F624/F612)*AI64</f>
        <v>0</v>
      </c>
      <c r="G700" s="179">
        <f>(G625/G612)*AI77</f>
        <v>0</v>
      </c>
      <c r="H700" s="179">
        <f>(H628/H612)*AI60</f>
        <v>0</v>
      </c>
      <c r="I700" s="179">
        <f>(I629/I612)*AI78</f>
        <v>0</v>
      </c>
      <c r="J700" s="179">
        <f>(J630/J612)*AI79</f>
        <v>0</v>
      </c>
      <c r="K700" s="179">
        <f>(K644/K612)*AI75</f>
        <v>0</v>
      </c>
      <c r="L700" s="179">
        <f>(L647/L612)*AI80</f>
        <v>0</v>
      </c>
      <c r="M700" s="179">
        <f t="shared" si="20"/>
        <v>0</v>
      </c>
      <c r="N700" s="197" t="s">
        <v>717</v>
      </c>
    </row>
    <row r="701" spans="1:14" ht="12.6" customHeight="1" x14ac:dyDescent="0.25">
      <c r="A701" s="195">
        <v>7260</v>
      </c>
      <c r="B701" s="197" t="s">
        <v>121</v>
      </c>
      <c r="C701" s="179">
        <f>AJ71</f>
        <v>92175443.554999992</v>
      </c>
      <c r="D701" s="179">
        <f>(D615/D612)*AJ76</f>
        <v>3254186.2767494651</v>
      </c>
      <c r="E701" s="179">
        <f>(E623/E612)*SUM(C701:D701)</f>
        <v>4699673.0875384873</v>
      </c>
      <c r="F701" s="179">
        <f>(F624/F612)*AJ64</f>
        <v>175708.63913787069</v>
      </c>
      <c r="G701" s="179">
        <f>(G625/G612)*AJ77</f>
        <v>0</v>
      </c>
      <c r="H701" s="179">
        <f>(H628/H612)*AJ60</f>
        <v>1553488.3768030889</v>
      </c>
      <c r="I701" s="179">
        <f>(I629/I612)*AJ78</f>
        <v>927047.28182985762</v>
      </c>
      <c r="J701" s="179">
        <f>(J630/J612)*AJ79</f>
        <v>17581.528504945567</v>
      </c>
      <c r="K701" s="179">
        <f>(K644/K612)*AJ75</f>
        <v>7401194.3365767635</v>
      </c>
      <c r="L701" s="179">
        <f>(L647/L612)*AJ80</f>
        <v>598222.80749423115</v>
      </c>
      <c r="M701" s="179">
        <f t="shared" si="20"/>
        <v>18627102</v>
      </c>
      <c r="N701" s="197" t="s">
        <v>718</v>
      </c>
    </row>
    <row r="702" spans="1:14" ht="12.6" customHeight="1" x14ac:dyDescent="0.25">
      <c r="A702" s="195">
        <v>7310</v>
      </c>
      <c r="B702" s="197" t="s">
        <v>719</v>
      </c>
      <c r="C702" s="179">
        <f>AK71</f>
        <v>0</v>
      </c>
      <c r="D702" s="179">
        <f>(D615/D612)*AK76</f>
        <v>0</v>
      </c>
      <c r="E702" s="179">
        <f>(E623/E612)*SUM(C702:D702)</f>
        <v>0</v>
      </c>
      <c r="F702" s="179">
        <f>(F624/F612)*AK64</f>
        <v>0</v>
      </c>
      <c r="G702" s="179">
        <f>(G625/G612)*AK77</f>
        <v>0</v>
      </c>
      <c r="H702" s="179">
        <f>(H628/H612)*AK60</f>
        <v>0</v>
      </c>
      <c r="I702" s="179">
        <f>(I629/I612)*AK78</f>
        <v>0</v>
      </c>
      <c r="J702" s="179">
        <f>(J630/J612)*AK79</f>
        <v>0</v>
      </c>
      <c r="K702" s="179">
        <f>(K644/K612)*AK75</f>
        <v>0</v>
      </c>
      <c r="L702" s="179">
        <f>(L647/L612)*AK80</f>
        <v>0</v>
      </c>
      <c r="M702" s="179">
        <f t="shared" si="20"/>
        <v>0</v>
      </c>
      <c r="N702" s="197" t="s">
        <v>720</v>
      </c>
    </row>
    <row r="703" spans="1:14" ht="12.6" customHeight="1" x14ac:dyDescent="0.25">
      <c r="A703" s="195">
        <v>7320</v>
      </c>
      <c r="B703" s="197" t="s">
        <v>721</v>
      </c>
      <c r="C703" s="179">
        <f>AL71</f>
        <v>0</v>
      </c>
      <c r="D703" s="179">
        <f>(D615/D612)*AL76</f>
        <v>0</v>
      </c>
      <c r="E703" s="179">
        <f>(E623/E612)*SUM(C703:D703)</f>
        <v>0</v>
      </c>
      <c r="F703" s="179">
        <f>(F624/F612)*AL64</f>
        <v>0</v>
      </c>
      <c r="G703" s="179">
        <f>(G625/G612)*AL77</f>
        <v>0</v>
      </c>
      <c r="H703" s="179">
        <f>(H628/H612)*AL60</f>
        <v>0</v>
      </c>
      <c r="I703" s="179">
        <f>(I629/I612)*AL78</f>
        <v>0</v>
      </c>
      <c r="J703" s="179">
        <f>(J630/J612)*AL79</f>
        <v>0</v>
      </c>
      <c r="K703" s="179">
        <f>(K644/K612)*AL75</f>
        <v>0</v>
      </c>
      <c r="L703" s="179">
        <f>(L647/L612)*AL80</f>
        <v>0</v>
      </c>
      <c r="M703" s="179">
        <f t="shared" si="20"/>
        <v>0</v>
      </c>
      <c r="N703" s="197" t="s">
        <v>722</v>
      </c>
    </row>
    <row r="704" spans="1:14" ht="12.6" customHeight="1" x14ac:dyDescent="0.25">
      <c r="A704" s="195">
        <v>7330</v>
      </c>
      <c r="B704" s="197" t="s">
        <v>723</v>
      </c>
      <c r="C704" s="179">
        <f>AM71</f>
        <v>0</v>
      </c>
      <c r="D704" s="179">
        <f>(D615/D612)*AM76</f>
        <v>0</v>
      </c>
      <c r="E704" s="179">
        <f>(E623/E612)*SUM(C704:D704)</f>
        <v>0</v>
      </c>
      <c r="F704" s="179">
        <f>(F624/F612)*AM64</f>
        <v>0</v>
      </c>
      <c r="G704" s="179">
        <f>(G625/G612)*AM77</f>
        <v>0</v>
      </c>
      <c r="H704" s="179">
        <f>(H628/H612)*AM60</f>
        <v>0</v>
      </c>
      <c r="I704" s="179">
        <f>(I629/I612)*AM78</f>
        <v>0</v>
      </c>
      <c r="J704" s="179">
        <f>(J630/J612)*AM79</f>
        <v>0</v>
      </c>
      <c r="K704" s="179">
        <f>(K644/K612)*AM75</f>
        <v>0</v>
      </c>
      <c r="L704" s="179">
        <f>(L647/L612)*AM80</f>
        <v>0</v>
      </c>
      <c r="M704" s="179">
        <f t="shared" si="20"/>
        <v>0</v>
      </c>
      <c r="N704" s="197" t="s">
        <v>724</v>
      </c>
    </row>
    <row r="705" spans="1:15" ht="12.6" customHeight="1" x14ac:dyDescent="0.25">
      <c r="A705" s="195">
        <v>7340</v>
      </c>
      <c r="B705" s="197" t="s">
        <v>725</v>
      </c>
      <c r="C705" s="179">
        <f>AN71</f>
        <v>0</v>
      </c>
      <c r="D705" s="179">
        <f>(D615/D612)*AN76</f>
        <v>0</v>
      </c>
      <c r="E705" s="179">
        <f>(E623/E612)*SUM(C705:D705)</f>
        <v>0</v>
      </c>
      <c r="F705" s="179">
        <f>(F624/F612)*AN64</f>
        <v>0</v>
      </c>
      <c r="G705" s="179">
        <f>(G625/G612)*AN77</f>
        <v>0</v>
      </c>
      <c r="H705" s="179">
        <f>(H628/H612)*AN60</f>
        <v>0</v>
      </c>
      <c r="I705" s="179">
        <f>(I629/I612)*AN78</f>
        <v>0</v>
      </c>
      <c r="J705" s="179">
        <f>(J630/J612)*AN79</f>
        <v>0</v>
      </c>
      <c r="K705" s="179">
        <f>(K644/K612)*AN75</f>
        <v>0</v>
      </c>
      <c r="L705" s="179">
        <f>(L647/L612)*AN80</f>
        <v>0</v>
      </c>
      <c r="M705" s="179">
        <f t="shared" si="20"/>
        <v>0</v>
      </c>
      <c r="N705" s="197" t="s">
        <v>726</v>
      </c>
    </row>
    <row r="706" spans="1:15" ht="12.6" customHeight="1" x14ac:dyDescent="0.25">
      <c r="A706" s="195">
        <v>7350</v>
      </c>
      <c r="B706" s="197" t="s">
        <v>727</v>
      </c>
      <c r="C706" s="179">
        <f>AO71</f>
        <v>0</v>
      </c>
      <c r="D706" s="179">
        <f>(D615/D612)*AO76</f>
        <v>0</v>
      </c>
      <c r="E706" s="179">
        <f>(E623/E612)*SUM(C706:D706)</f>
        <v>0</v>
      </c>
      <c r="F706" s="179">
        <f>(F624/F612)*AO64</f>
        <v>0</v>
      </c>
      <c r="G706" s="179">
        <f>(G625/G612)*AO77</f>
        <v>0</v>
      </c>
      <c r="H706" s="179">
        <f>(H628/H612)*AO60</f>
        <v>0</v>
      </c>
      <c r="I706" s="179">
        <f>(I629/I612)*AO78</f>
        <v>0</v>
      </c>
      <c r="J706" s="179">
        <f>(J630/J612)*AO79</f>
        <v>0</v>
      </c>
      <c r="K706" s="179">
        <f>(K644/K612)*AO75</f>
        <v>0</v>
      </c>
      <c r="L706" s="179">
        <f>(L647/L612)*AO80</f>
        <v>0</v>
      </c>
      <c r="M706" s="179">
        <f t="shared" si="20"/>
        <v>0</v>
      </c>
      <c r="N706" s="197" t="s">
        <v>728</v>
      </c>
    </row>
    <row r="707" spans="1:15" ht="12.6" customHeight="1" x14ac:dyDescent="0.25">
      <c r="A707" s="195">
        <v>7380</v>
      </c>
      <c r="B707" s="197" t="s">
        <v>729</v>
      </c>
      <c r="C707" s="179">
        <f>AP71</f>
        <v>68084707.111000001</v>
      </c>
      <c r="D707" s="179">
        <f>(D615/D612)*AP76</f>
        <v>3915340.5994511177</v>
      </c>
      <c r="E707" s="179">
        <f>(E623/E612)*SUM(C707:D707)</f>
        <v>3545824.1546454811</v>
      </c>
      <c r="F707" s="179">
        <f>(F624/F612)*AP64</f>
        <v>158316.02537677644</v>
      </c>
      <c r="G707" s="179">
        <f>(G625/G612)*AP77</f>
        <v>0</v>
      </c>
      <c r="H707" s="179">
        <f>(H628/H612)*AP60</f>
        <v>1243741.8291217599</v>
      </c>
      <c r="I707" s="179">
        <f>(I629/I612)*AP78</f>
        <v>1115399.3747372213</v>
      </c>
      <c r="J707" s="179">
        <f>(J630/J612)*AP79</f>
        <v>0</v>
      </c>
      <c r="K707" s="179">
        <f>(K644/K612)*AP75</f>
        <v>4367185.0450103385</v>
      </c>
      <c r="L707" s="179">
        <f>(L647/L612)*AP80</f>
        <v>138621.53127521044</v>
      </c>
      <c r="M707" s="179">
        <f t="shared" si="20"/>
        <v>14484429</v>
      </c>
      <c r="N707" s="197" t="s">
        <v>730</v>
      </c>
    </row>
    <row r="708" spans="1:15" ht="12.6" customHeight="1" x14ac:dyDescent="0.25">
      <c r="A708" s="195">
        <v>7390</v>
      </c>
      <c r="B708" s="197" t="s">
        <v>731</v>
      </c>
      <c r="C708" s="179">
        <f>AQ71</f>
        <v>0</v>
      </c>
      <c r="D708" s="179">
        <f>(D615/D612)*AQ76</f>
        <v>0</v>
      </c>
      <c r="E708" s="179">
        <f>(E623/E612)*SUM(C708:D708)</f>
        <v>0</v>
      </c>
      <c r="F708" s="179">
        <f>(F624/F612)*AQ64</f>
        <v>0</v>
      </c>
      <c r="G708" s="179">
        <f>(G625/G612)*AQ77</f>
        <v>0</v>
      </c>
      <c r="H708" s="179">
        <f>(H628/H612)*AQ60</f>
        <v>0</v>
      </c>
      <c r="I708" s="179">
        <f>(I629/I612)*AQ78</f>
        <v>0</v>
      </c>
      <c r="J708" s="179">
        <f>(J630/J612)*AQ79</f>
        <v>0</v>
      </c>
      <c r="K708" s="179">
        <f>(K644/K612)*AQ75</f>
        <v>0</v>
      </c>
      <c r="L708" s="179">
        <f>(L647/L612)*AQ80</f>
        <v>0</v>
      </c>
      <c r="M708" s="179">
        <f t="shared" si="20"/>
        <v>0</v>
      </c>
      <c r="N708" s="197" t="s">
        <v>732</v>
      </c>
    </row>
    <row r="709" spans="1:15" ht="12.6" customHeight="1" x14ac:dyDescent="0.25">
      <c r="A709" s="195">
        <v>7400</v>
      </c>
      <c r="B709" s="197" t="s">
        <v>733</v>
      </c>
      <c r="C709" s="179">
        <f>AR71</f>
        <v>63271759.472000003</v>
      </c>
      <c r="D709" s="179">
        <f>(D615/D612)*AR76</f>
        <v>438497.92821388127</v>
      </c>
      <c r="E709" s="179">
        <f>(E623/E612)*SUM(C709:D709)</f>
        <v>3137572.4985188898</v>
      </c>
      <c r="F709" s="179">
        <f>(F624/F612)*AR64</f>
        <v>115178.91360000665</v>
      </c>
      <c r="G709" s="179">
        <f>(G625/G612)*AR77</f>
        <v>0</v>
      </c>
      <c r="H709" s="179">
        <f>(H628/H612)*AR60</f>
        <v>1442021.0170241643</v>
      </c>
      <c r="I709" s="179">
        <f>(I629/I612)*AR78</f>
        <v>124945.28171784201</v>
      </c>
      <c r="J709" s="179">
        <f>(J630/J612)*AR79</f>
        <v>0</v>
      </c>
      <c r="K709" s="179">
        <f>(K644/K612)*AR75</f>
        <v>5210797.5374812195</v>
      </c>
      <c r="L709" s="179">
        <f>(L647/L612)*AR80</f>
        <v>1693249.25000457</v>
      </c>
      <c r="M709" s="179">
        <f t="shared" si="20"/>
        <v>12162262</v>
      </c>
      <c r="N709" s="197" t="s">
        <v>734</v>
      </c>
    </row>
    <row r="710" spans="1:15" ht="12.6" customHeight="1" x14ac:dyDescent="0.25">
      <c r="A710" s="195">
        <v>7410</v>
      </c>
      <c r="B710" s="197" t="s">
        <v>129</v>
      </c>
      <c r="C710" s="179">
        <f>AS71</f>
        <v>0</v>
      </c>
      <c r="D710" s="179">
        <f>(D615/D612)*AS76</f>
        <v>0</v>
      </c>
      <c r="E710" s="179">
        <f>(E623/E612)*SUM(C710:D710)</f>
        <v>0</v>
      </c>
      <c r="F710" s="179">
        <f>(F624/F612)*AS64</f>
        <v>0</v>
      </c>
      <c r="G710" s="179">
        <f>(G625/G612)*AS77</f>
        <v>0</v>
      </c>
      <c r="H710" s="179">
        <f>(H628/H612)*AS60</f>
        <v>0</v>
      </c>
      <c r="I710" s="179">
        <f>(I629/I612)*AS78</f>
        <v>0</v>
      </c>
      <c r="J710" s="179">
        <f>(J630/J612)*AS79</f>
        <v>0</v>
      </c>
      <c r="K710" s="179">
        <f>(K644/K612)*AS75</f>
        <v>0</v>
      </c>
      <c r="L710" s="179">
        <f>(L647/L612)*AS80</f>
        <v>0</v>
      </c>
      <c r="M710" s="179">
        <f t="shared" si="20"/>
        <v>0</v>
      </c>
      <c r="N710" s="197" t="s">
        <v>735</v>
      </c>
    </row>
    <row r="711" spans="1:15" ht="12.6" customHeight="1" x14ac:dyDescent="0.25">
      <c r="A711" s="195">
        <v>7420</v>
      </c>
      <c r="B711" s="197" t="s">
        <v>736</v>
      </c>
      <c r="C711" s="179">
        <f>AT71</f>
        <v>0</v>
      </c>
      <c r="D711" s="179">
        <f>(D615/D612)*AT76</f>
        <v>0</v>
      </c>
      <c r="E711" s="179">
        <f>(E623/E612)*SUM(C711:D711)</f>
        <v>0</v>
      </c>
      <c r="F711" s="179">
        <f>(F624/F612)*AT64</f>
        <v>0</v>
      </c>
      <c r="G711" s="179">
        <f>(G625/G612)*AT77</f>
        <v>0</v>
      </c>
      <c r="H711" s="179">
        <f>(H628/H612)*AT60</f>
        <v>0</v>
      </c>
      <c r="I711" s="179">
        <f>(I629/I612)*AT78</f>
        <v>0</v>
      </c>
      <c r="J711" s="179">
        <f>(J630/J612)*AT79</f>
        <v>0</v>
      </c>
      <c r="K711" s="179">
        <f>(K644/K612)*AT75</f>
        <v>0</v>
      </c>
      <c r="L711" s="179">
        <f>(L647/L612)*AT80</f>
        <v>0</v>
      </c>
      <c r="M711" s="179">
        <f t="shared" si="20"/>
        <v>0</v>
      </c>
      <c r="N711" s="197" t="s">
        <v>737</v>
      </c>
    </row>
    <row r="712" spans="1:15" ht="12.6" customHeight="1" x14ac:dyDescent="0.25">
      <c r="A712" s="195">
        <v>7430</v>
      </c>
      <c r="B712" s="197" t="s">
        <v>738</v>
      </c>
      <c r="C712" s="179">
        <f>AU71</f>
        <v>0</v>
      </c>
      <c r="D712" s="179">
        <f>(D615/D612)*AU76</f>
        <v>0</v>
      </c>
      <c r="E712" s="179">
        <f>(E623/E612)*SUM(C712:D712)</f>
        <v>0</v>
      </c>
      <c r="F712" s="179">
        <f>(F624/F612)*AU64</f>
        <v>0</v>
      </c>
      <c r="G712" s="179">
        <f>(G625/G612)*AU77</f>
        <v>0</v>
      </c>
      <c r="H712" s="179">
        <f>(H628/H612)*AU60</f>
        <v>0</v>
      </c>
      <c r="I712" s="179">
        <f>(I629/I612)*AU78</f>
        <v>0</v>
      </c>
      <c r="J712" s="179">
        <f>(J630/J612)*AU79</f>
        <v>0</v>
      </c>
      <c r="K712" s="179">
        <f>(K644/K612)*AU75</f>
        <v>0</v>
      </c>
      <c r="L712" s="179">
        <f>(L647/L612)*AU80</f>
        <v>0</v>
      </c>
      <c r="M712" s="179">
        <f t="shared" si="20"/>
        <v>0</v>
      </c>
      <c r="N712" s="197" t="s">
        <v>739</v>
      </c>
    </row>
    <row r="713" spans="1:15" ht="12.6" customHeight="1" x14ac:dyDescent="0.25">
      <c r="A713" s="195">
        <v>7490</v>
      </c>
      <c r="B713" s="197" t="s">
        <v>740</v>
      </c>
      <c r="C713" s="179">
        <f>AV71</f>
        <v>3099763.5199999986</v>
      </c>
      <c r="D713" s="179">
        <f>(D615/D612)*AV76</f>
        <v>293693.41991064558</v>
      </c>
      <c r="E713" s="179">
        <f>(E623/E612)*SUM(C713:D713)</f>
        <v>167119.35572145344</v>
      </c>
      <c r="F713" s="179">
        <f>(F624/F612)*AV64</f>
        <v>161932.36540623213</v>
      </c>
      <c r="G713" s="179">
        <f>(G625/G612)*AV77</f>
        <v>0</v>
      </c>
      <c r="H713" s="179">
        <f>(H628/H612)*AV60</f>
        <v>75941.413685622014</v>
      </c>
      <c r="I713" s="179">
        <f>(I629/I612)*AV78</f>
        <v>83666.630234424112</v>
      </c>
      <c r="J713" s="179">
        <f>(J630/J612)*AV79</f>
        <v>10340.287489682269</v>
      </c>
      <c r="K713" s="179">
        <f>(K644/K612)*AV75</f>
        <v>546038.89199594886</v>
      </c>
      <c r="L713" s="179">
        <f>(L647/L612)*AV80</f>
        <v>653600.59250708378</v>
      </c>
      <c r="M713" s="179">
        <f t="shared" si="20"/>
        <v>1992333</v>
      </c>
      <c r="N713" s="198" t="s">
        <v>741</v>
      </c>
    </row>
    <row r="715" spans="1:15" ht="12.6" customHeight="1" x14ac:dyDescent="0.25">
      <c r="C715" s="179">
        <f>SUM(C614:C647)+SUM(C668:C713)</f>
        <v>660751101.30599999</v>
      </c>
      <c r="D715" s="179">
        <f>SUM(D616:D647)+SUM(D668:D713)</f>
        <v>25367867.870000005</v>
      </c>
      <c r="E715" s="179">
        <f>SUM(E624:E647)+SUM(E668:E713)</f>
        <v>31013040.916427348</v>
      </c>
      <c r="F715" s="179">
        <f>SUM(F625:F648)+SUM(F668:F713)</f>
        <v>3160691.7781407065</v>
      </c>
      <c r="G715" s="179">
        <f>SUM(G626:G647)+SUM(G668:G713)</f>
        <v>0</v>
      </c>
      <c r="H715" s="179">
        <f>SUM(H629:H647)+SUM(H668:H713)</f>
        <v>11046744.935207475</v>
      </c>
      <c r="I715" s="179">
        <f>SUM(I630:I647)+SUM(I668:I713)</f>
        <v>6659641.9012066415</v>
      </c>
      <c r="J715" s="179">
        <f>SUM(J631:J647)+SUM(J668:J713)</f>
        <v>519719.23900050082</v>
      </c>
      <c r="K715" s="179">
        <f>SUM(K668:K713)</f>
        <v>76609193.106094792</v>
      </c>
      <c r="L715" s="179">
        <f>SUM(L668:L713)</f>
        <v>9672962.6051666364</v>
      </c>
      <c r="M715" s="179">
        <f>SUM(M668:M713)</f>
        <v>150363435</v>
      </c>
      <c r="N715" s="197" t="s">
        <v>742</v>
      </c>
    </row>
    <row r="716" spans="1:15" ht="12.6" customHeight="1" x14ac:dyDescent="0.25">
      <c r="C716" s="179">
        <f>CE71</f>
        <v>660751101.30599988</v>
      </c>
      <c r="D716" s="179">
        <f>D615</f>
        <v>25367867.870000001</v>
      </c>
      <c r="E716" s="179">
        <f>E623</f>
        <v>31013040.916427348</v>
      </c>
      <c r="F716" s="179">
        <f>F624</f>
        <v>3160691.778140706</v>
      </c>
      <c r="G716" s="179">
        <f>G625</f>
        <v>0</v>
      </c>
      <c r="H716" s="179">
        <f>H628</f>
        <v>11046744.935207479</v>
      </c>
      <c r="I716" s="179">
        <f>I629</f>
        <v>6659641.9012066415</v>
      </c>
      <c r="J716" s="179">
        <f>J630</f>
        <v>519719.23900050082</v>
      </c>
      <c r="K716" s="179">
        <f>K644</f>
        <v>76609193.106094807</v>
      </c>
      <c r="L716" s="179">
        <f>L647</f>
        <v>9672962.6051666364</v>
      </c>
      <c r="M716" s="179">
        <f>C648</f>
        <v>150363436.528</v>
      </c>
      <c r="N716" s="197" t="s">
        <v>743</v>
      </c>
    </row>
    <row r="717" spans="1:15" ht="12.6" customHeight="1" x14ac:dyDescent="0.25">
      <c r="O717" s="197"/>
    </row>
    <row r="718" spans="1:15" ht="12.6" customHeight="1" x14ac:dyDescent="0.25">
      <c r="O718" s="197"/>
    </row>
    <row r="719" spans="1:15" ht="12.6" customHeight="1" x14ac:dyDescent="0.25">
      <c r="O719" s="197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4" fitToHeight="0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6" transitionEvaluation="1" transitionEntry="1" codeName="Sheet10">
    <pageSetUpPr autoPageBreaks="0" fitToPage="1"/>
  </sheetPr>
  <dimension ref="A1:CF817"/>
  <sheetViews>
    <sheetView showGridLines="0" topLeftCell="A16" zoomScale="75" workbookViewId="0">
      <selection activeCell="I38" sqref="I38"/>
    </sheetView>
  </sheetViews>
  <sheetFormatPr defaultColWidth="11.75" defaultRowHeight="12.6" customHeight="1" x14ac:dyDescent="0.25"/>
  <cols>
    <col min="1" max="1" width="29.58203125" style="179" customWidth="1"/>
    <col min="2" max="2" width="15.58203125" style="179" customWidth="1"/>
    <col min="3" max="3" width="14.75" style="179" customWidth="1"/>
    <col min="4" max="4" width="13.25" style="179" customWidth="1"/>
    <col min="5" max="16384" width="11.75" style="179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8"/>
      <c r="C3" s="235"/>
    </row>
    <row r="4" spans="1:6" ht="12.75" customHeight="1" x14ac:dyDescent="0.25">
      <c r="C4" s="235"/>
    </row>
    <row r="5" spans="1:6" ht="12.75" customHeight="1" x14ac:dyDescent="0.25">
      <c r="A5" s="198" t="s">
        <v>1258</v>
      </c>
      <c r="C5" s="235"/>
    </row>
    <row r="6" spans="1:6" ht="12.75" customHeight="1" x14ac:dyDescent="0.25">
      <c r="A6" s="198" t="s">
        <v>0</v>
      </c>
      <c r="C6" s="235"/>
    </row>
    <row r="7" spans="1:6" ht="12.75" customHeight="1" x14ac:dyDescent="0.25">
      <c r="A7" s="198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7" t="s">
        <v>1228</v>
      </c>
      <c r="C10" s="235"/>
    </row>
    <row r="11" spans="1:6" ht="12.75" customHeight="1" x14ac:dyDescent="0.25">
      <c r="A11" s="197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8" t="s">
        <v>2</v>
      </c>
      <c r="C14" s="235"/>
    </row>
    <row r="15" spans="1:6" ht="12.75" customHeight="1" x14ac:dyDescent="0.25">
      <c r="A15" s="198"/>
      <c r="C15" s="235"/>
    </row>
    <row r="16" spans="1:6" ht="12.75" customHeight="1" x14ac:dyDescent="0.25">
      <c r="A16" s="179" t="s">
        <v>1260</v>
      </c>
      <c r="C16" s="235"/>
      <c r="F16" s="282" t="s">
        <v>1259</v>
      </c>
    </row>
    <row r="17" spans="1:6" ht="12.75" customHeight="1" x14ac:dyDescent="0.25">
      <c r="A17" s="179" t="s">
        <v>1230</v>
      </c>
      <c r="C17" s="282" t="s">
        <v>1259</v>
      </c>
    </row>
    <row r="18" spans="1:6" ht="12.75" customHeight="1" x14ac:dyDescent="0.25">
      <c r="A18" s="227"/>
      <c r="C18" s="235"/>
    </row>
    <row r="19" spans="1:6" ht="12.75" customHeight="1" x14ac:dyDescent="0.25">
      <c r="C19" s="235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8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8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7" t="s">
        <v>1235</v>
      </c>
      <c r="C25" s="235"/>
    </row>
    <row r="26" spans="1:6" ht="12.6" customHeight="1" x14ac:dyDescent="0.25">
      <c r="A26" s="198" t="s">
        <v>4</v>
      </c>
      <c r="C26" s="235"/>
    </row>
    <row r="27" spans="1:6" ht="12.6" customHeight="1" x14ac:dyDescent="0.25">
      <c r="A27" s="197" t="s">
        <v>1236</v>
      </c>
      <c r="C27" s="235"/>
    </row>
    <row r="28" spans="1:6" ht="12.6" customHeight="1" x14ac:dyDescent="0.25">
      <c r="A28" s="198" t="s">
        <v>5</v>
      </c>
      <c r="C28" s="235"/>
    </row>
    <row r="29" spans="1:6" ht="12.6" customHeight="1" x14ac:dyDescent="0.25">
      <c r="A29" s="197"/>
      <c r="C29" s="235"/>
    </row>
    <row r="30" spans="1:6" ht="12.6" customHeight="1" x14ac:dyDescent="0.25">
      <c r="A30" s="179" t="s">
        <v>6</v>
      </c>
      <c r="C30" s="235"/>
    </row>
    <row r="31" spans="1:6" ht="12.6" customHeight="1" x14ac:dyDescent="0.25">
      <c r="A31" s="198" t="s">
        <v>7</v>
      </c>
      <c r="C31" s="235"/>
    </row>
    <row r="32" spans="1:6" ht="12.6" customHeight="1" x14ac:dyDescent="0.25">
      <c r="A32" s="198" t="s">
        <v>8</v>
      </c>
      <c r="C32" s="235"/>
    </row>
    <row r="33" spans="1:83" ht="12.6" customHeight="1" x14ac:dyDescent="0.25">
      <c r="A33" s="197" t="s">
        <v>1237</v>
      </c>
      <c r="C33" s="235"/>
    </row>
    <row r="34" spans="1:83" ht="12.6" customHeight="1" x14ac:dyDescent="0.25">
      <c r="A34" s="198" t="s">
        <v>9</v>
      </c>
      <c r="C34" s="235"/>
    </row>
    <row r="35" spans="1:83" ht="12.6" customHeight="1" x14ac:dyDescent="0.25">
      <c r="A35" s="198"/>
      <c r="C35" s="235"/>
    </row>
    <row r="36" spans="1:83" ht="12.6" customHeight="1" x14ac:dyDescent="0.25">
      <c r="A36" s="197" t="s">
        <v>1238</v>
      </c>
      <c r="C36" s="235"/>
    </row>
    <row r="37" spans="1:83" ht="12.6" customHeight="1" x14ac:dyDescent="0.25">
      <c r="A37" s="198" t="s">
        <v>1229</v>
      </c>
      <c r="C37" s="235"/>
    </row>
    <row r="38" spans="1:83" ht="12" customHeight="1" x14ac:dyDescent="0.25">
      <c r="A38" s="197"/>
      <c r="C38" s="235"/>
    </row>
    <row r="39" spans="1:83" ht="12.6" customHeight="1" x14ac:dyDescent="0.25">
      <c r="A39" s="198"/>
      <c r="C39" s="235"/>
    </row>
    <row r="40" spans="1:83" ht="12" customHeight="1" x14ac:dyDescent="0.25">
      <c r="A40" s="198"/>
      <c r="C40" s="235"/>
    </row>
    <row r="41" spans="1:83" ht="12" customHeight="1" x14ac:dyDescent="0.25">
      <c r="A41" s="198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8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8"/>
      <c r="C43" s="235"/>
      <c r="F43" s="180"/>
    </row>
    <row r="44" spans="1:83" ht="12" customHeight="1" x14ac:dyDescent="0.25">
      <c r="A44" s="174"/>
      <c r="B44" s="174"/>
      <c r="C44" s="181" t="s">
        <v>10</v>
      </c>
      <c r="D44" s="169" t="s">
        <v>11</v>
      </c>
      <c r="E44" s="169" t="s">
        <v>12</v>
      </c>
      <c r="F44" s="169" t="s">
        <v>13</v>
      </c>
      <c r="G44" s="169" t="s">
        <v>14</v>
      </c>
      <c r="H44" s="169" t="s">
        <v>15</v>
      </c>
      <c r="I44" s="169" t="s">
        <v>16</v>
      </c>
      <c r="J44" s="169" t="s">
        <v>17</v>
      </c>
      <c r="K44" s="169" t="s">
        <v>18</v>
      </c>
      <c r="L44" s="169" t="s">
        <v>19</v>
      </c>
      <c r="M44" s="169" t="s">
        <v>20</v>
      </c>
      <c r="N44" s="169" t="s">
        <v>21</v>
      </c>
      <c r="O44" s="169" t="s">
        <v>22</v>
      </c>
      <c r="P44" s="169" t="s">
        <v>23</v>
      </c>
      <c r="Q44" s="169" t="s">
        <v>24</v>
      </c>
      <c r="R44" s="169" t="s">
        <v>25</v>
      </c>
      <c r="S44" s="169" t="s">
        <v>26</v>
      </c>
      <c r="T44" s="169" t="s">
        <v>27</v>
      </c>
      <c r="U44" s="169" t="s">
        <v>28</v>
      </c>
      <c r="V44" s="169" t="s">
        <v>29</v>
      </c>
      <c r="W44" s="169" t="s">
        <v>30</v>
      </c>
      <c r="X44" s="169" t="s">
        <v>31</v>
      </c>
      <c r="Y44" s="169" t="s">
        <v>32</v>
      </c>
      <c r="Z44" s="169" t="s">
        <v>33</v>
      </c>
      <c r="AA44" s="169" t="s">
        <v>34</v>
      </c>
      <c r="AB44" s="169" t="s">
        <v>35</v>
      </c>
      <c r="AC44" s="169" t="s">
        <v>36</v>
      </c>
      <c r="AD44" s="169" t="s">
        <v>37</v>
      </c>
      <c r="AE44" s="169" t="s">
        <v>38</v>
      </c>
      <c r="AF44" s="169" t="s">
        <v>39</v>
      </c>
      <c r="AG44" s="169" t="s">
        <v>40</v>
      </c>
      <c r="AH44" s="169" t="s">
        <v>41</v>
      </c>
      <c r="AI44" s="169" t="s">
        <v>42</v>
      </c>
      <c r="AJ44" s="169" t="s">
        <v>43</v>
      </c>
      <c r="AK44" s="169" t="s">
        <v>44</v>
      </c>
      <c r="AL44" s="169" t="s">
        <v>45</v>
      </c>
      <c r="AM44" s="169" t="s">
        <v>46</v>
      </c>
      <c r="AN44" s="169" t="s">
        <v>47</v>
      </c>
      <c r="AO44" s="169" t="s">
        <v>48</v>
      </c>
      <c r="AP44" s="169" t="s">
        <v>49</v>
      </c>
      <c r="AQ44" s="169" t="s">
        <v>50</v>
      </c>
      <c r="AR44" s="169" t="s">
        <v>51</v>
      </c>
      <c r="AS44" s="169" t="s">
        <v>52</v>
      </c>
      <c r="AT44" s="169" t="s">
        <v>53</v>
      </c>
      <c r="AU44" s="169" t="s">
        <v>54</v>
      </c>
      <c r="AV44" s="169" t="s">
        <v>55</v>
      </c>
      <c r="AW44" s="169" t="s">
        <v>56</v>
      </c>
      <c r="AX44" s="169" t="s">
        <v>57</v>
      </c>
      <c r="AY44" s="169" t="s">
        <v>58</v>
      </c>
      <c r="AZ44" s="169" t="s">
        <v>59</v>
      </c>
      <c r="BA44" s="169" t="s">
        <v>60</v>
      </c>
      <c r="BB44" s="169" t="s">
        <v>61</v>
      </c>
      <c r="BC44" s="169" t="s">
        <v>62</v>
      </c>
      <c r="BD44" s="169" t="s">
        <v>63</v>
      </c>
      <c r="BE44" s="169" t="s">
        <v>64</v>
      </c>
      <c r="BF44" s="169" t="s">
        <v>65</v>
      </c>
      <c r="BG44" s="169" t="s">
        <v>66</v>
      </c>
      <c r="BH44" s="169" t="s">
        <v>67</v>
      </c>
      <c r="BI44" s="169" t="s">
        <v>68</v>
      </c>
      <c r="BJ44" s="169" t="s">
        <v>69</v>
      </c>
      <c r="BK44" s="169" t="s">
        <v>70</v>
      </c>
      <c r="BL44" s="169" t="s">
        <v>71</v>
      </c>
      <c r="BM44" s="169" t="s">
        <v>72</v>
      </c>
      <c r="BN44" s="169" t="s">
        <v>73</v>
      </c>
      <c r="BO44" s="169" t="s">
        <v>74</v>
      </c>
      <c r="BP44" s="169" t="s">
        <v>75</v>
      </c>
      <c r="BQ44" s="169" t="s">
        <v>76</v>
      </c>
      <c r="BR44" s="169" t="s">
        <v>77</v>
      </c>
      <c r="BS44" s="169" t="s">
        <v>78</v>
      </c>
      <c r="BT44" s="169" t="s">
        <v>79</v>
      </c>
      <c r="BU44" s="169" t="s">
        <v>80</v>
      </c>
      <c r="BV44" s="169" t="s">
        <v>81</v>
      </c>
      <c r="BW44" s="169" t="s">
        <v>82</v>
      </c>
      <c r="BX44" s="169" t="s">
        <v>83</v>
      </c>
      <c r="BY44" s="169" t="s">
        <v>84</v>
      </c>
      <c r="BZ44" s="169" t="s">
        <v>85</v>
      </c>
      <c r="CA44" s="169" t="s">
        <v>86</v>
      </c>
      <c r="CB44" s="169" t="s">
        <v>87</v>
      </c>
      <c r="CC44" s="169" t="s">
        <v>88</v>
      </c>
      <c r="CD44" s="169" t="s">
        <v>89</v>
      </c>
      <c r="CE44" s="169" t="s">
        <v>90</v>
      </c>
    </row>
    <row r="45" spans="1:83" ht="12" customHeight="1" x14ac:dyDescent="0.25">
      <c r="A45" s="174"/>
      <c r="B45" s="243" t="s">
        <v>91</v>
      </c>
      <c r="C45" s="181" t="s">
        <v>92</v>
      </c>
      <c r="D45" s="169" t="s">
        <v>93</v>
      </c>
      <c r="E45" s="169" t="s">
        <v>94</v>
      </c>
      <c r="F45" s="169" t="s">
        <v>95</v>
      </c>
      <c r="G45" s="169" t="s">
        <v>96</v>
      </c>
      <c r="H45" s="169" t="s">
        <v>97</v>
      </c>
      <c r="I45" s="169" t="s">
        <v>98</v>
      </c>
      <c r="J45" s="169" t="s">
        <v>99</v>
      </c>
      <c r="K45" s="169" t="s">
        <v>100</v>
      </c>
      <c r="L45" s="169" t="s">
        <v>101</v>
      </c>
      <c r="M45" s="169" t="s">
        <v>102</v>
      </c>
      <c r="N45" s="169" t="s">
        <v>103</v>
      </c>
      <c r="O45" s="169" t="s">
        <v>104</v>
      </c>
      <c r="P45" s="169" t="s">
        <v>105</v>
      </c>
      <c r="Q45" s="169" t="s">
        <v>106</v>
      </c>
      <c r="R45" s="169" t="s">
        <v>107</v>
      </c>
      <c r="S45" s="169" t="s">
        <v>108</v>
      </c>
      <c r="T45" s="169" t="s">
        <v>1194</v>
      </c>
      <c r="U45" s="169" t="s">
        <v>109</v>
      </c>
      <c r="V45" s="169" t="s">
        <v>110</v>
      </c>
      <c r="W45" s="169" t="s">
        <v>111</v>
      </c>
      <c r="X45" s="169" t="s">
        <v>112</v>
      </c>
      <c r="Y45" s="169" t="s">
        <v>113</v>
      </c>
      <c r="Z45" s="169" t="s">
        <v>113</v>
      </c>
      <c r="AA45" s="169" t="s">
        <v>114</v>
      </c>
      <c r="AB45" s="169" t="s">
        <v>115</v>
      </c>
      <c r="AC45" s="169" t="s">
        <v>116</v>
      </c>
      <c r="AD45" s="169" t="s">
        <v>117</v>
      </c>
      <c r="AE45" s="169" t="s">
        <v>96</v>
      </c>
      <c r="AF45" s="169" t="s">
        <v>97</v>
      </c>
      <c r="AG45" s="169" t="s">
        <v>118</v>
      </c>
      <c r="AH45" s="169" t="s">
        <v>119</v>
      </c>
      <c r="AI45" s="169" t="s">
        <v>120</v>
      </c>
      <c r="AJ45" s="169" t="s">
        <v>121</v>
      </c>
      <c r="AK45" s="169" t="s">
        <v>122</v>
      </c>
      <c r="AL45" s="169" t="s">
        <v>123</v>
      </c>
      <c r="AM45" s="169" t="s">
        <v>124</v>
      </c>
      <c r="AN45" s="169" t="s">
        <v>110</v>
      </c>
      <c r="AO45" s="169" t="s">
        <v>125</v>
      </c>
      <c r="AP45" s="169" t="s">
        <v>126</v>
      </c>
      <c r="AQ45" s="169" t="s">
        <v>127</v>
      </c>
      <c r="AR45" s="169" t="s">
        <v>128</v>
      </c>
      <c r="AS45" s="169" t="s">
        <v>129</v>
      </c>
      <c r="AT45" s="169" t="s">
        <v>130</v>
      </c>
      <c r="AU45" s="169" t="s">
        <v>131</v>
      </c>
      <c r="AV45" s="169" t="s">
        <v>132</v>
      </c>
      <c r="AW45" s="169" t="s">
        <v>133</v>
      </c>
      <c r="AX45" s="169" t="s">
        <v>134</v>
      </c>
      <c r="AY45" s="169" t="s">
        <v>135</v>
      </c>
      <c r="AZ45" s="169" t="s">
        <v>136</v>
      </c>
      <c r="BA45" s="169" t="s">
        <v>137</v>
      </c>
      <c r="BB45" s="169" t="s">
        <v>138</v>
      </c>
      <c r="BC45" s="169" t="s">
        <v>108</v>
      </c>
      <c r="BD45" s="169" t="s">
        <v>139</v>
      </c>
      <c r="BE45" s="169" t="s">
        <v>140</v>
      </c>
      <c r="BF45" s="169" t="s">
        <v>141</v>
      </c>
      <c r="BG45" s="169" t="s">
        <v>142</v>
      </c>
      <c r="BH45" s="169" t="s">
        <v>143</v>
      </c>
      <c r="BI45" s="169" t="s">
        <v>144</v>
      </c>
      <c r="BJ45" s="169" t="s">
        <v>145</v>
      </c>
      <c r="BK45" s="169" t="s">
        <v>146</v>
      </c>
      <c r="BL45" s="169" t="s">
        <v>147</v>
      </c>
      <c r="BM45" s="169" t="s">
        <v>132</v>
      </c>
      <c r="BN45" s="169" t="s">
        <v>148</v>
      </c>
      <c r="BO45" s="169" t="s">
        <v>149</v>
      </c>
      <c r="BP45" s="169" t="s">
        <v>150</v>
      </c>
      <c r="BQ45" s="169" t="s">
        <v>151</v>
      </c>
      <c r="BR45" s="169" t="s">
        <v>152</v>
      </c>
      <c r="BS45" s="169" t="s">
        <v>153</v>
      </c>
      <c r="BT45" s="169" t="s">
        <v>154</v>
      </c>
      <c r="BU45" s="169" t="s">
        <v>155</v>
      </c>
      <c r="BV45" s="169" t="s">
        <v>155</v>
      </c>
      <c r="BW45" s="169" t="s">
        <v>155</v>
      </c>
      <c r="BX45" s="169" t="s">
        <v>156</v>
      </c>
      <c r="BY45" s="169" t="s">
        <v>157</v>
      </c>
      <c r="BZ45" s="169" t="s">
        <v>158</v>
      </c>
      <c r="CA45" s="169" t="s">
        <v>159</v>
      </c>
      <c r="CB45" s="169" t="s">
        <v>160</v>
      </c>
      <c r="CC45" s="169" t="s">
        <v>132</v>
      </c>
      <c r="CD45" s="169"/>
      <c r="CE45" s="169" t="s">
        <v>161</v>
      </c>
    </row>
    <row r="46" spans="1:83" ht="12.6" customHeight="1" x14ac:dyDescent="0.25">
      <c r="A46" s="174" t="s">
        <v>3</v>
      </c>
      <c r="B46" s="169" t="s">
        <v>162</v>
      </c>
      <c r="C46" s="181" t="s">
        <v>163</v>
      </c>
      <c r="D46" s="169" t="s">
        <v>163</v>
      </c>
      <c r="E46" s="169" t="s">
        <v>163</v>
      </c>
      <c r="F46" s="169" t="s">
        <v>164</v>
      </c>
      <c r="G46" s="169" t="s">
        <v>165</v>
      </c>
      <c r="H46" s="169" t="s">
        <v>163</v>
      </c>
      <c r="I46" s="169" t="s">
        <v>166</v>
      </c>
      <c r="J46" s="169"/>
      <c r="K46" s="169" t="s">
        <v>157</v>
      </c>
      <c r="L46" s="169" t="s">
        <v>167</v>
      </c>
      <c r="M46" s="169" t="s">
        <v>168</v>
      </c>
      <c r="N46" s="169" t="s">
        <v>169</v>
      </c>
      <c r="O46" s="169" t="s">
        <v>170</v>
      </c>
      <c r="P46" s="169" t="s">
        <v>169</v>
      </c>
      <c r="Q46" s="169" t="s">
        <v>171</v>
      </c>
      <c r="R46" s="169"/>
      <c r="S46" s="169" t="s">
        <v>169</v>
      </c>
      <c r="T46" s="169" t="s">
        <v>172</v>
      </c>
      <c r="U46" s="169"/>
      <c r="V46" s="169" t="s">
        <v>173</v>
      </c>
      <c r="W46" s="169" t="s">
        <v>174</v>
      </c>
      <c r="X46" s="169" t="s">
        <v>175</v>
      </c>
      <c r="Y46" s="169" t="s">
        <v>176</v>
      </c>
      <c r="Z46" s="169" t="s">
        <v>177</v>
      </c>
      <c r="AA46" s="169" t="s">
        <v>178</v>
      </c>
      <c r="AB46" s="169"/>
      <c r="AC46" s="169" t="s">
        <v>172</v>
      </c>
      <c r="AD46" s="169"/>
      <c r="AE46" s="169" t="s">
        <v>172</v>
      </c>
      <c r="AF46" s="169" t="s">
        <v>179</v>
      </c>
      <c r="AG46" s="169" t="s">
        <v>171</v>
      </c>
      <c r="AH46" s="169"/>
      <c r="AI46" s="169" t="s">
        <v>180</v>
      </c>
      <c r="AJ46" s="169"/>
      <c r="AK46" s="169" t="s">
        <v>172</v>
      </c>
      <c r="AL46" s="169" t="s">
        <v>172</v>
      </c>
      <c r="AM46" s="169" t="s">
        <v>172</v>
      </c>
      <c r="AN46" s="169" t="s">
        <v>181</v>
      </c>
      <c r="AO46" s="169" t="s">
        <v>182</v>
      </c>
      <c r="AP46" s="169" t="s">
        <v>121</v>
      </c>
      <c r="AQ46" s="169" t="s">
        <v>183</v>
      </c>
      <c r="AR46" s="169" t="s">
        <v>169</v>
      </c>
      <c r="AS46" s="169"/>
      <c r="AT46" s="169" t="s">
        <v>184</v>
      </c>
      <c r="AU46" s="169" t="s">
        <v>185</v>
      </c>
      <c r="AV46" s="169" t="s">
        <v>186</v>
      </c>
      <c r="AW46" s="169" t="s">
        <v>187</v>
      </c>
      <c r="AX46" s="169" t="s">
        <v>188</v>
      </c>
      <c r="AY46" s="169"/>
      <c r="AZ46" s="169"/>
      <c r="BA46" s="169" t="s">
        <v>189</v>
      </c>
      <c r="BB46" s="169" t="s">
        <v>169</v>
      </c>
      <c r="BC46" s="169" t="s">
        <v>183</v>
      </c>
      <c r="BD46" s="169"/>
      <c r="BE46" s="169"/>
      <c r="BF46" s="169"/>
      <c r="BG46" s="169"/>
      <c r="BH46" s="169" t="s">
        <v>190</v>
      </c>
      <c r="BI46" s="169" t="s">
        <v>169</v>
      </c>
      <c r="BJ46" s="169"/>
      <c r="BK46" s="169" t="s">
        <v>191</v>
      </c>
      <c r="BL46" s="169"/>
      <c r="BM46" s="169" t="s">
        <v>192</v>
      </c>
      <c r="BN46" s="169" t="s">
        <v>193</v>
      </c>
      <c r="BO46" s="169" t="s">
        <v>194</v>
      </c>
      <c r="BP46" s="169" t="s">
        <v>195</v>
      </c>
      <c r="BQ46" s="169" t="s">
        <v>196</v>
      </c>
      <c r="BR46" s="169"/>
      <c r="BS46" s="169" t="s">
        <v>197</v>
      </c>
      <c r="BT46" s="169" t="s">
        <v>169</v>
      </c>
      <c r="BU46" s="169" t="s">
        <v>198</v>
      </c>
      <c r="BV46" s="169" t="s">
        <v>199</v>
      </c>
      <c r="BW46" s="169" t="s">
        <v>200</v>
      </c>
      <c r="BX46" s="169" t="s">
        <v>151</v>
      </c>
      <c r="BY46" s="169" t="s">
        <v>193</v>
      </c>
      <c r="BZ46" s="169" t="s">
        <v>152</v>
      </c>
      <c r="CA46" s="169" t="s">
        <v>201</v>
      </c>
      <c r="CB46" s="169" t="s">
        <v>201</v>
      </c>
      <c r="CC46" s="169" t="s">
        <v>202</v>
      </c>
      <c r="CD46" s="169"/>
      <c r="CE46" s="169" t="s">
        <v>203</v>
      </c>
    </row>
    <row r="47" spans="1:83" ht="12.6" customHeight="1" x14ac:dyDescent="0.25">
      <c r="A47" s="174" t="s">
        <v>204</v>
      </c>
      <c r="B47" s="182">
        <f>83289968.7-194881</f>
        <v>83095087.700000003</v>
      </c>
      <c r="C47" s="183">
        <v>3036275.0370000005</v>
      </c>
      <c r="D47" s="183">
        <v>1881582.93</v>
      </c>
      <c r="E47" s="183">
        <v>4180385.4000000004</v>
      </c>
      <c r="F47" s="183">
        <f>4518527.586-4241738</f>
        <v>276789.58600000013</v>
      </c>
      <c r="G47" s="183">
        <v>426504.22000000003</v>
      </c>
      <c r="H47" s="183"/>
      <c r="I47" s="183"/>
      <c r="J47" s="183"/>
      <c r="K47" s="183"/>
      <c r="L47" s="183"/>
      <c r="M47" s="183">
        <f>925482.86+141561</f>
        <v>1067043.8599999999</v>
      </c>
      <c r="N47" s="183">
        <v>2368911.46</v>
      </c>
      <c r="O47" s="183">
        <v>4241738</v>
      </c>
      <c r="P47" s="183">
        <v>3005622.37</v>
      </c>
      <c r="Q47" s="183">
        <v>838550.75799999991</v>
      </c>
      <c r="R47" s="183">
        <v>80247.290000000008</v>
      </c>
      <c r="S47" s="183">
        <v>305038.43</v>
      </c>
      <c r="T47" s="183">
        <v>0</v>
      </c>
      <c r="U47" s="183">
        <v>1941584.8900000001</v>
      </c>
      <c r="V47" s="183">
        <v>39805.49</v>
      </c>
      <c r="W47" s="183">
        <v>95197.81</v>
      </c>
      <c r="X47" s="183">
        <v>279248.57</v>
      </c>
      <c r="Y47" s="183">
        <v>2867986.091</v>
      </c>
      <c r="Z47" s="183">
        <v>635714.6399999999</v>
      </c>
      <c r="AA47" s="183">
        <v>81910.549999999988</v>
      </c>
      <c r="AB47" s="183">
        <v>1181271.55</v>
      </c>
      <c r="AC47" s="183">
        <v>543389.81000000006</v>
      </c>
      <c r="AD47" s="183">
        <v>0</v>
      </c>
      <c r="AE47" s="183">
        <v>1102432.1800000002</v>
      </c>
      <c r="AF47" s="183"/>
      <c r="AG47" s="183">
        <v>2514449.37</v>
      </c>
      <c r="AH47" s="183">
        <v>0</v>
      </c>
      <c r="AI47" s="183">
        <v>0</v>
      </c>
      <c r="AJ47" s="183">
        <v>8768752.1359999999</v>
      </c>
      <c r="AK47" s="183"/>
      <c r="AL47" s="183"/>
      <c r="AM47" s="183"/>
      <c r="AN47" s="183"/>
      <c r="AO47" s="183"/>
      <c r="AP47" s="183">
        <v>11022531.833000001</v>
      </c>
      <c r="AQ47" s="183"/>
      <c r="AR47" s="183">
        <f>8334723.055+1627956</f>
        <v>9962679.0549999997</v>
      </c>
      <c r="AS47" s="183">
        <v>0</v>
      </c>
      <c r="AT47" s="183"/>
      <c r="AU47" s="183"/>
      <c r="AV47" s="183">
        <v>528768.82999999996</v>
      </c>
      <c r="AW47" s="183">
        <v>179956.5</v>
      </c>
      <c r="AX47" s="183">
        <v>0</v>
      </c>
      <c r="AY47" s="183"/>
      <c r="AZ47" s="183">
        <v>922797.84000000008</v>
      </c>
      <c r="BA47" s="183">
        <v>74986.23</v>
      </c>
      <c r="BB47" s="183">
        <v>0</v>
      </c>
      <c r="BC47" s="183">
        <v>121947.95</v>
      </c>
      <c r="BD47" s="183">
        <v>555393.32000000007</v>
      </c>
      <c r="BE47" s="183">
        <v>896354.33400000003</v>
      </c>
      <c r="BF47" s="183">
        <v>1604177.27</v>
      </c>
      <c r="BG47" s="183">
        <v>365119.57999999996</v>
      </c>
      <c r="BH47" s="183">
        <v>2102431.3990000002</v>
      </c>
      <c r="BI47" s="183">
        <v>382300.53</v>
      </c>
      <c r="BJ47" s="183">
        <v>405313.071</v>
      </c>
      <c r="BK47" s="183">
        <v>1569427.321</v>
      </c>
      <c r="BL47" s="183">
        <v>1002563.192</v>
      </c>
      <c r="BM47" s="183">
        <v>455174.80999999994</v>
      </c>
      <c r="BN47" s="183">
        <v>1581456.21</v>
      </c>
      <c r="BO47" s="183">
        <v>135787.68</v>
      </c>
      <c r="BP47" s="183">
        <v>295948.81</v>
      </c>
      <c r="BQ47" s="183">
        <v>105495.20999999999</v>
      </c>
      <c r="BR47" s="183">
        <v>557848.11</v>
      </c>
      <c r="BS47" s="183">
        <v>159124.27999999997</v>
      </c>
      <c r="BT47" s="183">
        <v>72653.923999999999</v>
      </c>
      <c r="BU47" s="183">
        <v>12121.664999999999</v>
      </c>
      <c r="BV47" s="183">
        <v>1142949.1140000001</v>
      </c>
      <c r="BW47" s="183">
        <v>138533</v>
      </c>
      <c r="BX47" s="183">
        <v>1102904.4099999999</v>
      </c>
      <c r="BY47" s="183">
        <v>395353.4</v>
      </c>
      <c r="BZ47" s="183">
        <v>1101286.33</v>
      </c>
      <c r="CA47" s="183">
        <v>207003.64899999998</v>
      </c>
      <c r="CB47" s="183">
        <v>1242716.7209999999</v>
      </c>
      <c r="CC47" s="183">
        <v>931548.65300000005</v>
      </c>
      <c r="CD47" s="194"/>
      <c r="CE47" s="194">
        <f>SUM(C47:CC47)</f>
        <v>83095086.658999994</v>
      </c>
    </row>
    <row r="48" spans="1:83" ht="12.6" customHeight="1" x14ac:dyDescent="0.25">
      <c r="A48" s="174" t="s">
        <v>205</v>
      </c>
      <c r="B48" s="182">
        <v>194881</v>
      </c>
      <c r="C48" s="244">
        <f>ROUND(((B48/CE61)*C61),0)</f>
        <v>7607</v>
      </c>
      <c r="D48" s="244">
        <f>ROUND(((B48/CE61)*D61),0)</f>
        <v>3885</v>
      </c>
      <c r="E48" s="194">
        <f>ROUND(((B48/CE61)*E61),0)</f>
        <v>10183</v>
      </c>
      <c r="F48" s="194">
        <f>ROUND(((B48/CE61)*F61),0)</f>
        <v>722</v>
      </c>
      <c r="G48" s="194">
        <f>ROUND(((B48/CE61)*G61),0)</f>
        <v>851</v>
      </c>
      <c r="H48" s="194">
        <f>ROUND(((B48/CE61)*H61),0)</f>
        <v>0</v>
      </c>
      <c r="I48" s="194">
        <f>ROUND(((B48/CE61)*I61),0)</f>
        <v>0</v>
      </c>
      <c r="J48" s="194">
        <f>ROUND(((B48/CE61)*J61),0)</f>
        <v>0</v>
      </c>
      <c r="K48" s="194">
        <f>ROUND(((B48/CE61)*K61),0)</f>
        <v>0</v>
      </c>
      <c r="L48" s="194">
        <f>ROUND(((B48/CE61)*L61),0)</f>
        <v>0</v>
      </c>
      <c r="M48" s="194">
        <f>ROUND(((B48/CE61)*M61),0)</f>
        <v>2222</v>
      </c>
      <c r="N48" s="194">
        <f>ROUND(((B48/CE61)*N61),0)</f>
        <v>6401</v>
      </c>
      <c r="O48" s="194">
        <f>ROUND(((B48/CE61)*O61),0)</f>
        <v>8983</v>
      </c>
      <c r="P48" s="194">
        <f>ROUND(((B48/CE61)*P61),0)</f>
        <v>6531</v>
      </c>
      <c r="Q48" s="194">
        <f>ROUND(((B48/CE61)*Q61),0)</f>
        <v>1874</v>
      </c>
      <c r="R48" s="194">
        <f>ROUND(((B48/CE61)*R61),0)</f>
        <v>178</v>
      </c>
      <c r="S48" s="194">
        <f>ROUND(((B48/CE61)*S61),0)</f>
        <v>549</v>
      </c>
      <c r="T48" s="194">
        <f>ROUND(((B48/CE61)*T61),0)</f>
        <v>0</v>
      </c>
      <c r="U48" s="194">
        <f>ROUND(((B48/CE61)*U61),0)</f>
        <v>3737</v>
      </c>
      <c r="V48" s="194">
        <f>ROUND(((B48/CE61)*V61),0)</f>
        <v>77</v>
      </c>
      <c r="W48" s="194">
        <f>ROUND(((B48/CE61)*W61),0)</f>
        <v>386</v>
      </c>
      <c r="X48" s="194">
        <f>ROUND(((B48/CE61)*X61),0)</f>
        <v>637</v>
      </c>
      <c r="Y48" s="194">
        <f>ROUND(((B48/CE61)*Y61),0)</f>
        <v>6490</v>
      </c>
      <c r="Z48" s="194">
        <f>ROUND(((B48/CE61)*Z61),0)</f>
        <v>2205</v>
      </c>
      <c r="AA48" s="194">
        <f>ROUND(((B48/CE61)*AA61),0)</f>
        <v>213</v>
      </c>
      <c r="AB48" s="194">
        <f>ROUND(((B48/CE61)*AB61),0)</f>
        <v>2898</v>
      </c>
      <c r="AC48" s="194">
        <f>ROUND(((B48/CE61)*AC61),0)</f>
        <v>1129</v>
      </c>
      <c r="AD48" s="194">
        <f>ROUND(((B48/CE61)*AD61),0)</f>
        <v>0</v>
      </c>
      <c r="AE48" s="194">
        <f>ROUND(((B48/CE61)*AE61),0)</f>
        <v>2539</v>
      </c>
      <c r="AF48" s="194">
        <f>ROUND(((B48/CE61)*AF61),0)</f>
        <v>0</v>
      </c>
      <c r="AG48" s="194">
        <f>ROUND(((B48/CE61)*AG61),0)</f>
        <v>5093</v>
      </c>
      <c r="AH48" s="194">
        <f>ROUND(((B48/CE61)*AH61),0)</f>
        <v>0</v>
      </c>
      <c r="AI48" s="194">
        <f>ROUND(((B48/CE61)*AI61),0)</f>
        <v>0</v>
      </c>
      <c r="AJ48" s="194">
        <f>ROUND(((B48/CE61)*AJ61),0)</f>
        <v>27458</v>
      </c>
      <c r="AK48" s="194">
        <f>ROUND(((B48/CE61)*AK61),0)</f>
        <v>0</v>
      </c>
      <c r="AL48" s="194">
        <f>ROUND(((B48/CE61)*AL61),0)</f>
        <v>0</v>
      </c>
      <c r="AM48" s="194">
        <f>ROUND(((B48/CE61)*AM61),0)</f>
        <v>0</v>
      </c>
      <c r="AN48" s="194">
        <f>ROUND(((B48/CE61)*AN61),0)</f>
        <v>0</v>
      </c>
      <c r="AO48" s="194">
        <f>ROUND(((B48/CE61)*AO61),0)</f>
        <v>0</v>
      </c>
      <c r="AP48" s="194">
        <f>ROUND(((B48/CE61)*AP61),0)</f>
        <v>29077</v>
      </c>
      <c r="AQ48" s="194">
        <f>ROUND(((B48/CE61)*AQ61),0)</f>
        <v>0</v>
      </c>
      <c r="AR48" s="194">
        <f>ROUND(((B48/CE61)*AR61),0)</f>
        <v>22756</v>
      </c>
      <c r="AS48" s="194">
        <f>ROUND(((B48/CE61)*AS61),0)</f>
        <v>0</v>
      </c>
      <c r="AT48" s="194">
        <f>ROUND(((B48/CE61)*AT61),0)</f>
        <v>0</v>
      </c>
      <c r="AU48" s="194">
        <f>ROUND(((B48/CE61)*AU61),0)</f>
        <v>0</v>
      </c>
      <c r="AV48" s="194">
        <f>ROUND(((B48/CE61)*AV61),0)</f>
        <v>1313</v>
      </c>
      <c r="AW48" s="194">
        <f>ROUND(((B48/CE61)*AW61),0)</f>
        <v>367</v>
      </c>
      <c r="AX48" s="194">
        <f>ROUND(((B48/CE61)*AX61),0)</f>
        <v>0</v>
      </c>
      <c r="AY48" s="194">
        <f>ROUND(((B48/CE61)*AY61),0)</f>
        <v>0</v>
      </c>
      <c r="AZ48" s="194">
        <f>ROUND(((B48/CE61)*AZ61),0)</f>
        <v>1485</v>
      </c>
      <c r="BA48" s="194">
        <f>ROUND(((B48/CE61)*BA61),0)</f>
        <v>125</v>
      </c>
      <c r="BB48" s="194">
        <f>ROUND(((B48/CE61)*BB61),0)</f>
        <v>0</v>
      </c>
      <c r="BC48" s="194">
        <f>ROUND(((B48/CE61)*BC61),0)</f>
        <v>231</v>
      </c>
      <c r="BD48" s="194">
        <f>ROUND(((B48/CE61)*BD61),0)</f>
        <v>972</v>
      </c>
      <c r="BE48" s="194">
        <f>ROUND(((B48/CE61)*BE61),0)</f>
        <v>1630</v>
      </c>
      <c r="BF48" s="194">
        <f>ROUND(((B48/CE61)*BF61),0)</f>
        <v>2308</v>
      </c>
      <c r="BG48" s="194">
        <f>ROUND(((B48/CE61)*BG61),0)</f>
        <v>640</v>
      </c>
      <c r="BH48" s="194">
        <f>ROUND(((B48/CE61)*BH61),0)</f>
        <v>4690</v>
      </c>
      <c r="BI48" s="194">
        <f>ROUND(((B48/CE61)*BI61),0)</f>
        <v>867</v>
      </c>
      <c r="BJ48" s="194">
        <f>ROUND(((B48/CE61)*BJ61),0)</f>
        <v>789</v>
      </c>
      <c r="BK48" s="194">
        <f>ROUND(((B48/CE61)*BK61),0)</f>
        <v>2787</v>
      </c>
      <c r="BL48" s="194">
        <f>ROUND(((B48/CE61)*BL61),0)</f>
        <v>1712</v>
      </c>
      <c r="BM48" s="194">
        <f>ROUND(((B48/CE61)*BM61),0)</f>
        <v>887</v>
      </c>
      <c r="BN48" s="194">
        <f>ROUND(((B48/CE61)*BN61),0)</f>
        <v>2961</v>
      </c>
      <c r="BO48" s="194">
        <f>ROUND(((B48/CE61)*BO61),0)</f>
        <v>342</v>
      </c>
      <c r="BP48" s="194">
        <f>ROUND(((B48/CE61)*BP61),0)</f>
        <v>390</v>
      </c>
      <c r="BQ48" s="194">
        <f>ROUND(((B48/CE61)*BQ61),0)</f>
        <v>221</v>
      </c>
      <c r="BR48" s="194">
        <f>ROUND(((B48/CE61)*BR61),0)</f>
        <v>1204</v>
      </c>
      <c r="BS48" s="194">
        <f>ROUND(((B48/CE61)*BS61),0)</f>
        <v>287</v>
      </c>
      <c r="BT48" s="194">
        <f>ROUND(((B48/CE61)*BT61),0)</f>
        <v>121</v>
      </c>
      <c r="BU48" s="194">
        <f>ROUND(((B48/CE61)*BU61),0)</f>
        <v>13</v>
      </c>
      <c r="BV48" s="194">
        <f>ROUND(((B48/CE61)*BV61),0)</f>
        <v>2296</v>
      </c>
      <c r="BW48" s="194">
        <f>ROUND(((B48/CE61)*BW61),0)</f>
        <v>625</v>
      </c>
      <c r="BX48" s="194">
        <f>ROUND(((B48/CE61)*BX61),0)</f>
        <v>2700</v>
      </c>
      <c r="BY48" s="194">
        <f>ROUND(((B48/CE61)*BY61),0)</f>
        <v>896</v>
      </c>
      <c r="BZ48" s="194">
        <f>ROUND(((B48/CE61)*BZ61),0)</f>
        <v>1294</v>
      </c>
      <c r="CA48" s="194">
        <f>ROUND(((B48/CE61)*CA61),0)</f>
        <v>421</v>
      </c>
      <c r="CB48" s="194">
        <f>ROUND(((B48/CE61)*CB61),0)</f>
        <v>2389</v>
      </c>
      <c r="CC48" s="194">
        <f>ROUND(((B48/CE61)*CC61),0)</f>
        <v>3237</v>
      </c>
      <c r="CD48" s="194"/>
      <c r="CE48" s="194">
        <f>SUM(C48:CD48)</f>
        <v>194881</v>
      </c>
    </row>
    <row r="49" spans="1:84" ht="12.6" customHeight="1" x14ac:dyDescent="0.25">
      <c r="A49" s="174" t="s">
        <v>206</v>
      </c>
      <c r="B49" s="194">
        <f>B47+B48</f>
        <v>83289968.700000003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4"/>
      <c r="CA49" s="194"/>
      <c r="CB49" s="194"/>
      <c r="CC49" s="194"/>
      <c r="CD49" s="194"/>
      <c r="CE49" s="194"/>
    </row>
    <row r="50" spans="1:84" ht="12.6" customHeight="1" x14ac:dyDescent="0.25">
      <c r="A50" s="174" t="s">
        <v>6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4"/>
      <c r="BZ50" s="194"/>
      <c r="CA50" s="194"/>
      <c r="CB50" s="194"/>
      <c r="CC50" s="194"/>
      <c r="CD50" s="194"/>
      <c r="CE50" s="194"/>
    </row>
    <row r="51" spans="1:84" ht="12.6" customHeight="1" x14ac:dyDescent="0.25">
      <c r="A51" s="170" t="s">
        <v>207</v>
      </c>
      <c r="B51" s="183">
        <f>34228703.37</f>
        <v>34228703.369999997</v>
      </c>
      <c r="C51" s="183">
        <v>455247.07999999996</v>
      </c>
      <c r="D51" s="183">
        <v>1337509.31</v>
      </c>
      <c r="E51" s="183">
        <v>1902338.1</v>
      </c>
      <c r="F51" s="183">
        <f>900295.54-899574.54</f>
        <v>721</v>
      </c>
      <c r="G51" s="183">
        <v>104549.36</v>
      </c>
      <c r="H51" s="183"/>
      <c r="I51" s="183"/>
      <c r="J51" s="183"/>
      <c r="K51" s="183"/>
      <c r="L51" s="183"/>
      <c r="M51" s="285">
        <f>88040.32+8963</f>
        <v>97003.32</v>
      </c>
      <c r="N51" s="183">
        <v>5508.21</v>
      </c>
      <c r="O51" s="183">
        <v>899574.54</v>
      </c>
      <c r="P51" s="183">
        <v>3362431.01</v>
      </c>
      <c r="Q51" s="183">
        <v>59258.770000000004</v>
      </c>
      <c r="R51" s="183">
        <v>132038.94999999998</v>
      </c>
      <c r="S51" s="183">
        <v>451860.6</v>
      </c>
      <c r="T51" s="183">
        <v>0</v>
      </c>
      <c r="U51" s="183">
        <v>659946.07999999996</v>
      </c>
      <c r="V51" s="183">
        <v>15795.8</v>
      </c>
      <c r="W51" s="183">
        <v>142086.01</v>
      </c>
      <c r="X51" s="183">
        <v>170869.69</v>
      </c>
      <c r="Y51" s="183">
        <v>2060321.6199999999</v>
      </c>
      <c r="Z51" s="183">
        <v>1564036.3399999999</v>
      </c>
      <c r="AA51" s="183">
        <v>162687.10999999999</v>
      </c>
      <c r="AB51" s="183">
        <v>154064.03</v>
      </c>
      <c r="AC51" s="183">
        <v>103839.88</v>
      </c>
      <c r="AD51" s="183">
        <v>0</v>
      </c>
      <c r="AE51" s="183">
        <v>229096.63999999996</v>
      </c>
      <c r="AF51" s="183"/>
      <c r="AG51" s="183">
        <v>897744.03999999992</v>
      </c>
      <c r="AH51" s="183">
        <v>0</v>
      </c>
      <c r="AI51" s="183">
        <v>0</v>
      </c>
      <c r="AJ51" s="183">
        <v>2149707.15</v>
      </c>
      <c r="AK51" s="183"/>
      <c r="AL51" s="183"/>
      <c r="AM51" s="183"/>
      <c r="AN51" s="183"/>
      <c r="AO51" s="183"/>
      <c r="AP51" s="183">
        <v>2829440</v>
      </c>
      <c r="AQ51" s="183"/>
      <c r="AR51" s="183">
        <f>1423.5+103074</f>
        <v>104497.5</v>
      </c>
      <c r="AS51" s="183">
        <v>0</v>
      </c>
      <c r="AT51" s="183"/>
      <c r="AU51" s="183"/>
      <c r="AV51" s="183">
        <v>316468.22000000003</v>
      </c>
      <c r="AW51" s="183">
        <v>35192.74</v>
      </c>
      <c r="AX51" s="183">
        <v>0</v>
      </c>
      <c r="AY51" s="183"/>
      <c r="AZ51" s="183">
        <v>781088.32000000007</v>
      </c>
      <c r="BA51" s="183">
        <v>8911.51</v>
      </c>
      <c r="BB51" s="183">
        <v>0</v>
      </c>
      <c r="BC51" s="183">
        <v>31693.29</v>
      </c>
      <c r="BD51" s="183">
        <v>77665.100000000006</v>
      </c>
      <c r="BE51" s="183">
        <f>6630105.41+11767+7008+219213</f>
        <v>6868093.4100000001</v>
      </c>
      <c r="BF51" s="183">
        <v>51756.75</v>
      </c>
      <c r="BG51" s="183">
        <v>24142.059999999998</v>
      </c>
      <c r="BH51" s="183">
        <v>4178775.29</v>
      </c>
      <c r="BI51" s="183">
        <v>192059.71000000002</v>
      </c>
      <c r="BJ51" s="183">
        <v>126210.23000000001</v>
      </c>
      <c r="BK51" s="183">
        <v>205343.11000000002</v>
      </c>
      <c r="BL51" s="183">
        <v>31035.27</v>
      </c>
      <c r="BM51" s="183">
        <v>97561.22</v>
      </c>
      <c r="BN51" s="183">
        <v>223806.65</v>
      </c>
      <c r="BO51" s="183">
        <v>31734.37</v>
      </c>
      <c r="BP51" s="183">
        <v>113392.19</v>
      </c>
      <c r="BQ51" s="183">
        <v>5456.0599999999995</v>
      </c>
      <c r="BR51" s="183">
        <v>9830.84</v>
      </c>
      <c r="BS51" s="183">
        <v>16136.8</v>
      </c>
      <c r="BT51" s="183">
        <v>34840.07</v>
      </c>
      <c r="BU51" s="183">
        <v>2006</v>
      </c>
      <c r="BV51" s="183">
        <v>77542.62</v>
      </c>
      <c r="BW51" s="183">
        <v>25348.34</v>
      </c>
      <c r="BX51" s="183">
        <v>14769.39</v>
      </c>
      <c r="BY51" s="183">
        <v>348464.43</v>
      </c>
      <c r="BZ51" s="183">
        <v>11464.65</v>
      </c>
      <c r="CA51" s="183">
        <v>5210.6000000000004</v>
      </c>
      <c r="CB51" s="183">
        <v>127459.62</v>
      </c>
      <c r="CC51" s="183">
        <v>103072.19</v>
      </c>
      <c r="CD51" s="194"/>
      <c r="CE51" s="194">
        <f>SUM(C51:CD51)</f>
        <v>34228703.18999999</v>
      </c>
    </row>
    <row r="52" spans="1:84" ht="12.6" customHeight="1" x14ac:dyDescent="0.25">
      <c r="A52" s="170" t="s">
        <v>208</v>
      </c>
      <c r="B52" s="183"/>
      <c r="C52" s="194">
        <f>ROUND((B52/(CE76+CF76)*C76),0)</f>
        <v>0</v>
      </c>
      <c r="D52" s="194">
        <f>ROUND((B52/(CE76+CF76)*D76),0)</f>
        <v>0</v>
      </c>
      <c r="E52" s="194">
        <f>ROUND((B52/(CE76+CF76)*E76),0)</f>
        <v>0</v>
      </c>
      <c r="F52" s="194">
        <f>ROUND((B52/(CE76+CF76)*F76),0)</f>
        <v>0</v>
      </c>
      <c r="G52" s="194">
        <f>ROUND((B52/(CE76+CF76)*G76),0)</f>
        <v>0</v>
      </c>
      <c r="H52" s="194">
        <f>ROUND((B52/(CE76+CF76)*H76),0)</f>
        <v>0</v>
      </c>
      <c r="I52" s="194">
        <f>ROUND((B52/(CE76+CF76)*I76),0)</f>
        <v>0</v>
      </c>
      <c r="J52" s="194">
        <f>ROUND((B52/(CE76+CF76)*J76),0)</f>
        <v>0</v>
      </c>
      <c r="K52" s="194">
        <f>ROUND((B52/(CE76+CF76)*K76),0)</f>
        <v>0</v>
      </c>
      <c r="L52" s="194">
        <f>ROUND((B52/(CE76+CF76)*L76),0)</f>
        <v>0</v>
      </c>
      <c r="M52" s="194">
        <f>ROUND((B52/(CE76+CF76)*M76),0)</f>
        <v>0</v>
      </c>
      <c r="N52" s="194">
        <f>ROUND((B52/(CE76+CF76)*N76),0)</f>
        <v>0</v>
      </c>
      <c r="O52" s="194">
        <f>ROUND((B52/(CE76+CF76)*O76),0)</f>
        <v>0</v>
      </c>
      <c r="P52" s="194">
        <f>ROUND((B52/(CE76+CF76)*P76),0)</f>
        <v>0</v>
      </c>
      <c r="Q52" s="194">
        <f>ROUND((B52/(CE76+CF76)*Q76),0)</f>
        <v>0</v>
      </c>
      <c r="R52" s="194">
        <f>ROUND((B52/(CE76+CF76)*R76),0)</f>
        <v>0</v>
      </c>
      <c r="S52" s="194">
        <f>ROUND((B52/(CE76+CF76)*S76),0)</f>
        <v>0</v>
      </c>
      <c r="T52" s="194">
        <f>ROUND((B52/(CE76+CF76)*T76),0)</f>
        <v>0</v>
      </c>
      <c r="U52" s="194">
        <f>ROUND((B52/(CE76+CF76)*U76),0)</f>
        <v>0</v>
      </c>
      <c r="V52" s="194">
        <f>ROUND((B52/(CE76+CF76)*V76),0)</f>
        <v>0</v>
      </c>
      <c r="W52" s="194">
        <f>ROUND((B52/(CE76+CF76)*W76),0)</f>
        <v>0</v>
      </c>
      <c r="X52" s="194">
        <f>ROUND((B52/(CE76+CF76)*X76),0)</f>
        <v>0</v>
      </c>
      <c r="Y52" s="194">
        <f>ROUND((B52/(CE76+CF76)*Y76),0)</f>
        <v>0</v>
      </c>
      <c r="Z52" s="194">
        <f>ROUND((B52/(CE76+CF76)*Z76),0)</f>
        <v>0</v>
      </c>
      <c r="AA52" s="194">
        <f>ROUND((B52/(CE76+CF76)*AA76),0)</f>
        <v>0</v>
      </c>
      <c r="AB52" s="194">
        <f>ROUND((B52/(CE76+CF76)*AB76),0)</f>
        <v>0</v>
      </c>
      <c r="AC52" s="194">
        <f>ROUND((B52/(CE76+CF76)*AC76),0)</f>
        <v>0</v>
      </c>
      <c r="AD52" s="194">
        <f>ROUND((B52/(CE76+CF76)*AD76),0)</f>
        <v>0</v>
      </c>
      <c r="AE52" s="194">
        <f>ROUND((B52/(CE76+CF76)*AE76),0)</f>
        <v>0</v>
      </c>
      <c r="AF52" s="194">
        <f>ROUND((B52/(CE76+CF76)*AF76),0)</f>
        <v>0</v>
      </c>
      <c r="AG52" s="194">
        <f>ROUND((B52/(CE76+CF76)*AG76),0)</f>
        <v>0</v>
      </c>
      <c r="AH52" s="194">
        <f>ROUND((B52/(CE76+CF76)*AH76),0)</f>
        <v>0</v>
      </c>
      <c r="AI52" s="194">
        <f>ROUND((B52/(CE76+CF76)*AI76),0)</f>
        <v>0</v>
      </c>
      <c r="AJ52" s="194">
        <f>ROUND((B52/(CE76+CF76)*AJ76),0)</f>
        <v>0</v>
      </c>
      <c r="AK52" s="194">
        <f>ROUND((B52/(CE76+CF76)*AK76),0)</f>
        <v>0</v>
      </c>
      <c r="AL52" s="194">
        <f>ROUND((B52/(CE76+CF76)*AL76),0)</f>
        <v>0</v>
      </c>
      <c r="AM52" s="194">
        <f>ROUND((B52/(CE76+CF76)*AM76),0)</f>
        <v>0</v>
      </c>
      <c r="AN52" s="194">
        <f>ROUND((B52/(CE76+CF76)*AN76),0)</f>
        <v>0</v>
      </c>
      <c r="AO52" s="194">
        <f>ROUND((B52/(CE76+CF76)*AO76),0)</f>
        <v>0</v>
      </c>
      <c r="AP52" s="194">
        <f>ROUND((B52/(CE76+CF76)*AP76),0)</f>
        <v>0</v>
      </c>
      <c r="AQ52" s="194">
        <f>ROUND((B52/(CE76+CF76)*AQ76),0)</f>
        <v>0</v>
      </c>
      <c r="AR52" s="194">
        <f>ROUND((B52/(CE76+CF76)*AR76),0)</f>
        <v>0</v>
      </c>
      <c r="AS52" s="194">
        <f>ROUND((B52/(CE76+CF76)*AS76),0)</f>
        <v>0</v>
      </c>
      <c r="AT52" s="194">
        <f>ROUND((B52/(CE76+CF76)*AT76),0)</f>
        <v>0</v>
      </c>
      <c r="AU52" s="194">
        <f>ROUND((B52/(CE76+CF76)*AU76),0)</f>
        <v>0</v>
      </c>
      <c r="AV52" s="194">
        <f>ROUND((B52/(CE76+CF76)*AV76),0)</f>
        <v>0</v>
      </c>
      <c r="AW52" s="194">
        <f>ROUND((B52/(CE76+CF76)*AW76),0)</f>
        <v>0</v>
      </c>
      <c r="AX52" s="194">
        <f>ROUND((B52/(CE76+CF76)*AX76),0)</f>
        <v>0</v>
      </c>
      <c r="AY52" s="194">
        <f>ROUND((B52/(CE76+CF76)*AY76),0)</f>
        <v>0</v>
      </c>
      <c r="AZ52" s="194">
        <f>ROUND((B52/(CE76+CF76)*AZ76),0)</f>
        <v>0</v>
      </c>
      <c r="BA52" s="194">
        <f>ROUND((B52/(CE76+CF76)*BA76),0)</f>
        <v>0</v>
      </c>
      <c r="BB52" s="194">
        <f>ROUND((B52/(CE76+CF76)*BB76),0)</f>
        <v>0</v>
      </c>
      <c r="BC52" s="194">
        <f>ROUND((B52/(CE76+CF76)*BC76),0)</f>
        <v>0</v>
      </c>
      <c r="BD52" s="194">
        <f>ROUND((B52/(CE76+CF76)*BD76),0)</f>
        <v>0</v>
      </c>
      <c r="BE52" s="194">
        <f>ROUND((B52/(CE76+CF76)*BE76),0)</f>
        <v>0</v>
      </c>
      <c r="BF52" s="194">
        <f>ROUND((B52/(CE76+CF76)*BF76),0)</f>
        <v>0</v>
      </c>
      <c r="BG52" s="194">
        <f>ROUND((B52/(CE76+CF76)*BG76),0)</f>
        <v>0</v>
      </c>
      <c r="BH52" s="194">
        <f>ROUND((B52/(CE76+CF76)*BH76),0)</f>
        <v>0</v>
      </c>
      <c r="BI52" s="194">
        <f>ROUND((B52/(CE76+CF76)*BI76),0)</f>
        <v>0</v>
      </c>
      <c r="BJ52" s="194">
        <f>ROUND((B52/(CE76+CF76)*BJ76),0)</f>
        <v>0</v>
      </c>
      <c r="BK52" s="194">
        <f>ROUND((B52/(CE76+CF76)*BK76),0)</f>
        <v>0</v>
      </c>
      <c r="BL52" s="194">
        <f>ROUND((B52/(CE76+CF76)*BL76),0)</f>
        <v>0</v>
      </c>
      <c r="BM52" s="194">
        <f>ROUND((B52/(CE76+CF76)*BM76),0)</f>
        <v>0</v>
      </c>
      <c r="BN52" s="194">
        <f>ROUND((B52/(CE76+CF76)*BN76),0)</f>
        <v>0</v>
      </c>
      <c r="BO52" s="194">
        <f>ROUND((B52/(CE76+CF76)*BO76),0)</f>
        <v>0</v>
      </c>
      <c r="BP52" s="194">
        <f>ROUND((B52/(CE76+CF76)*BP76),0)</f>
        <v>0</v>
      </c>
      <c r="BQ52" s="194">
        <f>ROUND((B52/(CE76+CF76)*BQ76),0)</f>
        <v>0</v>
      </c>
      <c r="BR52" s="194">
        <f>ROUND((B52/(CE76+CF76)*BR76),0)</f>
        <v>0</v>
      </c>
      <c r="BS52" s="194">
        <f>ROUND((B52/(CE76+CF76)*BS76),0)</f>
        <v>0</v>
      </c>
      <c r="BT52" s="194">
        <f>ROUND((B52/(CE76+CF76)*BT76),0)</f>
        <v>0</v>
      </c>
      <c r="BU52" s="194">
        <f>ROUND((B52/(CE76+CF76)*BU76),0)</f>
        <v>0</v>
      </c>
      <c r="BV52" s="194">
        <f>ROUND((B52/(CE76+CF76)*BV76),0)</f>
        <v>0</v>
      </c>
      <c r="BW52" s="194">
        <f>ROUND((B52/(CE76+CF76)*BW76),0)</f>
        <v>0</v>
      </c>
      <c r="BX52" s="194">
        <f>ROUND((B52/(CE76+CF76)*BX76),0)</f>
        <v>0</v>
      </c>
      <c r="BY52" s="194">
        <f>ROUND((B52/(CE76+CF76)*BY76),0)</f>
        <v>0</v>
      </c>
      <c r="BZ52" s="194">
        <f>ROUND((B52/(CE76+CF76)*BZ76),0)</f>
        <v>0</v>
      </c>
      <c r="CA52" s="194">
        <f>ROUND((B52/(CE76+CF76)*CA76),0)</f>
        <v>0</v>
      </c>
      <c r="CB52" s="194">
        <f>ROUND((B52/(CE76+CF76)*CB76),0)</f>
        <v>0</v>
      </c>
      <c r="CC52" s="194">
        <f>ROUND((B52/(CE76+CF76)*CC76),0)</f>
        <v>0</v>
      </c>
      <c r="CD52" s="194"/>
      <c r="CE52" s="194">
        <f>SUM(C52:CD52)</f>
        <v>0</v>
      </c>
    </row>
    <row r="53" spans="1:84" ht="12.6" customHeight="1" x14ac:dyDescent="0.25">
      <c r="A53" s="174" t="s">
        <v>206</v>
      </c>
      <c r="B53" s="194">
        <f>B51+B52</f>
        <v>34228703.369999997</v>
      </c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4"/>
      <c r="BQ53" s="194"/>
      <c r="BR53" s="194"/>
      <c r="BS53" s="194"/>
      <c r="BT53" s="194"/>
      <c r="BU53" s="194"/>
      <c r="BV53" s="194"/>
      <c r="BW53" s="194"/>
      <c r="BX53" s="194"/>
      <c r="BY53" s="194"/>
      <c r="BZ53" s="194"/>
      <c r="CA53" s="194"/>
      <c r="CB53" s="194"/>
      <c r="CC53" s="194"/>
      <c r="CD53" s="194"/>
      <c r="CE53" s="194"/>
    </row>
    <row r="54" spans="1:84" ht="15.75" customHeight="1" x14ac:dyDescent="0.25">
      <c r="A54" s="174"/>
      <c r="B54" s="174"/>
      <c r="C54" s="190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4"/>
      <c r="BR54" s="174"/>
      <c r="BS54" s="174"/>
      <c r="BT54" s="174"/>
      <c r="BU54" s="174"/>
      <c r="BV54" s="174"/>
      <c r="BW54" s="174"/>
      <c r="BX54" s="174"/>
      <c r="BY54" s="174"/>
      <c r="BZ54" s="174"/>
      <c r="CA54" s="174"/>
      <c r="CB54" s="174"/>
      <c r="CC54" s="174"/>
      <c r="CD54" s="174"/>
      <c r="CE54" s="174"/>
    </row>
    <row r="55" spans="1:84" ht="12.6" customHeight="1" x14ac:dyDescent="0.25">
      <c r="A55" s="170" t="s">
        <v>209</v>
      </c>
      <c r="B55" s="174"/>
      <c r="C55" s="181" t="s">
        <v>10</v>
      </c>
      <c r="D55" s="169" t="s">
        <v>11</v>
      </c>
      <c r="E55" s="169" t="s">
        <v>12</v>
      </c>
      <c r="F55" s="169" t="s">
        <v>13</v>
      </c>
      <c r="G55" s="169" t="s">
        <v>14</v>
      </c>
      <c r="H55" s="169" t="s">
        <v>15</v>
      </c>
      <c r="I55" s="169" t="s">
        <v>16</v>
      </c>
      <c r="J55" s="169" t="s">
        <v>17</v>
      </c>
      <c r="K55" s="169" t="s">
        <v>18</v>
      </c>
      <c r="L55" s="169" t="s">
        <v>19</v>
      </c>
      <c r="M55" s="169" t="s">
        <v>20</v>
      </c>
      <c r="N55" s="169" t="s">
        <v>21</v>
      </c>
      <c r="O55" s="169" t="s">
        <v>22</v>
      </c>
      <c r="P55" s="169" t="s">
        <v>23</v>
      </c>
      <c r="Q55" s="169" t="s">
        <v>24</v>
      </c>
      <c r="R55" s="169" t="s">
        <v>25</v>
      </c>
      <c r="S55" s="169" t="s">
        <v>26</v>
      </c>
      <c r="T55" s="245" t="s">
        <v>27</v>
      </c>
      <c r="U55" s="169" t="s">
        <v>28</v>
      </c>
      <c r="V55" s="169" t="s">
        <v>29</v>
      </c>
      <c r="W55" s="169" t="s">
        <v>30</v>
      </c>
      <c r="X55" s="169" t="s">
        <v>31</v>
      </c>
      <c r="Y55" s="169" t="s">
        <v>32</v>
      </c>
      <c r="Z55" s="169" t="s">
        <v>33</v>
      </c>
      <c r="AA55" s="169" t="s">
        <v>34</v>
      </c>
      <c r="AB55" s="169" t="s">
        <v>35</v>
      </c>
      <c r="AC55" s="169" t="s">
        <v>36</v>
      </c>
      <c r="AD55" s="169" t="s">
        <v>37</v>
      </c>
      <c r="AE55" s="169" t="s">
        <v>38</v>
      </c>
      <c r="AF55" s="169" t="s">
        <v>39</v>
      </c>
      <c r="AG55" s="169" t="s">
        <v>40</v>
      </c>
      <c r="AH55" s="169" t="s">
        <v>41</v>
      </c>
      <c r="AI55" s="169" t="s">
        <v>42</v>
      </c>
      <c r="AJ55" s="169" t="s">
        <v>43</v>
      </c>
      <c r="AK55" s="169" t="s">
        <v>44</v>
      </c>
      <c r="AL55" s="169" t="s">
        <v>45</v>
      </c>
      <c r="AM55" s="169" t="s">
        <v>46</v>
      </c>
      <c r="AN55" s="169" t="s">
        <v>47</v>
      </c>
      <c r="AO55" s="169" t="s">
        <v>48</v>
      </c>
      <c r="AP55" s="169" t="s">
        <v>49</v>
      </c>
      <c r="AQ55" s="169" t="s">
        <v>50</v>
      </c>
      <c r="AR55" s="169" t="s">
        <v>51</v>
      </c>
      <c r="AS55" s="169" t="s">
        <v>52</v>
      </c>
      <c r="AT55" s="169" t="s">
        <v>53</v>
      </c>
      <c r="AU55" s="169" t="s">
        <v>54</v>
      </c>
      <c r="AV55" s="169" t="s">
        <v>55</v>
      </c>
      <c r="AW55" s="169" t="s">
        <v>56</v>
      </c>
      <c r="AX55" s="169" t="s">
        <v>57</v>
      </c>
      <c r="AY55" s="169" t="s">
        <v>58</v>
      </c>
      <c r="AZ55" s="169" t="s">
        <v>59</v>
      </c>
      <c r="BA55" s="169" t="s">
        <v>60</v>
      </c>
      <c r="BB55" s="169" t="s">
        <v>61</v>
      </c>
      <c r="BC55" s="169" t="s">
        <v>62</v>
      </c>
      <c r="BD55" s="169" t="s">
        <v>63</v>
      </c>
      <c r="BE55" s="169" t="s">
        <v>64</v>
      </c>
      <c r="BF55" s="169" t="s">
        <v>65</v>
      </c>
      <c r="BG55" s="169" t="s">
        <v>66</v>
      </c>
      <c r="BH55" s="169" t="s">
        <v>67</v>
      </c>
      <c r="BI55" s="169" t="s">
        <v>68</v>
      </c>
      <c r="BJ55" s="169" t="s">
        <v>69</v>
      </c>
      <c r="BK55" s="169" t="s">
        <v>70</v>
      </c>
      <c r="BL55" s="169" t="s">
        <v>71</v>
      </c>
      <c r="BM55" s="169" t="s">
        <v>72</v>
      </c>
      <c r="BN55" s="169" t="s">
        <v>73</v>
      </c>
      <c r="BO55" s="169" t="s">
        <v>74</v>
      </c>
      <c r="BP55" s="169" t="s">
        <v>75</v>
      </c>
      <c r="BQ55" s="169" t="s">
        <v>76</v>
      </c>
      <c r="BR55" s="169" t="s">
        <v>77</v>
      </c>
      <c r="BS55" s="169" t="s">
        <v>78</v>
      </c>
      <c r="BT55" s="169" t="s">
        <v>79</v>
      </c>
      <c r="BU55" s="169" t="s">
        <v>80</v>
      </c>
      <c r="BV55" s="169" t="s">
        <v>81</v>
      </c>
      <c r="BW55" s="169" t="s">
        <v>82</v>
      </c>
      <c r="BX55" s="169" t="s">
        <v>83</v>
      </c>
      <c r="BY55" s="169" t="s">
        <v>84</v>
      </c>
      <c r="BZ55" s="169" t="s">
        <v>85</v>
      </c>
      <c r="CA55" s="169" t="s">
        <v>86</v>
      </c>
      <c r="CB55" s="169" t="s">
        <v>87</v>
      </c>
      <c r="CC55" s="169" t="s">
        <v>88</v>
      </c>
      <c r="CD55" s="169" t="s">
        <v>89</v>
      </c>
      <c r="CE55" s="169" t="s">
        <v>90</v>
      </c>
    </row>
    <row r="56" spans="1:84" ht="12.6" customHeight="1" x14ac:dyDescent="0.25">
      <c r="A56" s="170" t="s">
        <v>210</v>
      </c>
      <c r="B56" s="174"/>
      <c r="C56" s="181" t="s">
        <v>92</v>
      </c>
      <c r="D56" s="169" t="s">
        <v>93</v>
      </c>
      <c r="E56" s="169" t="s">
        <v>94</v>
      </c>
      <c r="F56" s="169" t="s">
        <v>95</v>
      </c>
      <c r="G56" s="169" t="s">
        <v>96</v>
      </c>
      <c r="H56" s="169" t="s">
        <v>97</v>
      </c>
      <c r="I56" s="169" t="s">
        <v>98</v>
      </c>
      <c r="J56" s="169" t="s">
        <v>99</v>
      </c>
      <c r="K56" s="169" t="s">
        <v>100</v>
      </c>
      <c r="L56" s="169" t="s">
        <v>101</v>
      </c>
      <c r="M56" s="169" t="s">
        <v>102</v>
      </c>
      <c r="N56" s="169" t="s">
        <v>103</v>
      </c>
      <c r="O56" s="169" t="s">
        <v>104</v>
      </c>
      <c r="P56" s="169" t="s">
        <v>105</v>
      </c>
      <c r="Q56" s="169" t="s">
        <v>106</v>
      </c>
      <c r="R56" s="169" t="s">
        <v>107</v>
      </c>
      <c r="S56" s="169" t="s">
        <v>108</v>
      </c>
      <c r="T56" s="169" t="s">
        <v>1194</v>
      </c>
      <c r="U56" s="169" t="s">
        <v>109</v>
      </c>
      <c r="V56" s="169" t="s">
        <v>110</v>
      </c>
      <c r="W56" s="169" t="s">
        <v>111</v>
      </c>
      <c r="X56" s="169" t="s">
        <v>112</v>
      </c>
      <c r="Y56" s="169" t="s">
        <v>113</v>
      </c>
      <c r="Z56" s="169" t="s">
        <v>113</v>
      </c>
      <c r="AA56" s="169" t="s">
        <v>114</v>
      </c>
      <c r="AB56" s="169" t="s">
        <v>115</v>
      </c>
      <c r="AC56" s="169" t="s">
        <v>116</v>
      </c>
      <c r="AD56" s="169" t="s">
        <v>117</v>
      </c>
      <c r="AE56" s="169" t="s">
        <v>96</v>
      </c>
      <c r="AF56" s="169" t="s">
        <v>97</v>
      </c>
      <c r="AG56" s="169" t="s">
        <v>118</v>
      </c>
      <c r="AH56" s="169" t="s">
        <v>119</v>
      </c>
      <c r="AI56" s="169" t="s">
        <v>120</v>
      </c>
      <c r="AJ56" s="169" t="s">
        <v>121</v>
      </c>
      <c r="AK56" s="169" t="s">
        <v>122</v>
      </c>
      <c r="AL56" s="169" t="s">
        <v>123</v>
      </c>
      <c r="AM56" s="169" t="s">
        <v>124</v>
      </c>
      <c r="AN56" s="169" t="s">
        <v>110</v>
      </c>
      <c r="AO56" s="169" t="s">
        <v>125</v>
      </c>
      <c r="AP56" s="169" t="s">
        <v>126</v>
      </c>
      <c r="AQ56" s="169" t="s">
        <v>127</v>
      </c>
      <c r="AR56" s="169" t="s">
        <v>128</v>
      </c>
      <c r="AS56" s="169" t="s">
        <v>129</v>
      </c>
      <c r="AT56" s="169" t="s">
        <v>130</v>
      </c>
      <c r="AU56" s="169" t="s">
        <v>131</v>
      </c>
      <c r="AV56" s="169" t="s">
        <v>132</v>
      </c>
      <c r="AW56" s="169" t="s">
        <v>133</v>
      </c>
      <c r="AX56" s="169" t="s">
        <v>134</v>
      </c>
      <c r="AY56" s="169" t="s">
        <v>135</v>
      </c>
      <c r="AZ56" s="169" t="s">
        <v>136</v>
      </c>
      <c r="BA56" s="169" t="s">
        <v>137</v>
      </c>
      <c r="BB56" s="169" t="s">
        <v>138</v>
      </c>
      <c r="BC56" s="169" t="s">
        <v>108</v>
      </c>
      <c r="BD56" s="169" t="s">
        <v>139</v>
      </c>
      <c r="BE56" s="169" t="s">
        <v>140</v>
      </c>
      <c r="BF56" s="169" t="s">
        <v>141</v>
      </c>
      <c r="BG56" s="169" t="s">
        <v>142</v>
      </c>
      <c r="BH56" s="169" t="s">
        <v>143</v>
      </c>
      <c r="BI56" s="169" t="s">
        <v>144</v>
      </c>
      <c r="BJ56" s="169" t="s">
        <v>145</v>
      </c>
      <c r="BK56" s="169" t="s">
        <v>146</v>
      </c>
      <c r="BL56" s="169" t="s">
        <v>147</v>
      </c>
      <c r="BM56" s="169" t="s">
        <v>132</v>
      </c>
      <c r="BN56" s="169" t="s">
        <v>148</v>
      </c>
      <c r="BO56" s="169" t="s">
        <v>149</v>
      </c>
      <c r="BP56" s="169" t="s">
        <v>150</v>
      </c>
      <c r="BQ56" s="169" t="s">
        <v>151</v>
      </c>
      <c r="BR56" s="169" t="s">
        <v>152</v>
      </c>
      <c r="BS56" s="169" t="s">
        <v>153</v>
      </c>
      <c r="BT56" s="169" t="s">
        <v>154</v>
      </c>
      <c r="BU56" s="169" t="s">
        <v>155</v>
      </c>
      <c r="BV56" s="169" t="s">
        <v>155</v>
      </c>
      <c r="BW56" s="169" t="s">
        <v>155</v>
      </c>
      <c r="BX56" s="169" t="s">
        <v>156</v>
      </c>
      <c r="BY56" s="169" t="s">
        <v>157</v>
      </c>
      <c r="BZ56" s="169" t="s">
        <v>158</v>
      </c>
      <c r="CA56" s="169" t="s">
        <v>159</v>
      </c>
      <c r="CB56" s="169" t="s">
        <v>160</v>
      </c>
      <c r="CC56" s="169" t="s">
        <v>132</v>
      </c>
      <c r="CD56" s="169" t="s">
        <v>211</v>
      </c>
      <c r="CE56" s="169" t="s">
        <v>161</v>
      </c>
    </row>
    <row r="57" spans="1:84" ht="12.6" customHeight="1" x14ac:dyDescent="0.25">
      <c r="A57" s="170" t="s">
        <v>212</v>
      </c>
      <c r="B57" s="174"/>
      <c r="C57" s="181" t="s">
        <v>163</v>
      </c>
      <c r="D57" s="169" t="s">
        <v>163</v>
      </c>
      <c r="E57" s="169" t="s">
        <v>163</v>
      </c>
      <c r="F57" s="169" t="s">
        <v>164</v>
      </c>
      <c r="G57" s="169" t="s">
        <v>165</v>
      </c>
      <c r="H57" s="169" t="s">
        <v>163</v>
      </c>
      <c r="I57" s="169" t="s">
        <v>166</v>
      </c>
      <c r="J57" s="169"/>
      <c r="K57" s="169" t="s">
        <v>157</v>
      </c>
      <c r="L57" s="169" t="s">
        <v>167</v>
      </c>
      <c r="M57" s="169" t="s">
        <v>168</v>
      </c>
      <c r="N57" s="169" t="s">
        <v>169</v>
      </c>
      <c r="O57" s="169" t="s">
        <v>170</v>
      </c>
      <c r="P57" s="169" t="s">
        <v>169</v>
      </c>
      <c r="Q57" s="169" t="s">
        <v>171</v>
      </c>
      <c r="R57" s="169"/>
      <c r="S57" s="169" t="s">
        <v>169</v>
      </c>
      <c r="T57" s="169" t="s">
        <v>172</v>
      </c>
      <c r="U57" s="169"/>
      <c r="V57" s="169" t="s">
        <v>173</v>
      </c>
      <c r="W57" s="169" t="s">
        <v>174</v>
      </c>
      <c r="X57" s="169" t="s">
        <v>175</v>
      </c>
      <c r="Y57" s="169" t="s">
        <v>176</v>
      </c>
      <c r="Z57" s="169" t="s">
        <v>177</v>
      </c>
      <c r="AA57" s="169" t="s">
        <v>178</v>
      </c>
      <c r="AB57" s="169"/>
      <c r="AC57" s="169" t="s">
        <v>172</v>
      </c>
      <c r="AD57" s="169"/>
      <c r="AE57" s="169" t="s">
        <v>172</v>
      </c>
      <c r="AF57" s="169" t="s">
        <v>179</v>
      </c>
      <c r="AG57" s="169" t="s">
        <v>171</v>
      </c>
      <c r="AH57" s="169"/>
      <c r="AI57" s="169" t="s">
        <v>180</v>
      </c>
      <c r="AJ57" s="169"/>
      <c r="AK57" s="169" t="s">
        <v>172</v>
      </c>
      <c r="AL57" s="169" t="s">
        <v>172</v>
      </c>
      <c r="AM57" s="169" t="s">
        <v>172</v>
      </c>
      <c r="AN57" s="169" t="s">
        <v>181</v>
      </c>
      <c r="AO57" s="169" t="s">
        <v>182</v>
      </c>
      <c r="AP57" s="169" t="s">
        <v>121</v>
      </c>
      <c r="AQ57" s="169" t="s">
        <v>183</v>
      </c>
      <c r="AR57" s="169" t="s">
        <v>169</v>
      </c>
      <c r="AS57" s="169"/>
      <c r="AT57" s="169" t="s">
        <v>184</v>
      </c>
      <c r="AU57" s="169" t="s">
        <v>185</v>
      </c>
      <c r="AV57" s="169" t="s">
        <v>186</v>
      </c>
      <c r="AW57" s="169" t="s">
        <v>187</v>
      </c>
      <c r="AX57" s="169" t="s">
        <v>188</v>
      </c>
      <c r="AY57" s="169"/>
      <c r="AZ57" s="169"/>
      <c r="BA57" s="169" t="s">
        <v>189</v>
      </c>
      <c r="BB57" s="169" t="s">
        <v>169</v>
      </c>
      <c r="BC57" s="169" t="s">
        <v>183</v>
      </c>
      <c r="BD57" s="169"/>
      <c r="BE57" s="169"/>
      <c r="BF57" s="169"/>
      <c r="BG57" s="169"/>
      <c r="BH57" s="169" t="s">
        <v>190</v>
      </c>
      <c r="BI57" s="169" t="s">
        <v>169</v>
      </c>
      <c r="BJ57" s="169"/>
      <c r="BK57" s="169" t="s">
        <v>191</v>
      </c>
      <c r="BL57" s="169"/>
      <c r="BM57" s="169" t="s">
        <v>192</v>
      </c>
      <c r="BN57" s="169" t="s">
        <v>193</v>
      </c>
      <c r="BO57" s="169" t="s">
        <v>194</v>
      </c>
      <c r="BP57" s="169" t="s">
        <v>195</v>
      </c>
      <c r="BQ57" s="169" t="s">
        <v>196</v>
      </c>
      <c r="BR57" s="169"/>
      <c r="BS57" s="169" t="s">
        <v>197</v>
      </c>
      <c r="BT57" s="169" t="s">
        <v>169</v>
      </c>
      <c r="BU57" s="169" t="s">
        <v>198</v>
      </c>
      <c r="BV57" s="169" t="s">
        <v>199</v>
      </c>
      <c r="BW57" s="169" t="s">
        <v>200</v>
      </c>
      <c r="BX57" s="169" t="s">
        <v>151</v>
      </c>
      <c r="BY57" s="169" t="s">
        <v>193</v>
      </c>
      <c r="BZ57" s="169" t="s">
        <v>152</v>
      </c>
      <c r="CA57" s="169" t="s">
        <v>201</v>
      </c>
      <c r="CB57" s="169" t="s">
        <v>201</v>
      </c>
      <c r="CC57" s="169" t="s">
        <v>202</v>
      </c>
      <c r="CD57" s="169" t="s">
        <v>213</v>
      </c>
      <c r="CE57" s="169" t="s">
        <v>203</v>
      </c>
    </row>
    <row r="58" spans="1:84" ht="12.6" customHeight="1" x14ac:dyDescent="0.25">
      <c r="A58" s="170" t="s">
        <v>214</v>
      </c>
      <c r="B58" s="174"/>
      <c r="C58" s="181" t="s">
        <v>215</v>
      </c>
      <c r="D58" s="169" t="s">
        <v>215</v>
      </c>
      <c r="E58" s="169" t="s">
        <v>215</v>
      </c>
      <c r="F58" s="169" t="s">
        <v>215</v>
      </c>
      <c r="G58" s="169" t="s">
        <v>215</v>
      </c>
      <c r="H58" s="169" t="s">
        <v>215</v>
      </c>
      <c r="I58" s="169" t="s">
        <v>215</v>
      </c>
      <c r="J58" s="169" t="s">
        <v>216</v>
      </c>
      <c r="K58" s="169" t="s">
        <v>215</v>
      </c>
      <c r="L58" s="169" t="s">
        <v>215</v>
      </c>
      <c r="M58" s="169" t="s">
        <v>215</v>
      </c>
      <c r="N58" s="169" t="s">
        <v>215</v>
      </c>
      <c r="O58" s="169" t="s">
        <v>217</v>
      </c>
      <c r="P58" s="169" t="s">
        <v>218</v>
      </c>
      <c r="Q58" s="169" t="s">
        <v>219</v>
      </c>
      <c r="R58" s="243" t="s">
        <v>220</v>
      </c>
      <c r="S58" s="246" t="s">
        <v>221</v>
      </c>
      <c r="T58" s="246" t="s">
        <v>221</v>
      </c>
      <c r="U58" s="169" t="s">
        <v>222</v>
      </c>
      <c r="V58" s="169" t="s">
        <v>222</v>
      </c>
      <c r="W58" s="169" t="s">
        <v>223</v>
      </c>
      <c r="X58" s="169" t="s">
        <v>224</v>
      </c>
      <c r="Y58" s="169" t="s">
        <v>225</v>
      </c>
      <c r="Z58" s="169" t="s">
        <v>225</v>
      </c>
      <c r="AA58" s="169" t="s">
        <v>225</v>
      </c>
      <c r="AB58" s="246" t="s">
        <v>221</v>
      </c>
      <c r="AC58" s="169" t="s">
        <v>226</v>
      </c>
      <c r="AD58" s="169" t="s">
        <v>227</v>
      </c>
      <c r="AE58" s="169" t="s">
        <v>226</v>
      </c>
      <c r="AF58" s="169" t="s">
        <v>228</v>
      </c>
      <c r="AG58" s="169" t="s">
        <v>228</v>
      </c>
      <c r="AH58" s="169" t="s">
        <v>229</v>
      </c>
      <c r="AI58" s="169" t="s">
        <v>230</v>
      </c>
      <c r="AJ58" s="169" t="s">
        <v>228</v>
      </c>
      <c r="AK58" s="169" t="s">
        <v>226</v>
      </c>
      <c r="AL58" s="169" t="s">
        <v>226</v>
      </c>
      <c r="AM58" s="169" t="s">
        <v>226</v>
      </c>
      <c r="AN58" s="169" t="s">
        <v>217</v>
      </c>
      <c r="AO58" s="169" t="s">
        <v>227</v>
      </c>
      <c r="AP58" s="169" t="s">
        <v>228</v>
      </c>
      <c r="AQ58" s="169" t="s">
        <v>229</v>
      </c>
      <c r="AR58" s="169" t="s">
        <v>228</v>
      </c>
      <c r="AS58" s="169" t="s">
        <v>226</v>
      </c>
      <c r="AT58" s="169" t="s">
        <v>1212</v>
      </c>
      <c r="AU58" s="169" t="s">
        <v>228</v>
      </c>
      <c r="AV58" s="246" t="s">
        <v>221</v>
      </c>
      <c r="AW58" s="246" t="s">
        <v>221</v>
      </c>
      <c r="AX58" s="246" t="s">
        <v>221</v>
      </c>
      <c r="AY58" s="169" t="s">
        <v>231</v>
      </c>
      <c r="AZ58" s="169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69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0" t="s">
        <v>233</v>
      </c>
      <c r="B59" s="174"/>
      <c r="C59" s="183">
        <v>4893</v>
      </c>
      <c r="D59" s="183">
        <v>10042</v>
      </c>
      <c r="E59" s="183">
        <v>32619</v>
      </c>
      <c r="F59" s="183"/>
      <c r="G59" s="183">
        <v>3175</v>
      </c>
      <c r="H59" s="183"/>
      <c r="I59" s="183"/>
      <c r="J59" s="183"/>
      <c r="K59" s="183"/>
      <c r="L59" s="183"/>
      <c r="M59" s="183">
        <v>4175</v>
      </c>
      <c r="N59" s="183"/>
      <c r="O59" s="183">
        <v>10090</v>
      </c>
      <c r="P59" s="184">
        <v>867898</v>
      </c>
      <c r="Q59" s="184">
        <v>1533724</v>
      </c>
      <c r="R59" s="184">
        <v>920106</v>
      </c>
      <c r="S59" s="247"/>
      <c r="T59" s="247"/>
      <c r="U59" s="223">
        <v>770803</v>
      </c>
      <c r="V59" s="184"/>
      <c r="W59" s="184">
        <v>38255.160000000003</v>
      </c>
      <c r="X59" s="184">
        <v>122026.07999999999</v>
      </c>
      <c r="Y59" s="184">
        <v>366204.54000000004</v>
      </c>
      <c r="Z59" s="184">
        <v>50766.75</v>
      </c>
      <c r="AA59" s="184">
        <v>15173.84</v>
      </c>
      <c r="AB59" s="247"/>
      <c r="AC59" s="184"/>
      <c r="AD59" s="184"/>
      <c r="AE59" s="184">
        <v>71743</v>
      </c>
      <c r="AF59" s="184"/>
      <c r="AG59" s="184">
        <v>57669</v>
      </c>
      <c r="AH59" s="184"/>
      <c r="AI59" s="184"/>
      <c r="AJ59" s="184">
        <v>193513</v>
      </c>
      <c r="AK59" s="184"/>
      <c r="AL59" s="184"/>
      <c r="AM59" s="184"/>
      <c r="AN59" s="184"/>
      <c r="AO59" s="184"/>
      <c r="AP59" s="184">
        <v>388380</v>
      </c>
      <c r="AQ59" s="184"/>
      <c r="AR59" s="184"/>
      <c r="AS59" s="184"/>
      <c r="AT59" s="184"/>
      <c r="AU59" s="184"/>
      <c r="AV59" s="247"/>
      <c r="AW59" s="247"/>
      <c r="AX59" s="247"/>
      <c r="AY59" s="184"/>
      <c r="AZ59" s="184">
        <v>834538.1</v>
      </c>
      <c r="BA59" s="247"/>
      <c r="BB59" s="247"/>
      <c r="BC59" s="247"/>
      <c r="BD59" s="247"/>
      <c r="BE59" s="184">
        <v>789998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4"/>
    </row>
    <row r="60" spans="1:84" ht="12.6" customHeight="1" x14ac:dyDescent="0.25">
      <c r="A60" s="249" t="s">
        <v>234</v>
      </c>
      <c r="B60" s="174"/>
      <c r="C60" s="185">
        <v>142.82374038461535</v>
      </c>
      <c r="D60" s="186">
        <v>82.512524038461549</v>
      </c>
      <c r="E60" s="186">
        <v>239.43600480769231</v>
      </c>
      <c r="F60" s="222">
        <f>188.410081730769-183.85</f>
        <v>4.5600817307690136</v>
      </c>
      <c r="G60" s="186">
        <v>17.529355769230769</v>
      </c>
      <c r="H60" s="186"/>
      <c r="I60" s="186"/>
      <c r="J60" s="222"/>
      <c r="K60" s="186"/>
      <c r="L60" s="186"/>
      <c r="M60" s="186">
        <f>37.8219951923077+6.94</f>
        <v>44.761995192307701</v>
      </c>
      <c r="N60" s="186">
        <v>40.817879807692307</v>
      </c>
      <c r="O60" s="186">
        <v>183.85</v>
      </c>
      <c r="P60" s="220">
        <v>145.08291826923079</v>
      </c>
      <c r="Q60" s="220">
        <v>32.514120192307693</v>
      </c>
      <c r="R60" s="220">
        <v>4.3795865384615382</v>
      </c>
      <c r="S60" s="220">
        <v>20.530394230769232</v>
      </c>
      <c r="T60" s="220">
        <v>0</v>
      </c>
      <c r="U60" s="220">
        <v>117.77153846153846</v>
      </c>
      <c r="V60" s="220">
        <v>2.5782211538461537</v>
      </c>
      <c r="W60" s="220">
        <v>7.5520336538461539</v>
      </c>
      <c r="X60" s="220">
        <v>14.04854326923077</v>
      </c>
      <c r="Y60" s="220">
        <v>130.45851442307691</v>
      </c>
      <c r="Z60" s="220">
        <v>19.062576923076922</v>
      </c>
      <c r="AA60" s="220">
        <v>3.0843124999999998</v>
      </c>
      <c r="AB60" s="220">
        <v>54.126725961538462</v>
      </c>
      <c r="AC60" s="220">
        <v>23.359533653846153</v>
      </c>
      <c r="AD60" s="220">
        <v>0</v>
      </c>
      <c r="AE60" s="220">
        <v>57.534701923076923</v>
      </c>
      <c r="AF60" s="220"/>
      <c r="AG60" s="220">
        <v>117.05136057692307</v>
      </c>
      <c r="AH60" s="220"/>
      <c r="AI60" s="220"/>
      <c r="AJ60" s="220">
        <v>359.95592788461539</v>
      </c>
      <c r="AK60" s="220"/>
      <c r="AL60" s="220"/>
      <c r="AM60" s="220"/>
      <c r="AN60" s="220"/>
      <c r="AO60" s="220"/>
      <c r="AP60" s="220">
        <v>465.87037500000008</v>
      </c>
      <c r="AQ60" s="220"/>
      <c r="AR60" s="220">
        <f>367.328975961538+79.78</f>
        <v>447.10897596153802</v>
      </c>
      <c r="AS60" s="220"/>
      <c r="AT60" s="220"/>
      <c r="AU60" s="220"/>
      <c r="AV60" s="220">
        <v>24.71589903846154</v>
      </c>
      <c r="AW60" s="220">
        <v>9.943884615384615</v>
      </c>
      <c r="AX60" s="220">
        <v>0</v>
      </c>
      <c r="AY60" s="220"/>
      <c r="AZ60" s="220">
        <v>64.159355769230771</v>
      </c>
      <c r="BA60" s="220">
        <v>5.4144423076923083</v>
      </c>
      <c r="BB60" s="220">
        <v>0</v>
      </c>
      <c r="BC60" s="220">
        <v>8.2773605769230763</v>
      </c>
      <c r="BD60" s="220">
        <v>32.524850961538462</v>
      </c>
      <c r="BE60" s="220">
        <v>46.823798076923076</v>
      </c>
      <c r="BF60" s="220">
        <v>101.71834134615385</v>
      </c>
      <c r="BG60" s="220">
        <v>20.785110576923078</v>
      </c>
      <c r="BH60" s="220">
        <v>86.225086538461539</v>
      </c>
      <c r="BI60" s="220">
        <v>17.761899038461539</v>
      </c>
      <c r="BJ60" s="220">
        <v>17.788975961538458</v>
      </c>
      <c r="BK60" s="220">
        <v>97.927596153846139</v>
      </c>
      <c r="BL60" s="220">
        <v>65.967903846153845</v>
      </c>
      <c r="BM60" s="220">
        <v>17.168576923076923</v>
      </c>
      <c r="BN60" s="220">
        <v>23.443288461538458</v>
      </c>
      <c r="BO60" s="220">
        <v>6.2205432692307694</v>
      </c>
      <c r="BP60" s="220">
        <v>7.9624374999999992</v>
      </c>
      <c r="BQ60" s="220">
        <v>3.5105096153846151</v>
      </c>
      <c r="BR60" s="220">
        <v>24.848899038461536</v>
      </c>
      <c r="BS60" s="220">
        <v>7.917552884615386</v>
      </c>
      <c r="BT60" s="220">
        <v>3.4276586538461542</v>
      </c>
      <c r="BU60" s="220">
        <v>0.31947115384615382</v>
      </c>
      <c r="BV60" s="220">
        <v>62.126211538461533</v>
      </c>
      <c r="BW60" s="220">
        <v>7.206687500000001</v>
      </c>
      <c r="BX60" s="220">
        <v>50.909567307692306</v>
      </c>
      <c r="BY60" s="220">
        <v>16.303586538461541</v>
      </c>
      <c r="BZ60" s="220">
        <v>30.367331730769234</v>
      </c>
      <c r="CA60" s="220">
        <v>9.244682692307693</v>
      </c>
      <c r="CB60" s="220">
        <v>64.079586538461541</v>
      </c>
      <c r="CC60" s="220">
        <v>34.465288461538464</v>
      </c>
      <c r="CD60" s="248" t="s">
        <v>221</v>
      </c>
      <c r="CE60" s="250">
        <f t="shared" ref="CE60:CE70" si="0">SUM(C60:CD60)</f>
        <v>3747.9183269230784</v>
      </c>
    </row>
    <row r="61" spans="1:84" ht="12.6" customHeight="1" x14ac:dyDescent="0.25">
      <c r="A61" s="170" t="s">
        <v>235</v>
      </c>
      <c r="B61" s="174"/>
      <c r="C61" s="183">
        <v>14061331.370000001</v>
      </c>
      <c r="D61" s="183">
        <v>7181037.5699999994</v>
      </c>
      <c r="E61" s="183">
        <v>18821768.280000001</v>
      </c>
      <c r="F61" s="184">
        <f>17938634.2-16604361.35</f>
        <v>1334272.8499999996</v>
      </c>
      <c r="G61" s="183">
        <v>1573714.34</v>
      </c>
      <c r="H61" s="183"/>
      <c r="I61" s="184"/>
      <c r="J61" s="184"/>
      <c r="K61" s="184"/>
      <c r="L61" s="184"/>
      <c r="M61" s="285">
        <f>3545162.26+562751</f>
        <v>4107913.26</v>
      </c>
      <c r="N61" s="285">
        <v>11831861.300000003</v>
      </c>
      <c r="O61" s="183">
        <v>16604361.35</v>
      </c>
      <c r="P61" s="184">
        <v>12070992.910000006</v>
      </c>
      <c r="Q61" s="184">
        <v>3462952.46</v>
      </c>
      <c r="R61" s="184">
        <v>328689.44999999995</v>
      </c>
      <c r="S61" s="184">
        <v>1014419.1699999998</v>
      </c>
      <c r="T61" s="184">
        <v>0</v>
      </c>
      <c r="U61" s="184">
        <v>6907064.9100000001</v>
      </c>
      <c r="V61" s="184">
        <v>142682.88999999998</v>
      </c>
      <c r="W61" s="184">
        <v>713981.4</v>
      </c>
      <c r="X61" s="184">
        <v>1177939.25</v>
      </c>
      <c r="Y61" s="184">
        <v>11994896.749999998</v>
      </c>
      <c r="Z61" s="184">
        <v>4075170.4799999995</v>
      </c>
      <c r="AA61" s="184">
        <v>394212.01</v>
      </c>
      <c r="AB61" s="184">
        <v>5356724.080000001</v>
      </c>
      <c r="AC61" s="184">
        <v>2086885.34</v>
      </c>
      <c r="AD61" s="184">
        <v>0</v>
      </c>
      <c r="AE61" s="184">
        <v>4692656.0699999994</v>
      </c>
      <c r="AF61" s="184"/>
      <c r="AG61" s="184">
        <v>9412762.2600000016</v>
      </c>
      <c r="AH61" s="184">
        <v>0</v>
      </c>
      <c r="AI61" s="184">
        <v>0</v>
      </c>
      <c r="AJ61" s="184">
        <v>50751798.44000002</v>
      </c>
      <c r="AK61" s="184"/>
      <c r="AL61" s="184"/>
      <c r="AM61" s="184"/>
      <c r="AN61" s="184"/>
      <c r="AO61" s="184"/>
      <c r="AP61" s="184">
        <v>53744129.239999987</v>
      </c>
      <c r="AQ61" s="184"/>
      <c r="AR61" s="184">
        <f>35590078.75+6471641</f>
        <v>42061719.75</v>
      </c>
      <c r="AS61" s="184"/>
      <c r="AT61" s="184"/>
      <c r="AU61" s="184"/>
      <c r="AV61" s="184">
        <v>2426614.83</v>
      </c>
      <c r="AW61" s="184">
        <v>679032.38000000024</v>
      </c>
      <c r="AX61" s="184">
        <v>0</v>
      </c>
      <c r="AY61" s="184"/>
      <c r="AZ61" s="184">
        <v>2743938.5599999996</v>
      </c>
      <c r="BA61" s="184">
        <v>230142.13999999998</v>
      </c>
      <c r="BB61" s="184">
        <v>0</v>
      </c>
      <c r="BC61" s="184">
        <v>426707.68</v>
      </c>
      <c r="BD61" s="184">
        <v>1795761.23</v>
      </c>
      <c r="BE61" s="184">
        <v>3012497.5100000002</v>
      </c>
      <c r="BF61" s="184">
        <v>4266815.76</v>
      </c>
      <c r="BG61" s="184">
        <v>1182949.25</v>
      </c>
      <c r="BH61" s="184">
        <v>8669232.3900000006</v>
      </c>
      <c r="BI61" s="184">
        <v>1602349.9399999997</v>
      </c>
      <c r="BJ61" s="184">
        <v>1457741.8199999996</v>
      </c>
      <c r="BK61" s="184">
        <v>5151767.84</v>
      </c>
      <c r="BL61" s="184">
        <v>3165198.42</v>
      </c>
      <c r="BM61" s="184">
        <v>1639209.9900000002</v>
      </c>
      <c r="BN61" s="184">
        <v>5473595.790000001</v>
      </c>
      <c r="BO61" s="184">
        <v>632875.31000000006</v>
      </c>
      <c r="BP61" s="184">
        <v>721753.64000000013</v>
      </c>
      <c r="BQ61" s="184">
        <v>407626.99999999994</v>
      </c>
      <c r="BR61" s="184">
        <f>2223301.91+3010</f>
        <v>2226311.91</v>
      </c>
      <c r="BS61" s="184">
        <v>530791.32000000007</v>
      </c>
      <c r="BT61" s="184">
        <v>223693.01000000004</v>
      </c>
      <c r="BU61" s="184">
        <v>23452.84</v>
      </c>
      <c r="BV61" s="184">
        <v>4242968.93</v>
      </c>
      <c r="BW61" s="184">
        <v>1154662.42</v>
      </c>
      <c r="BX61" s="184">
        <v>4989991.67</v>
      </c>
      <c r="BY61" s="184">
        <v>1656610.24</v>
      </c>
      <c r="BZ61" s="184">
        <v>2391157.879999999</v>
      </c>
      <c r="CA61" s="184">
        <v>777457.53000000014</v>
      </c>
      <c r="CB61" s="184">
        <v>4416419.419999999</v>
      </c>
      <c r="CC61" s="184">
        <v>5983723.2300000004</v>
      </c>
      <c r="CD61" s="248" t="s">
        <v>221</v>
      </c>
      <c r="CE61" s="194">
        <f t="shared" si="0"/>
        <v>360208989.06000006</v>
      </c>
      <c r="CF61" s="251"/>
    </row>
    <row r="62" spans="1:84" ht="12.6" customHeight="1" x14ac:dyDescent="0.25">
      <c r="A62" s="170" t="s">
        <v>3</v>
      </c>
      <c r="B62" s="174"/>
      <c r="C62" s="194">
        <f t="shared" ref="C62:BN62" si="1">ROUND(C47+C48,0)</f>
        <v>3043882</v>
      </c>
      <c r="D62" s="194">
        <f t="shared" si="1"/>
        <v>1885468</v>
      </c>
      <c r="E62" s="194">
        <f t="shared" si="1"/>
        <v>4190568</v>
      </c>
      <c r="F62" s="194">
        <f t="shared" si="1"/>
        <v>277512</v>
      </c>
      <c r="G62" s="194">
        <f t="shared" si="1"/>
        <v>427355</v>
      </c>
      <c r="H62" s="194">
        <f t="shared" si="1"/>
        <v>0</v>
      </c>
      <c r="I62" s="194">
        <f t="shared" si="1"/>
        <v>0</v>
      </c>
      <c r="J62" s="194">
        <f>ROUND(J47+J48,0)</f>
        <v>0</v>
      </c>
      <c r="K62" s="194">
        <f t="shared" si="1"/>
        <v>0</v>
      </c>
      <c r="L62" s="194">
        <f t="shared" si="1"/>
        <v>0</v>
      </c>
      <c r="M62" s="194">
        <f t="shared" si="1"/>
        <v>1069266</v>
      </c>
      <c r="N62" s="194">
        <f t="shared" si="1"/>
        <v>2375312</v>
      </c>
      <c r="O62" s="194">
        <f t="shared" si="1"/>
        <v>4250721</v>
      </c>
      <c r="P62" s="194">
        <f t="shared" si="1"/>
        <v>3012153</v>
      </c>
      <c r="Q62" s="194">
        <f t="shared" si="1"/>
        <v>840425</v>
      </c>
      <c r="R62" s="194">
        <f t="shared" si="1"/>
        <v>80425</v>
      </c>
      <c r="S62" s="194">
        <f t="shared" si="1"/>
        <v>305587</v>
      </c>
      <c r="T62" s="194">
        <f t="shared" si="1"/>
        <v>0</v>
      </c>
      <c r="U62" s="194">
        <f t="shared" si="1"/>
        <v>1945322</v>
      </c>
      <c r="V62" s="194">
        <f t="shared" si="1"/>
        <v>39882</v>
      </c>
      <c r="W62" s="194">
        <f t="shared" si="1"/>
        <v>95584</v>
      </c>
      <c r="X62" s="194">
        <f t="shared" si="1"/>
        <v>279886</v>
      </c>
      <c r="Y62" s="194">
        <f t="shared" si="1"/>
        <v>2874476</v>
      </c>
      <c r="Z62" s="194">
        <f t="shared" si="1"/>
        <v>637920</v>
      </c>
      <c r="AA62" s="194">
        <f t="shared" si="1"/>
        <v>82124</v>
      </c>
      <c r="AB62" s="194">
        <f t="shared" si="1"/>
        <v>1184170</v>
      </c>
      <c r="AC62" s="194">
        <f t="shared" si="1"/>
        <v>544519</v>
      </c>
      <c r="AD62" s="194">
        <f t="shared" si="1"/>
        <v>0</v>
      </c>
      <c r="AE62" s="194">
        <f t="shared" si="1"/>
        <v>1104971</v>
      </c>
      <c r="AF62" s="194">
        <f t="shared" si="1"/>
        <v>0</v>
      </c>
      <c r="AG62" s="194">
        <f t="shared" si="1"/>
        <v>2519542</v>
      </c>
      <c r="AH62" s="194">
        <f t="shared" si="1"/>
        <v>0</v>
      </c>
      <c r="AI62" s="194">
        <f t="shared" si="1"/>
        <v>0</v>
      </c>
      <c r="AJ62" s="194">
        <f t="shared" si="1"/>
        <v>8796210</v>
      </c>
      <c r="AK62" s="194">
        <f t="shared" si="1"/>
        <v>0</v>
      </c>
      <c r="AL62" s="194">
        <f t="shared" si="1"/>
        <v>0</v>
      </c>
      <c r="AM62" s="194">
        <f t="shared" si="1"/>
        <v>0</v>
      </c>
      <c r="AN62" s="194">
        <f t="shared" si="1"/>
        <v>0</v>
      </c>
      <c r="AO62" s="194">
        <f t="shared" si="1"/>
        <v>0</v>
      </c>
      <c r="AP62" s="194">
        <f t="shared" si="1"/>
        <v>11051609</v>
      </c>
      <c r="AQ62" s="194">
        <f t="shared" si="1"/>
        <v>0</v>
      </c>
      <c r="AR62" s="194">
        <f t="shared" si="1"/>
        <v>9985435</v>
      </c>
      <c r="AS62" s="194">
        <f t="shared" si="1"/>
        <v>0</v>
      </c>
      <c r="AT62" s="194">
        <f t="shared" si="1"/>
        <v>0</v>
      </c>
      <c r="AU62" s="194">
        <f t="shared" si="1"/>
        <v>0</v>
      </c>
      <c r="AV62" s="194">
        <f t="shared" si="1"/>
        <v>530082</v>
      </c>
      <c r="AW62" s="194">
        <f t="shared" si="1"/>
        <v>180324</v>
      </c>
      <c r="AX62" s="194">
        <f t="shared" si="1"/>
        <v>0</v>
      </c>
      <c r="AY62" s="194">
        <f>ROUND(AY47+AY48,0)</f>
        <v>0</v>
      </c>
      <c r="AZ62" s="194">
        <f>ROUND(AZ47+AZ48,0)</f>
        <v>924283</v>
      </c>
      <c r="BA62" s="194">
        <f>ROUND(BA47+BA48,0)</f>
        <v>75111</v>
      </c>
      <c r="BB62" s="194">
        <f t="shared" si="1"/>
        <v>0</v>
      </c>
      <c r="BC62" s="194">
        <f t="shared" si="1"/>
        <v>122179</v>
      </c>
      <c r="BD62" s="194">
        <f t="shared" si="1"/>
        <v>556365</v>
      </c>
      <c r="BE62" s="194">
        <f t="shared" si="1"/>
        <v>897984</v>
      </c>
      <c r="BF62" s="194">
        <f t="shared" si="1"/>
        <v>1606485</v>
      </c>
      <c r="BG62" s="194">
        <f t="shared" si="1"/>
        <v>365760</v>
      </c>
      <c r="BH62" s="194">
        <f t="shared" si="1"/>
        <v>2107121</v>
      </c>
      <c r="BI62" s="194">
        <f t="shared" si="1"/>
        <v>383168</v>
      </c>
      <c r="BJ62" s="194">
        <f t="shared" si="1"/>
        <v>406102</v>
      </c>
      <c r="BK62" s="194">
        <f t="shared" si="1"/>
        <v>1572214</v>
      </c>
      <c r="BL62" s="194">
        <f t="shared" si="1"/>
        <v>1004275</v>
      </c>
      <c r="BM62" s="194">
        <f t="shared" si="1"/>
        <v>456062</v>
      </c>
      <c r="BN62" s="194">
        <f t="shared" si="1"/>
        <v>1584417</v>
      </c>
      <c r="BO62" s="194">
        <f t="shared" ref="BO62:CC62" si="2">ROUND(BO47+BO48,0)</f>
        <v>136130</v>
      </c>
      <c r="BP62" s="194">
        <f t="shared" si="2"/>
        <v>296339</v>
      </c>
      <c r="BQ62" s="194">
        <f t="shared" si="2"/>
        <v>105716</v>
      </c>
      <c r="BR62" s="194">
        <f t="shared" si="2"/>
        <v>559052</v>
      </c>
      <c r="BS62" s="194">
        <f t="shared" si="2"/>
        <v>159411</v>
      </c>
      <c r="BT62" s="194">
        <f t="shared" si="2"/>
        <v>72775</v>
      </c>
      <c r="BU62" s="194">
        <f t="shared" si="2"/>
        <v>12135</v>
      </c>
      <c r="BV62" s="194">
        <f t="shared" si="2"/>
        <v>1145245</v>
      </c>
      <c r="BW62" s="194">
        <f t="shared" si="2"/>
        <v>139158</v>
      </c>
      <c r="BX62" s="194">
        <f t="shared" si="2"/>
        <v>1105604</v>
      </c>
      <c r="BY62" s="194">
        <f t="shared" si="2"/>
        <v>396249</v>
      </c>
      <c r="BZ62" s="194">
        <f t="shared" si="2"/>
        <v>1102580</v>
      </c>
      <c r="CA62" s="194">
        <f t="shared" si="2"/>
        <v>207425</v>
      </c>
      <c r="CB62" s="194">
        <f t="shared" si="2"/>
        <v>1245106</v>
      </c>
      <c r="CC62" s="194">
        <f t="shared" si="2"/>
        <v>934786</v>
      </c>
      <c r="CD62" s="248" t="s">
        <v>221</v>
      </c>
      <c r="CE62" s="194">
        <f t="shared" si="0"/>
        <v>83289967</v>
      </c>
      <c r="CF62" s="251"/>
    </row>
    <row r="63" spans="1:84" ht="12.6" customHeight="1" x14ac:dyDescent="0.25">
      <c r="A63" s="170" t="s">
        <v>236</v>
      </c>
      <c r="B63" s="174"/>
      <c r="C63" s="183">
        <v>582502.25</v>
      </c>
      <c r="D63" s="183">
        <v>0</v>
      </c>
      <c r="E63" s="183">
        <v>0</v>
      </c>
      <c r="F63" s="184">
        <v>0</v>
      </c>
      <c r="G63" s="183">
        <v>0</v>
      </c>
      <c r="H63" s="183">
        <v>0</v>
      </c>
      <c r="I63" s="184">
        <v>0</v>
      </c>
      <c r="J63" s="184">
        <v>0</v>
      </c>
      <c r="K63" s="184">
        <v>0</v>
      </c>
      <c r="L63" s="184">
        <v>0</v>
      </c>
      <c r="M63" s="183">
        <v>0</v>
      </c>
      <c r="N63" s="183">
        <v>525027.31000000006</v>
      </c>
      <c r="O63" s="183"/>
      <c r="P63" s="184">
        <v>13063.079999999998</v>
      </c>
      <c r="Q63" s="184">
        <v>0</v>
      </c>
      <c r="R63" s="184">
        <v>0</v>
      </c>
      <c r="S63" s="184">
        <v>0</v>
      </c>
      <c r="T63" s="184">
        <v>0</v>
      </c>
      <c r="U63" s="184">
        <v>199019.99799999999</v>
      </c>
      <c r="V63" s="184">
        <v>1100</v>
      </c>
      <c r="W63" s="184">
        <v>0</v>
      </c>
      <c r="X63" s="184">
        <v>0</v>
      </c>
      <c r="Y63" s="184">
        <v>100980.03</v>
      </c>
      <c r="Z63" s="184">
        <v>0</v>
      </c>
      <c r="AA63" s="184">
        <v>0</v>
      </c>
      <c r="AB63" s="184">
        <v>0</v>
      </c>
      <c r="AC63" s="184">
        <v>0</v>
      </c>
      <c r="AD63" s="184">
        <v>0</v>
      </c>
      <c r="AE63" s="184">
        <v>0</v>
      </c>
      <c r="AF63" s="184"/>
      <c r="AG63" s="184">
        <v>583656.30000000005</v>
      </c>
      <c r="AH63" s="184">
        <v>0</v>
      </c>
      <c r="AI63" s="184">
        <v>0</v>
      </c>
      <c r="AJ63" s="184">
        <v>865809.85</v>
      </c>
      <c r="AK63" s="184"/>
      <c r="AL63" s="184"/>
      <c r="AM63" s="184"/>
      <c r="AN63" s="184"/>
      <c r="AO63" s="184"/>
      <c r="AP63" s="184">
        <v>2338843.54</v>
      </c>
      <c r="AQ63" s="184"/>
      <c r="AR63" s="184">
        <v>29994.449999999997</v>
      </c>
      <c r="AS63" s="184">
        <v>0</v>
      </c>
      <c r="AT63" s="184"/>
      <c r="AU63" s="184"/>
      <c r="AV63" s="184"/>
      <c r="AW63" s="184">
        <v>488505.62</v>
      </c>
      <c r="AX63" s="184"/>
      <c r="AY63" s="184"/>
      <c r="AZ63" s="184">
        <v>-92.79</v>
      </c>
      <c r="BA63" s="184">
        <v>0</v>
      </c>
      <c r="BB63" s="184">
        <v>0</v>
      </c>
      <c r="BC63" s="184">
        <v>0</v>
      </c>
      <c r="BD63" s="184">
        <v>0</v>
      </c>
      <c r="BE63" s="184">
        <v>1680</v>
      </c>
      <c r="BF63" s="184">
        <v>0</v>
      </c>
      <c r="BG63" s="184">
        <v>0</v>
      </c>
      <c r="BH63" s="184">
        <v>54887.5</v>
      </c>
      <c r="BI63" s="184">
        <v>-35000</v>
      </c>
      <c r="BJ63" s="184">
        <v>315000</v>
      </c>
      <c r="BK63" s="184">
        <v>620401.25</v>
      </c>
      <c r="BL63" s="184">
        <v>0</v>
      </c>
      <c r="BM63" s="184">
        <v>11890</v>
      </c>
      <c r="BN63" s="184">
        <v>859888.64000000001</v>
      </c>
      <c r="BO63" s="184">
        <v>990</v>
      </c>
      <c r="BP63" s="184">
        <v>170635.47</v>
      </c>
      <c r="BQ63" s="184">
        <v>0</v>
      </c>
      <c r="BR63" s="184">
        <f>797638.66+226596</f>
        <v>1024234.66</v>
      </c>
      <c r="BS63" s="184">
        <v>0</v>
      </c>
      <c r="BT63" s="184">
        <v>0</v>
      </c>
      <c r="BU63" s="184">
        <v>0</v>
      </c>
      <c r="BV63" s="184">
        <v>15529.43</v>
      </c>
      <c r="BW63" s="184">
        <v>1342124.5429999998</v>
      </c>
      <c r="BX63" s="184">
        <v>127909.38</v>
      </c>
      <c r="BY63" s="184">
        <v>0</v>
      </c>
      <c r="BZ63" s="184">
        <v>0</v>
      </c>
      <c r="CA63" s="184">
        <v>0</v>
      </c>
      <c r="CB63" s="184">
        <v>0</v>
      </c>
      <c r="CC63" s="184">
        <v>548365.21</v>
      </c>
      <c r="CD63" s="248" t="s">
        <v>221</v>
      </c>
      <c r="CE63" s="194">
        <f t="shared" si="0"/>
        <v>10786945.721000001</v>
      </c>
      <c r="CF63" s="251"/>
    </row>
    <row r="64" spans="1:84" ht="12.6" customHeight="1" x14ac:dyDescent="0.25">
      <c r="A64" s="170" t="s">
        <v>237</v>
      </c>
      <c r="B64" s="174"/>
      <c r="C64" s="183">
        <v>1595992.6700000002</v>
      </c>
      <c r="D64" s="183">
        <v>877300.83000000007</v>
      </c>
      <c r="E64" s="184">
        <v>1948207.8999999997</v>
      </c>
      <c r="F64" s="184">
        <f>1768579.74-1768473.23</f>
        <v>106.51000000000931</v>
      </c>
      <c r="G64" s="183">
        <v>74252.569999999992</v>
      </c>
      <c r="H64" s="183"/>
      <c r="I64" s="184"/>
      <c r="J64" s="184"/>
      <c r="K64" s="184"/>
      <c r="L64" s="184"/>
      <c r="M64" s="183">
        <f>127664.86+42319</f>
        <v>169983.86</v>
      </c>
      <c r="N64" s="183">
        <v>5064.76</v>
      </c>
      <c r="O64" s="183">
        <v>1768473.23</v>
      </c>
      <c r="P64" s="184">
        <v>35715717.787000015</v>
      </c>
      <c r="Q64" s="184">
        <v>256676.09</v>
      </c>
      <c r="R64" s="184">
        <v>396436.68999999994</v>
      </c>
      <c r="S64" s="184">
        <v>563626.36</v>
      </c>
      <c r="T64" s="184">
        <v>0</v>
      </c>
      <c r="U64" s="184">
        <v>4486449.9000000013</v>
      </c>
      <c r="V64" s="184">
        <v>11661.66</v>
      </c>
      <c r="W64" s="184">
        <v>163721.41</v>
      </c>
      <c r="X64" s="184">
        <v>475791.36999999988</v>
      </c>
      <c r="Y64" s="184">
        <v>6822985.7510000002</v>
      </c>
      <c r="Z64" s="184">
        <v>187709.50999999995</v>
      </c>
      <c r="AA64" s="184">
        <v>398158.12000000005</v>
      </c>
      <c r="AB64" s="184">
        <v>13934683.029999996</v>
      </c>
      <c r="AC64" s="184">
        <v>327795.93000000005</v>
      </c>
      <c r="AD64" s="184">
        <v>0</v>
      </c>
      <c r="AE64" s="184">
        <v>117214.24</v>
      </c>
      <c r="AF64" s="184"/>
      <c r="AG64" s="184">
        <v>1281484.3599999999</v>
      </c>
      <c r="AH64" s="184"/>
      <c r="AI64" s="184"/>
      <c r="AJ64" s="184">
        <v>3878118.1700000004</v>
      </c>
      <c r="AK64" s="184"/>
      <c r="AL64" s="184"/>
      <c r="AM64" s="184"/>
      <c r="AN64" s="184"/>
      <c r="AO64" s="184"/>
      <c r="AP64" s="184">
        <v>6515248.7699999986</v>
      </c>
      <c r="AQ64" s="184"/>
      <c r="AR64" s="184">
        <f>3259776.988+486667</f>
        <v>3746443.9879999999</v>
      </c>
      <c r="AS64" s="184">
        <v>0</v>
      </c>
      <c r="AT64" s="184"/>
      <c r="AU64" s="184"/>
      <c r="AV64" s="184">
        <v>5111315.2999999989</v>
      </c>
      <c r="AW64" s="184">
        <v>20709.739999999998</v>
      </c>
      <c r="AX64" s="184">
        <v>278483.99</v>
      </c>
      <c r="AY64" s="184"/>
      <c r="AZ64" s="184">
        <v>1790200.1</v>
      </c>
      <c r="BA64" s="184">
        <v>33795.69</v>
      </c>
      <c r="BB64" s="184">
        <v>0</v>
      </c>
      <c r="BC64" s="184">
        <v>383.57999999999993</v>
      </c>
      <c r="BD64" s="184">
        <v>24382.13</v>
      </c>
      <c r="BE64" s="184">
        <v>541460.35</v>
      </c>
      <c r="BF64" s="184">
        <v>389055.41</v>
      </c>
      <c r="BG64" s="184">
        <v>100323.78</v>
      </c>
      <c r="BH64" s="184">
        <v>877434.78</v>
      </c>
      <c r="BI64" s="184">
        <v>68355.37</v>
      </c>
      <c r="BJ64" s="184">
        <v>16159.099999999999</v>
      </c>
      <c r="BK64" s="184">
        <v>116526.24</v>
      </c>
      <c r="BL64" s="184">
        <v>40510.310000000005</v>
      </c>
      <c r="BM64" s="184">
        <v>6044.7</v>
      </c>
      <c r="BN64" s="184">
        <v>15584.36</v>
      </c>
      <c r="BO64" s="184">
        <v>177732.86000000002</v>
      </c>
      <c r="BP64" s="184">
        <v>92392.78</v>
      </c>
      <c r="BQ64" s="184">
        <v>2647.7200000000003</v>
      </c>
      <c r="BR64" s="184">
        <f>44561.31+1932</f>
        <v>46493.31</v>
      </c>
      <c r="BS64" s="184">
        <v>522716.10999999987</v>
      </c>
      <c r="BT64" s="184">
        <v>2253.19</v>
      </c>
      <c r="BU64" s="184">
        <v>0</v>
      </c>
      <c r="BV64" s="184">
        <v>39525.649999999994</v>
      </c>
      <c r="BW64" s="184">
        <v>2092.6199999999994</v>
      </c>
      <c r="BX64" s="184">
        <v>17370.18</v>
      </c>
      <c r="BY64" s="184">
        <v>2375.5</v>
      </c>
      <c r="BZ64" s="184">
        <v>3667.5299999999997</v>
      </c>
      <c r="CA64" s="184">
        <v>51854.75</v>
      </c>
      <c r="CB64" s="184">
        <v>69728.990000000005</v>
      </c>
      <c r="CC64" s="184">
        <f>67787.87-1411284</f>
        <v>-1343496.13</v>
      </c>
      <c r="CD64" s="248" t="s">
        <v>221</v>
      </c>
      <c r="CE64" s="194">
        <f t="shared" si="0"/>
        <v>94837385.455999985</v>
      </c>
      <c r="CF64" s="251"/>
    </row>
    <row r="65" spans="1:84" ht="12.6" customHeight="1" x14ac:dyDescent="0.25">
      <c r="A65" s="170" t="s">
        <v>238</v>
      </c>
      <c r="B65" s="174"/>
      <c r="C65" s="183">
        <v>9094.27</v>
      </c>
      <c r="D65" s="183">
        <v>0</v>
      </c>
      <c r="E65" s="183">
        <v>0</v>
      </c>
      <c r="F65" s="183">
        <f>1086.82-80.3</f>
        <v>1006.52</v>
      </c>
      <c r="G65" s="183">
        <v>0</v>
      </c>
      <c r="H65" s="183"/>
      <c r="I65" s="184"/>
      <c r="J65" s="183"/>
      <c r="K65" s="184"/>
      <c r="L65" s="184"/>
      <c r="M65" s="183">
        <f>4987.77+3504</f>
        <v>8491.77</v>
      </c>
      <c r="N65" s="183">
        <v>28831.919999999998</v>
      </c>
      <c r="O65" s="183">
        <v>80.3</v>
      </c>
      <c r="P65" s="184">
        <v>2821.54</v>
      </c>
      <c r="Q65" s="184">
        <v>0</v>
      </c>
      <c r="R65" s="184">
        <v>0</v>
      </c>
      <c r="S65" s="184">
        <v>0</v>
      </c>
      <c r="T65" s="184">
        <v>0</v>
      </c>
      <c r="U65" s="184">
        <v>28088.9</v>
      </c>
      <c r="V65" s="184">
        <v>0</v>
      </c>
      <c r="W65" s="184">
        <v>0</v>
      </c>
      <c r="X65" s="184">
        <v>0</v>
      </c>
      <c r="Y65" s="184">
        <v>12080.71</v>
      </c>
      <c r="Z65" s="184">
        <v>3000.1</v>
      </c>
      <c r="AA65" s="184">
        <v>0</v>
      </c>
      <c r="AB65" s="184">
        <v>14.57</v>
      </c>
      <c r="AC65" s="184">
        <v>0</v>
      </c>
      <c r="AD65" s="184">
        <v>0</v>
      </c>
      <c r="AE65" s="184">
        <v>0</v>
      </c>
      <c r="AF65" s="184"/>
      <c r="AG65" s="184">
        <v>25729.61</v>
      </c>
      <c r="AH65" s="184">
        <v>0</v>
      </c>
      <c r="AI65" s="184">
        <v>0</v>
      </c>
      <c r="AJ65" s="184">
        <v>115530</v>
      </c>
      <c r="AK65" s="184"/>
      <c r="AL65" s="184"/>
      <c r="AM65" s="184"/>
      <c r="AN65" s="184"/>
      <c r="AO65" s="184"/>
      <c r="AP65" s="184">
        <v>336315.70999999996</v>
      </c>
      <c r="AQ65" s="184"/>
      <c r="AR65" s="184">
        <f>308289.75+40292</f>
        <v>348581.75</v>
      </c>
      <c r="AS65" s="184">
        <v>0</v>
      </c>
      <c r="AT65" s="184"/>
      <c r="AU65" s="184"/>
      <c r="AV65" s="184">
        <v>4253.58</v>
      </c>
      <c r="AW65" s="184">
        <v>594.58999999999992</v>
      </c>
      <c r="AX65" s="184">
        <v>0</v>
      </c>
      <c r="AY65" s="184"/>
      <c r="AZ65" s="184">
        <v>0</v>
      </c>
      <c r="BA65" s="184">
        <v>0</v>
      </c>
      <c r="BB65" s="184">
        <v>0</v>
      </c>
      <c r="BC65" s="184">
        <v>0</v>
      </c>
      <c r="BD65" s="184">
        <v>406.52</v>
      </c>
      <c r="BE65" s="184">
        <v>4033920.4699999993</v>
      </c>
      <c r="BF65" s="184">
        <v>461613.08999999997</v>
      </c>
      <c r="BG65" s="184">
        <v>744474.98</v>
      </c>
      <c r="BH65" s="184">
        <v>18229.599999999999</v>
      </c>
      <c r="BI65" s="184">
        <v>4202.82</v>
      </c>
      <c r="BJ65" s="184">
        <v>0</v>
      </c>
      <c r="BK65" s="184">
        <v>93297.010000000009</v>
      </c>
      <c r="BL65" s="184">
        <v>867.09999999999991</v>
      </c>
      <c r="BM65" s="184">
        <v>174.3</v>
      </c>
      <c r="BN65" s="184">
        <v>6535.5</v>
      </c>
      <c r="BO65" s="184">
        <v>0</v>
      </c>
      <c r="BP65" s="184">
        <v>600</v>
      </c>
      <c r="BQ65" s="184">
        <v>0</v>
      </c>
      <c r="BR65" s="184">
        <v>311.99</v>
      </c>
      <c r="BS65" s="184">
        <v>1436.18</v>
      </c>
      <c r="BT65" s="184">
        <v>6458.33</v>
      </c>
      <c r="BU65" s="184">
        <v>0</v>
      </c>
      <c r="BV65" s="184">
        <v>1690.94</v>
      </c>
      <c r="BW65" s="184">
        <v>0</v>
      </c>
      <c r="BX65" s="184">
        <v>1775.33</v>
      </c>
      <c r="BY65" s="184">
        <v>1802.9799999999998</v>
      </c>
      <c r="BZ65" s="184">
        <v>0</v>
      </c>
      <c r="CA65" s="184">
        <v>823.76</v>
      </c>
      <c r="CB65" s="184">
        <v>8236.67</v>
      </c>
      <c r="CC65" s="184">
        <v>57265.33</v>
      </c>
      <c r="CD65" s="248" t="s">
        <v>221</v>
      </c>
      <c r="CE65" s="194">
        <f t="shared" si="0"/>
        <v>6368638.7399999984</v>
      </c>
      <c r="CF65" s="251"/>
    </row>
    <row r="66" spans="1:84" ht="12.6" customHeight="1" x14ac:dyDescent="0.25">
      <c r="A66" s="170" t="s">
        <v>239</v>
      </c>
      <c r="B66" s="174"/>
      <c r="C66" s="183">
        <v>360043.08899999998</v>
      </c>
      <c r="D66" s="183">
        <v>364646.86900000001</v>
      </c>
      <c r="E66" s="183">
        <v>698367.78200000001</v>
      </c>
      <c r="F66" s="183">
        <f>248431.08-248392.13</f>
        <v>38.949999999982538</v>
      </c>
      <c r="G66" s="183">
        <v>24718.982</v>
      </c>
      <c r="H66" s="183"/>
      <c r="I66" s="183"/>
      <c r="J66" s="183"/>
      <c r="K66" s="184"/>
      <c r="L66" s="184"/>
      <c r="M66" s="183">
        <f>189202.83+8367</f>
        <v>197569.83</v>
      </c>
      <c r="N66" s="183">
        <v>2543.69</v>
      </c>
      <c r="O66" s="184">
        <v>248392.13</v>
      </c>
      <c r="P66" s="184">
        <v>2405649.7440000004</v>
      </c>
      <c r="Q66" s="184">
        <v>2990.56</v>
      </c>
      <c r="R66" s="184">
        <v>36415.229999999996</v>
      </c>
      <c r="S66" s="183">
        <v>310053.38</v>
      </c>
      <c r="T66" s="183">
        <v>0</v>
      </c>
      <c r="U66" s="184">
        <v>6092074.2589999987</v>
      </c>
      <c r="V66" s="184">
        <v>-0.01</v>
      </c>
      <c r="W66" s="184">
        <v>225467.01</v>
      </c>
      <c r="X66" s="184">
        <v>282559.20999999996</v>
      </c>
      <c r="Y66" s="184">
        <v>4050383.1529999995</v>
      </c>
      <c r="Z66" s="184">
        <v>1451188.38</v>
      </c>
      <c r="AA66" s="184">
        <v>57584.069999999992</v>
      </c>
      <c r="AB66" s="184">
        <v>242705.69</v>
      </c>
      <c r="AC66" s="184">
        <v>4098.59</v>
      </c>
      <c r="AD66" s="184">
        <v>0</v>
      </c>
      <c r="AE66" s="184">
        <v>17671.64</v>
      </c>
      <c r="AF66" s="184"/>
      <c r="AG66" s="184">
        <v>416804.72399999993</v>
      </c>
      <c r="AH66" s="184">
        <v>0</v>
      </c>
      <c r="AI66" s="184">
        <v>0</v>
      </c>
      <c r="AJ66" s="184">
        <v>1437513.1199999999</v>
      </c>
      <c r="AK66" s="184"/>
      <c r="AL66" s="184"/>
      <c r="AM66" s="184"/>
      <c r="AN66" s="184"/>
      <c r="AO66" s="184"/>
      <c r="AP66" s="184">
        <v>1700846.29</v>
      </c>
      <c r="AQ66" s="184"/>
      <c r="AR66" s="184">
        <f>3411437.93+96225</f>
        <v>3507662.93</v>
      </c>
      <c r="AS66" s="184"/>
      <c r="AT66" s="184"/>
      <c r="AU66" s="184"/>
      <c r="AV66" s="184">
        <v>211443.79</v>
      </c>
      <c r="AW66" s="184">
        <v>59556.170000000006</v>
      </c>
      <c r="AX66" s="184">
        <v>2408834.7779999999</v>
      </c>
      <c r="AY66" s="184"/>
      <c r="AZ66" s="184">
        <v>222389.17000000007</v>
      </c>
      <c r="BA66" s="184">
        <v>-55125.97</v>
      </c>
      <c r="BB66" s="184">
        <v>197982.11000000002</v>
      </c>
      <c r="BC66" s="184">
        <v>0</v>
      </c>
      <c r="BD66" s="184">
        <v>15684.92</v>
      </c>
      <c r="BE66" s="184">
        <v>2803777.8</v>
      </c>
      <c r="BF66" s="184">
        <v>-739120.17</v>
      </c>
      <c r="BG66" s="184">
        <v>58972.94</v>
      </c>
      <c r="BH66" s="184">
        <v>10188110.1</v>
      </c>
      <c r="BI66" s="184">
        <v>234587.69999999998</v>
      </c>
      <c r="BJ66" s="184">
        <v>67758.77</v>
      </c>
      <c r="BK66" s="184">
        <v>2078036.4200000002</v>
      </c>
      <c r="BL66" s="184">
        <v>175120.54</v>
      </c>
      <c r="BM66" s="184">
        <v>298676.24</v>
      </c>
      <c r="BN66" s="184">
        <v>976931.45</v>
      </c>
      <c r="BO66" s="184">
        <v>81338.592000000004</v>
      </c>
      <c r="BP66" s="184">
        <v>2795531.7590000001</v>
      </c>
      <c r="BQ66" s="184">
        <v>5640.07</v>
      </c>
      <c r="BR66" s="184">
        <f>433549.9+213518</f>
        <v>647067.9</v>
      </c>
      <c r="BS66" s="184">
        <v>29394.469999999998</v>
      </c>
      <c r="BT66" s="184">
        <v>908.30000000000007</v>
      </c>
      <c r="BU66" s="184">
        <v>-1226.17</v>
      </c>
      <c r="BV66" s="184">
        <v>1250117.77</v>
      </c>
      <c r="BW66" s="184">
        <v>99568.47</v>
      </c>
      <c r="BX66" s="184">
        <v>244016.99999999997</v>
      </c>
      <c r="BY66" s="184">
        <v>5695.21</v>
      </c>
      <c r="BZ66" s="184">
        <v>20</v>
      </c>
      <c r="CA66" s="184">
        <v>89835.46</v>
      </c>
      <c r="CB66" s="184">
        <v>210633.88999999998</v>
      </c>
      <c r="CC66" s="184">
        <f>1731335.96+172480+210341</f>
        <v>2114156.96</v>
      </c>
      <c r="CD66" s="248" t="s">
        <v>221</v>
      </c>
      <c r="CE66" s="194">
        <f t="shared" si="0"/>
        <v>50914305.731000021</v>
      </c>
      <c r="CF66" s="251"/>
    </row>
    <row r="67" spans="1:84" ht="12.6" customHeight="1" x14ac:dyDescent="0.25">
      <c r="A67" s="170" t="s">
        <v>6</v>
      </c>
      <c r="B67" s="174"/>
      <c r="C67" s="194">
        <f>ROUND(C51+C52,0)</f>
        <v>455247</v>
      </c>
      <c r="D67" s="194">
        <f>ROUND(D51+D52,0)</f>
        <v>1337509</v>
      </c>
      <c r="E67" s="194">
        <f t="shared" ref="E67:BP67" si="3">ROUND(E51+E52,0)</f>
        <v>1902338</v>
      </c>
      <c r="F67" s="194">
        <f t="shared" si="3"/>
        <v>721</v>
      </c>
      <c r="G67" s="194">
        <f t="shared" si="3"/>
        <v>104549</v>
      </c>
      <c r="H67" s="194">
        <f t="shared" si="3"/>
        <v>0</v>
      </c>
      <c r="I67" s="194">
        <f t="shared" si="3"/>
        <v>0</v>
      </c>
      <c r="J67" s="194">
        <f>ROUND(J51+J52,0)</f>
        <v>0</v>
      </c>
      <c r="K67" s="194">
        <f t="shared" si="3"/>
        <v>0</v>
      </c>
      <c r="L67" s="194">
        <f t="shared" si="3"/>
        <v>0</v>
      </c>
      <c r="M67" s="194">
        <f t="shared" si="3"/>
        <v>97003</v>
      </c>
      <c r="N67" s="194">
        <f t="shared" si="3"/>
        <v>5508</v>
      </c>
      <c r="O67" s="194">
        <f t="shared" si="3"/>
        <v>899575</v>
      </c>
      <c r="P67" s="194">
        <f t="shared" si="3"/>
        <v>3362431</v>
      </c>
      <c r="Q67" s="194">
        <f t="shared" si="3"/>
        <v>59259</v>
      </c>
      <c r="R67" s="194">
        <f t="shared" si="3"/>
        <v>132039</v>
      </c>
      <c r="S67" s="194">
        <f t="shared" si="3"/>
        <v>451861</v>
      </c>
      <c r="T67" s="194">
        <f t="shared" si="3"/>
        <v>0</v>
      </c>
      <c r="U67" s="194">
        <f t="shared" si="3"/>
        <v>659946</v>
      </c>
      <c r="V67" s="194">
        <f t="shared" si="3"/>
        <v>15796</v>
      </c>
      <c r="W67" s="194">
        <f t="shared" si="3"/>
        <v>142086</v>
      </c>
      <c r="X67" s="194">
        <f t="shared" si="3"/>
        <v>170870</v>
      </c>
      <c r="Y67" s="194">
        <f t="shared" si="3"/>
        <v>2060322</v>
      </c>
      <c r="Z67" s="194">
        <f t="shared" si="3"/>
        <v>1564036</v>
      </c>
      <c r="AA67" s="194">
        <f t="shared" si="3"/>
        <v>162687</v>
      </c>
      <c r="AB67" s="194">
        <f t="shared" si="3"/>
        <v>154064</v>
      </c>
      <c r="AC67" s="194">
        <f t="shared" si="3"/>
        <v>103840</v>
      </c>
      <c r="AD67" s="194">
        <f t="shared" si="3"/>
        <v>0</v>
      </c>
      <c r="AE67" s="194">
        <f t="shared" si="3"/>
        <v>229097</v>
      </c>
      <c r="AF67" s="194">
        <f t="shared" si="3"/>
        <v>0</v>
      </c>
      <c r="AG67" s="194">
        <f t="shared" si="3"/>
        <v>897744</v>
      </c>
      <c r="AH67" s="194">
        <f t="shared" si="3"/>
        <v>0</v>
      </c>
      <c r="AI67" s="194">
        <f t="shared" si="3"/>
        <v>0</v>
      </c>
      <c r="AJ67" s="194">
        <f t="shared" si="3"/>
        <v>2149707</v>
      </c>
      <c r="AK67" s="194">
        <f t="shared" si="3"/>
        <v>0</v>
      </c>
      <c r="AL67" s="194">
        <f t="shared" si="3"/>
        <v>0</v>
      </c>
      <c r="AM67" s="194">
        <f t="shared" si="3"/>
        <v>0</v>
      </c>
      <c r="AN67" s="194">
        <f t="shared" si="3"/>
        <v>0</v>
      </c>
      <c r="AO67" s="194">
        <f t="shared" si="3"/>
        <v>0</v>
      </c>
      <c r="AP67" s="194">
        <f t="shared" si="3"/>
        <v>2829440</v>
      </c>
      <c r="AQ67" s="194">
        <f t="shared" si="3"/>
        <v>0</v>
      </c>
      <c r="AR67" s="194">
        <f t="shared" si="3"/>
        <v>104498</v>
      </c>
      <c r="AS67" s="194">
        <f t="shared" si="3"/>
        <v>0</v>
      </c>
      <c r="AT67" s="194">
        <f t="shared" si="3"/>
        <v>0</v>
      </c>
      <c r="AU67" s="194">
        <f t="shared" si="3"/>
        <v>0</v>
      </c>
      <c r="AV67" s="194">
        <f t="shared" si="3"/>
        <v>316468</v>
      </c>
      <c r="AW67" s="194">
        <f t="shared" si="3"/>
        <v>35193</v>
      </c>
      <c r="AX67" s="194">
        <f t="shared" si="3"/>
        <v>0</v>
      </c>
      <c r="AY67" s="194">
        <f t="shared" si="3"/>
        <v>0</v>
      </c>
      <c r="AZ67" s="194">
        <f>ROUND(AZ51+AZ52,0)</f>
        <v>781088</v>
      </c>
      <c r="BA67" s="194">
        <f>ROUND(BA51+BA52,0)</f>
        <v>8912</v>
      </c>
      <c r="BB67" s="194">
        <f t="shared" si="3"/>
        <v>0</v>
      </c>
      <c r="BC67" s="194">
        <f t="shared" si="3"/>
        <v>31693</v>
      </c>
      <c r="BD67" s="194">
        <f t="shared" si="3"/>
        <v>77665</v>
      </c>
      <c r="BE67" s="194">
        <f t="shared" si="3"/>
        <v>6868093</v>
      </c>
      <c r="BF67" s="194">
        <f t="shared" si="3"/>
        <v>51757</v>
      </c>
      <c r="BG67" s="194">
        <f t="shared" si="3"/>
        <v>24142</v>
      </c>
      <c r="BH67" s="194">
        <f t="shared" si="3"/>
        <v>4178775</v>
      </c>
      <c r="BI67" s="194">
        <f t="shared" si="3"/>
        <v>192060</v>
      </c>
      <c r="BJ67" s="194">
        <f t="shared" si="3"/>
        <v>126210</v>
      </c>
      <c r="BK67" s="194">
        <f t="shared" si="3"/>
        <v>205343</v>
      </c>
      <c r="BL67" s="194">
        <f t="shared" si="3"/>
        <v>31035</v>
      </c>
      <c r="BM67" s="194">
        <f t="shared" si="3"/>
        <v>97561</v>
      </c>
      <c r="BN67" s="194">
        <f t="shared" si="3"/>
        <v>223807</v>
      </c>
      <c r="BO67" s="194">
        <f t="shared" si="3"/>
        <v>31734</v>
      </c>
      <c r="BP67" s="194">
        <f t="shared" si="3"/>
        <v>113392</v>
      </c>
      <c r="BQ67" s="194">
        <f t="shared" ref="BQ67:CC67" si="4">ROUND(BQ51+BQ52,0)</f>
        <v>5456</v>
      </c>
      <c r="BR67" s="194">
        <f t="shared" si="4"/>
        <v>9831</v>
      </c>
      <c r="BS67" s="194">
        <f t="shared" si="4"/>
        <v>16137</v>
      </c>
      <c r="BT67" s="194">
        <f t="shared" si="4"/>
        <v>34840</v>
      </c>
      <c r="BU67" s="194">
        <f t="shared" si="4"/>
        <v>2006</v>
      </c>
      <c r="BV67" s="194">
        <f t="shared" si="4"/>
        <v>77543</v>
      </c>
      <c r="BW67" s="194">
        <f t="shared" si="4"/>
        <v>25348</v>
      </c>
      <c r="BX67" s="194">
        <f t="shared" si="4"/>
        <v>14769</v>
      </c>
      <c r="BY67" s="194">
        <f t="shared" si="4"/>
        <v>348464</v>
      </c>
      <c r="BZ67" s="194">
        <f t="shared" si="4"/>
        <v>11465</v>
      </c>
      <c r="CA67" s="194">
        <f t="shared" si="4"/>
        <v>5211</v>
      </c>
      <c r="CB67" s="194">
        <f t="shared" si="4"/>
        <v>127460</v>
      </c>
      <c r="CC67" s="194">
        <f t="shared" si="4"/>
        <v>103072</v>
      </c>
      <c r="CD67" s="248" t="s">
        <v>221</v>
      </c>
      <c r="CE67" s="194">
        <f t="shared" si="0"/>
        <v>34228703</v>
      </c>
      <c r="CF67" s="251"/>
    </row>
    <row r="68" spans="1:84" ht="12.6" customHeight="1" x14ac:dyDescent="0.25">
      <c r="A68" s="170" t="s">
        <v>240</v>
      </c>
      <c r="B68" s="174"/>
      <c r="C68" s="183">
        <v>4294.76</v>
      </c>
      <c r="D68" s="183">
        <v>0</v>
      </c>
      <c r="E68" s="183">
        <v>0</v>
      </c>
      <c r="F68" s="183">
        <v>0</v>
      </c>
      <c r="G68" s="183">
        <v>273.75</v>
      </c>
      <c r="H68" s="183"/>
      <c r="I68" s="183"/>
      <c r="J68" s="183"/>
      <c r="K68" s="184"/>
      <c r="L68" s="184"/>
      <c r="M68" s="183">
        <f>9815.85+52705</f>
        <v>62520.85</v>
      </c>
      <c r="N68" s="183"/>
      <c r="O68" s="183"/>
      <c r="P68" s="184">
        <v>89193.95</v>
      </c>
      <c r="Q68" s="184">
        <v>0</v>
      </c>
      <c r="R68" s="184">
        <v>0</v>
      </c>
      <c r="S68" s="184">
        <v>0</v>
      </c>
      <c r="T68" s="184">
        <v>0</v>
      </c>
      <c r="U68" s="184">
        <v>339496.23</v>
      </c>
      <c r="V68" s="184">
        <v>0</v>
      </c>
      <c r="W68" s="184">
        <v>64514.12</v>
      </c>
      <c r="X68" s="184">
        <v>0</v>
      </c>
      <c r="Y68" s="184">
        <v>295799.45</v>
      </c>
      <c r="Z68" s="184">
        <v>2144</v>
      </c>
      <c r="AA68" s="184">
        <v>0</v>
      </c>
      <c r="AB68" s="184">
        <v>0</v>
      </c>
      <c r="AC68" s="184">
        <v>11468.7</v>
      </c>
      <c r="AD68" s="184">
        <v>0</v>
      </c>
      <c r="AE68" s="184">
        <v>0</v>
      </c>
      <c r="AF68" s="184"/>
      <c r="AG68" s="184">
        <v>572391.4</v>
      </c>
      <c r="AH68" s="184">
        <v>0</v>
      </c>
      <c r="AI68" s="184">
        <v>0</v>
      </c>
      <c r="AJ68" s="184">
        <v>88897.87</v>
      </c>
      <c r="AK68" s="184"/>
      <c r="AL68" s="184"/>
      <c r="AM68" s="184"/>
      <c r="AN68" s="184"/>
      <c r="AO68" s="184"/>
      <c r="AP68" s="184">
        <v>5884273.8700000001</v>
      </c>
      <c r="AQ68" s="184"/>
      <c r="AR68" s="184">
        <f>1187641.04+606111</f>
        <v>1793752.04</v>
      </c>
      <c r="AS68" s="184">
        <v>0</v>
      </c>
      <c r="AT68" s="184"/>
      <c r="AU68" s="184"/>
      <c r="AV68" s="184"/>
      <c r="AW68" s="184"/>
      <c r="AX68" s="184">
        <v>1382032.87</v>
      </c>
      <c r="AY68" s="184"/>
      <c r="AZ68" s="184">
        <v>5000.78</v>
      </c>
      <c r="BA68" s="184">
        <v>0</v>
      </c>
      <c r="BB68" s="184">
        <v>0</v>
      </c>
      <c r="BC68" s="184">
        <v>0</v>
      </c>
      <c r="BD68" s="184">
        <v>0</v>
      </c>
      <c r="BE68" s="184">
        <v>3127478.83</v>
      </c>
      <c r="BF68" s="184">
        <v>0</v>
      </c>
      <c r="BG68" s="184">
        <v>0</v>
      </c>
      <c r="BH68" s="184">
        <v>0</v>
      </c>
      <c r="BI68" s="184">
        <v>1147959.6100000001</v>
      </c>
      <c r="BJ68" s="184">
        <v>0</v>
      </c>
      <c r="BK68" s="184">
        <v>118296.41</v>
      </c>
      <c r="BL68" s="184">
        <v>0</v>
      </c>
      <c r="BM68" s="184">
        <v>0</v>
      </c>
      <c r="BN68" s="184">
        <v>0</v>
      </c>
      <c r="BO68" s="184">
        <v>0</v>
      </c>
      <c r="BP68" s="184">
        <v>0</v>
      </c>
      <c r="BQ68" s="184">
        <v>0</v>
      </c>
      <c r="BR68" s="184">
        <v>4761.13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-0.04</v>
      </c>
      <c r="BY68" s="184">
        <v>0</v>
      </c>
      <c r="BZ68" s="184">
        <v>0</v>
      </c>
      <c r="CA68" s="184">
        <v>0</v>
      </c>
      <c r="CB68" s="184">
        <v>134495.79999999999</v>
      </c>
      <c r="CC68" s="184">
        <f>4500-167582</f>
        <v>-163082</v>
      </c>
      <c r="CD68" s="248" t="s">
        <v>221</v>
      </c>
      <c r="CE68" s="194">
        <f t="shared" si="0"/>
        <v>14965964.380000001</v>
      </c>
      <c r="CF68" s="251"/>
    </row>
    <row r="69" spans="1:84" ht="12.6" customHeight="1" x14ac:dyDescent="0.25">
      <c r="A69" s="170" t="s">
        <v>241</v>
      </c>
      <c r="B69" s="174"/>
      <c r="C69" s="183">
        <v>55508.930000000008</v>
      </c>
      <c r="D69" s="183">
        <v>16957.32</v>
      </c>
      <c r="E69" s="184">
        <v>23887.95</v>
      </c>
      <c r="F69" s="184">
        <f>118828.42-81189.51</f>
        <v>37638.910000000003</v>
      </c>
      <c r="G69" s="183">
        <v>15364</v>
      </c>
      <c r="H69" s="183"/>
      <c r="I69" s="184"/>
      <c r="J69" s="184"/>
      <c r="K69" s="184"/>
      <c r="L69" s="184"/>
      <c r="M69" s="183">
        <f>43545.62+7509</f>
        <v>51054.62</v>
      </c>
      <c r="N69" s="183">
        <v>197252.66999999998</v>
      </c>
      <c r="O69" s="183">
        <v>81189.509999999995</v>
      </c>
      <c r="P69" s="184">
        <v>48444.130000000005</v>
      </c>
      <c r="Q69" s="184">
        <v>12579.77</v>
      </c>
      <c r="R69" s="223">
        <v>585</v>
      </c>
      <c r="S69" s="184">
        <v>7972.13</v>
      </c>
      <c r="T69" s="183">
        <v>0</v>
      </c>
      <c r="U69" s="184">
        <v>16228.57</v>
      </c>
      <c r="V69" s="184">
        <v>35</v>
      </c>
      <c r="W69" s="183">
        <v>15713.8</v>
      </c>
      <c r="X69" s="184">
        <v>6783.4699999999993</v>
      </c>
      <c r="Y69" s="184">
        <v>61032.22</v>
      </c>
      <c r="Z69" s="184">
        <v>51730.890000000007</v>
      </c>
      <c r="AA69" s="184">
        <v>10420.5</v>
      </c>
      <c r="AB69" s="184">
        <v>30415.710000000003</v>
      </c>
      <c r="AC69" s="184">
        <v>2706</v>
      </c>
      <c r="AD69" s="184">
        <v>0</v>
      </c>
      <c r="AE69" s="184">
        <v>24643.599999999999</v>
      </c>
      <c r="AF69" s="184"/>
      <c r="AG69" s="184">
        <v>42140.95</v>
      </c>
      <c r="AH69" s="184"/>
      <c r="AI69" s="184"/>
      <c r="AJ69" s="184">
        <v>871351.51</v>
      </c>
      <c r="AK69" s="184"/>
      <c r="AL69" s="184"/>
      <c r="AM69" s="184"/>
      <c r="AN69" s="184"/>
      <c r="AO69" s="183"/>
      <c r="AP69" s="184"/>
      <c r="AQ69" s="183">
        <v>1821558.6800000002</v>
      </c>
      <c r="AR69" s="183">
        <f>1263125.04+86358</f>
        <v>1349483.04</v>
      </c>
      <c r="AS69" s="183">
        <v>0</v>
      </c>
      <c r="AT69" s="183"/>
      <c r="AU69" s="184"/>
      <c r="AV69" s="184">
        <v>4629.75</v>
      </c>
      <c r="AW69" s="184">
        <v>41941.65</v>
      </c>
      <c r="AX69" s="184">
        <v>133.69999999999999</v>
      </c>
      <c r="AY69" s="184"/>
      <c r="AZ69" s="184">
        <v>226.51999999999998</v>
      </c>
      <c r="BA69" s="184">
        <v>0</v>
      </c>
      <c r="BB69" s="184">
        <v>5000</v>
      </c>
      <c r="BC69" s="184">
        <v>70</v>
      </c>
      <c r="BD69" s="184">
        <v>252051.34</v>
      </c>
      <c r="BE69" s="184">
        <v>192649.97</v>
      </c>
      <c r="BF69" s="184">
        <v>0</v>
      </c>
      <c r="BG69" s="184">
        <v>0</v>
      </c>
      <c r="BH69" s="223">
        <v>30266.760000000002</v>
      </c>
      <c r="BI69" s="184">
        <v>44479.5</v>
      </c>
      <c r="BJ69" s="184">
        <v>2306.1199999999994</v>
      </c>
      <c r="BK69" s="184">
        <v>31336.210000000003</v>
      </c>
      <c r="BL69" s="184">
        <v>188.97</v>
      </c>
      <c r="BM69" s="184">
        <v>34122.15</v>
      </c>
      <c r="BN69" s="184">
        <v>640273.63</v>
      </c>
      <c r="BO69" s="184">
        <v>4036.74</v>
      </c>
      <c r="BP69" s="184">
        <v>3706.0000000000005</v>
      </c>
      <c r="BQ69" s="184">
        <v>300</v>
      </c>
      <c r="BR69" s="184">
        <v>37689.53</v>
      </c>
      <c r="BS69" s="184">
        <v>4943.2699999999995</v>
      </c>
      <c r="BT69" s="184">
        <v>344.77</v>
      </c>
      <c r="BU69" s="184">
        <v>245105.03</v>
      </c>
      <c r="BV69" s="184">
        <v>4444.8500000000004</v>
      </c>
      <c r="BW69" s="184">
        <v>15636.7</v>
      </c>
      <c r="BX69" s="184">
        <v>14140.029999999999</v>
      </c>
      <c r="BY69" s="184">
        <v>31607.850000000002</v>
      </c>
      <c r="BZ69" s="184">
        <v>3930.87</v>
      </c>
      <c r="CA69" s="184">
        <v>344445.80999999994</v>
      </c>
      <c r="CB69" s="184">
        <v>8678.57</v>
      </c>
      <c r="CC69" s="184">
        <v>2036034.61</v>
      </c>
      <c r="CD69" s="187">
        <f>1935898.59+964226.49+4599197.53+130720.68+1497895.83</f>
        <v>9127939.120000001</v>
      </c>
      <c r="CE69" s="194">
        <f t="shared" si="0"/>
        <v>18015338.899999999</v>
      </c>
      <c r="CF69" s="251"/>
    </row>
    <row r="70" spans="1:84" ht="12.6" customHeight="1" x14ac:dyDescent="0.25">
      <c r="A70" s="170" t="s">
        <v>242</v>
      </c>
      <c r="B70" s="174"/>
      <c r="C70" s="183">
        <v>9776.1200000000008</v>
      </c>
      <c r="D70" s="183">
        <v>0</v>
      </c>
      <c r="E70" s="183">
        <v>9386.91</v>
      </c>
      <c r="F70" s="184">
        <f>28928.72-28128.72</f>
        <v>800</v>
      </c>
      <c r="G70" s="183">
        <v>0</v>
      </c>
      <c r="H70" s="183"/>
      <c r="I70" s="183"/>
      <c r="J70" s="184"/>
      <c r="K70" s="184"/>
      <c r="L70" s="184"/>
      <c r="M70" s="183">
        <f>306971.63+265</f>
        <v>307236.63</v>
      </c>
      <c r="N70" s="183">
        <v>100.1</v>
      </c>
      <c r="O70" s="183">
        <v>28128.720000000001</v>
      </c>
      <c r="P70" s="183">
        <v>948.77</v>
      </c>
      <c r="Q70" s="183">
        <v>376.76</v>
      </c>
      <c r="R70" s="183">
        <v>0</v>
      </c>
      <c r="S70" s="183">
        <v>0</v>
      </c>
      <c r="T70" s="183">
        <v>0</v>
      </c>
      <c r="U70" s="184">
        <v>5842955.5499999998</v>
      </c>
      <c r="V70" s="183">
        <v>5496.03</v>
      </c>
      <c r="W70" s="183">
        <v>0</v>
      </c>
      <c r="X70" s="184">
        <v>0</v>
      </c>
      <c r="Y70" s="184">
        <v>11797.66</v>
      </c>
      <c r="Z70" s="184">
        <v>22971.84</v>
      </c>
      <c r="AA70" s="184">
        <v>0</v>
      </c>
      <c r="AB70" s="184">
        <v>4019.28</v>
      </c>
      <c r="AC70" s="184">
        <v>90.24</v>
      </c>
      <c r="AD70" s="184">
        <v>0</v>
      </c>
      <c r="AE70" s="184">
        <v>15591.97</v>
      </c>
      <c r="AF70" s="184"/>
      <c r="AG70" s="184">
        <v>5591.43</v>
      </c>
      <c r="AH70" s="184"/>
      <c r="AI70" s="184"/>
      <c r="AJ70" s="184">
        <v>2978975.02</v>
      </c>
      <c r="AK70" s="184"/>
      <c r="AL70" s="184"/>
      <c r="AM70" s="184"/>
      <c r="AN70" s="184"/>
      <c r="AO70" s="184"/>
      <c r="AP70" s="184">
        <v>1577800.36</v>
      </c>
      <c r="AQ70" s="184"/>
      <c r="AR70" s="184">
        <f>508786.57+3043</f>
        <v>511829.57</v>
      </c>
      <c r="AS70" s="184"/>
      <c r="AT70" s="184"/>
      <c r="AU70" s="184"/>
      <c r="AV70" s="184">
        <v>5592052.6799999997</v>
      </c>
      <c r="AW70" s="184">
        <v>1228925.9839999999</v>
      </c>
      <c r="AX70" s="184">
        <v>0</v>
      </c>
      <c r="AY70" s="184"/>
      <c r="AZ70" s="184">
        <v>2153200.14</v>
      </c>
      <c r="BA70" s="184">
        <v>0</v>
      </c>
      <c r="BB70" s="184">
        <v>0</v>
      </c>
      <c r="BC70" s="184">
        <v>0</v>
      </c>
      <c r="BD70" s="184">
        <v>633.87</v>
      </c>
      <c r="BE70" s="184">
        <v>5460954.5800000001</v>
      </c>
      <c r="BF70" s="184">
        <v>15575.08</v>
      </c>
      <c r="BG70" s="184">
        <v>491325.05</v>
      </c>
      <c r="BH70" s="184">
        <v>140794.12</v>
      </c>
      <c r="BI70" s="184">
        <v>1076598.1499999999</v>
      </c>
      <c r="BJ70" s="184">
        <v>362000</v>
      </c>
      <c r="BK70" s="184">
        <v>115321.54</v>
      </c>
      <c r="BL70" s="184">
        <v>338550.33</v>
      </c>
      <c r="BM70" s="184">
        <v>0</v>
      </c>
      <c r="BN70" s="184">
        <v>46.09</v>
      </c>
      <c r="BO70" s="184">
        <v>1656</v>
      </c>
      <c r="BP70" s="184">
        <v>0</v>
      </c>
      <c r="BQ70" s="184">
        <v>0</v>
      </c>
      <c r="BR70" s="184">
        <v>19</v>
      </c>
      <c r="BS70" s="184">
        <v>806760.68</v>
      </c>
      <c r="BT70" s="184">
        <v>3050</v>
      </c>
      <c r="BU70" s="184">
        <v>0</v>
      </c>
      <c r="BV70" s="184">
        <v>2313.56</v>
      </c>
      <c r="BW70" s="184">
        <v>105856.17</v>
      </c>
      <c r="BX70" s="184">
        <v>0</v>
      </c>
      <c r="BY70" s="184">
        <v>22739.67</v>
      </c>
      <c r="BZ70" s="184">
        <v>0</v>
      </c>
      <c r="CA70" s="184">
        <v>85160.6</v>
      </c>
      <c r="CB70" s="184">
        <v>1212180.0900000001</v>
      </c>
      <c r="CC70" s="184">
        <v>11578721.470000001</v>
      </c>
      <c r="CD70" s="187">
        <f>-224027.81+1419</f>
        <v>-222608.81</v>
      </c>
      <c r="CE70" s="194">
        <f t="shared" si="0"/>
        <v>41905699.004000001</v>
      </c>
      <c r="CF70" s="251"/>
    </row>
    <row r="71" spans="1:84" ht="12.6" customHeight="1" x14ac:dyDescent="0.25">
      <c r="A71" s="170" t="s">
        <v>243</v>
      </c>
      <c r="B71" s="174"/>
      <c r="C71" s="194">
        <f>SUM(C61:C68)+C69-C70</f>
        <v>20158120.219000004</v>
      </c>
      <c r="D71" s="194">
        <f t="shared" ref="D71:AI71" si="5">SUM(D61:D69)-D70</f>
        <v>11662919.589000002</v>
      </c>
      <c r="E71" s="194">
        <f t="shared" si="5"/>
        <v>27575751.002</v>
      </c>
      <c r="F71" s="194">
        <f t="shared" si="5"/>
        <v>1650496.7399999995</v>
      </c>
      <c r="G71" s="194">
        <f t="shared" si="5"/>
        <v>2220227.642</v>
      </c>
      <c r="H71" s="194">
        <f t="shared" si="5"/>
        <v>0</v>
      </c>
      <c r="I71" s="194">
        <f t="shared" si="5"/>
        <v>0</v>
      </c>
      <c r="J71" s="194">
        <f t="shared" si="5"/>
        <v>0</v>
      </c>
      <c r="K71" s="194">
        <f t="shared" si="5"/>
        <v>0</v>
      </c>
      <c r="L71" s="194">
        <f t="shared" si="5"/>
        <v>0</v>
      </c>
      <c r="M71" s="194">
        <f t="shared" si="5"/>
        <v>5456566.5599999996</v>
      </c>
      <c r="N71" s="194">
        <f t="shared" si="5"/>
        <v>14971301.550000003</v>
      </c>
      <c r="O71" s="194">
        <f t="shared" si="5"/>
        <v>23824663.800000004</v>
      </c>
      <c r="P71" s="194">
        <f t="shared" ref="P71:AE71" si="6">SUM(P61:P69)-P70</f>
        <v>56719518.371000029</v>
      </c>
      <c r="Q71" s="194">
        <f t="shared" si="6"/>
        <v>4634506.1199999992</v>
      </c>
      <c r="R71" s="194">
        <f t="shared" si="6"/>
        <v>974590.36999999988</v>
      </c>
      <c r="S71" s="194">
        <f t="shared" si="6"/>
        <v>2653519.0399999996</v>
      </c>
      <c r="T71" s="194">
        <f t="shared" si="6"/>
        <v>0</v>
      </c>
      <c r="U71" s="194">
        <f t="shared" si="6"/>
        <v>14830735.217</v>
      </c>
      <c r="V71" s="194">
        <f t="shared" si="6"/>
        <v>205661.50999999998</v>
      </c>
      <c r="W71" s="194">
        <f t="shared" si="6"/>
        <v>1421067.7400000002</v>
      </c>
      <c r="X71" s="194">
        <f t="shared" si="6"/>
        <v>2393829.3000000003</v>
      </c>
      <c r="Y71" s="194">
        <f t="shared" si="6"/>
        <v>28261158.403999995</v>
      </c>
      <c r="Z71" s="194">
        <f t="shared" si="6"/>
        <v>7949927.5199999986</v>
      </c>
      <c r="AA71" s="194">
        <f t="shared" si="6"/>
        <v>1105185.7000000002</v>
      </c>
      <c r="AB71" s="194">
        <f t="shared" si="6"/>
        <v>20898757.799999997</v>
      </c>
      <c r="AC71" s="194">
        <f t="shared" si="6"/>
        <v>3081223.32</v>
      </c>
      <c r="AD71" s="194">
        <f t="shared" si="6"/>
        <v>0</v>
      </c>
      <c r="AE71" s="194">
        <f t="shared" si="6"/>
        <v>6170661.5799999991</v>
      </c>
      <c r="AF71" s="194">
        <f t="shared" si="5"/>
        <v>0</v>
      </c>
      <c r="AG71" s="194">
        <f t="shared" si="5"/>
        <v>15746664.174000001</v>
      </c>
      <c r="AH71" s="194">
        <f t="shared" si="5"/>
        <v>0</v>
      </c>
      <c r="AI71" s="194">
        <f t="shared" si="5"/>
        <v>0</v>
      </c>
      <c r="AJ71" s="194">
        <f t="shared" ref="AJ71:BO71" si="7">SUM(AJ61:AJ69)-AJ70</f>
        <v>65975960.94000002</v>
      </c>
      <c r="AK71" s="194">
        <f t="shared" si="7"/>
        <v>0</v>
      </c>
      <c r="AL71" s="194">
        <f t="shared" si="7"/>
        <v>0</v>
      </c>
      <c r="AM71" s="194">
        <f t="shared" si="7"/>
        <v>0</v>
      </c>
      <c r="AN71" s="194">
        <f t="shared" si="7"/>
        <v>0</v>
      </c>
      <c r="AO71" s="194">
        <f t="shared" si="7"/>
        <v>0</v>
      </c>
      <c r="AP71" s="194">
        <f>SUM(AP61:AP69)-AP70</f>
        <v>82822906.059999987</v>
      </c>
      <c r="AQ71" s="194">
        <f>SUM(AQ61:AQ69)-AQ70</f>
        <v>1821558.6800000002</v>
      </c>
      <c r="AR71" s="194">
        <f>SUM(AR61:AR69)-AR70</f>
        <v>62415741.377999999</v>
      </c>
      <c r="AS71" s="194">
        <f>SUM(AS61:AS69)-AS70</f>
        <v>0</v>
      </c>
      <c r="AT71" s="194">
        <f t="shared" si="7"/>
        <v>0</v>
      </c>
      <c r="AU71" s="194">
        <f t="shared" si="7"/>
        <v>0</v>
      </c>
      <c r="AV71" s="194">
        <f t="shared" si="7"/>
        <v>3012754.5700000003</v>
      </c>
      <c r="AW71" s="194">
        <f t="shared" si="7"/>
        <v>276931.1660000002</v>
      </c>
      <c r="AX71" s="194">
        <f t="shared" si="7"/>
        <v>4069485.3380000005</v>
      </c>
      <c r="AY71" s="194">
        <f t="shared" si="7"/>
        <v>0</v>
      </c>
      <c r="AZ71" s="194">
        <f t="shared" si="7"/>
        <v>4313833.1999999993</v>
      </c>
      <c r="BA71" s="194">
        <f t="shared" si="7"/>
        <v>292834.86</v>
      </c>
      <c r="BB71" s="194">
        <f t="shared" si="7"/>
        <v>202982.11000000002</v>
      </c>
      <c r="BC71" s="194">
        <f t="shared" si="7"/>
        <v>581033.25999999989</v>
      </c>
      <c r="BD71" s="194">
        <f t="shared" si="7"/>
        <v>2721682.2699999996</v>
      </c>
      <c r="BE71" s="194">
        <f t="shared" si="7"/>
        <v>16018587.35</v>
      </c>
      <c r="BF71" s="194">
        <f t="shared" si="7"/>
        <v>6021031.0099999998</v>
      </c>
      <c r="BG71" s="194">
        <f t="shared" si="7"/>
        <v>1985297.8999999997</v>
      </c>
      <c r="BH71" s="194">
        <f t="shared" si="7"/>
        <v>25983263.009999998</v>
      </c>
      <c r="BI71" s="194">
        <f t="shared" si="7"/>
        <v>2565564.7899999996</v>
      </c>
      <c r="BJ71" s="194">
        <f t="shared" si="7"/>
        <v>2029277.8099999996</v>
      </c>
      <c r="BK71" s="194">
        <f t="shared" si="7"/>
        <v>9871896.8400000017</v>
      </c>
      <c r="BL71" s="194">
        <f t="shared" si="7"/>
        <v>4078645.0099999988</v>
      </c>
      <c r="BM71" s="194">
        <f t="shared" si="7"/>
        <v>2543740.3800000004</v>
      </c>
      <c r="BN71" s="194">
        <f t="shared" si="7"/>
        <v>9780987.2800000012</v>
      </c>
      <c r="BO71" s="194">
        <f t="shared" si="7"/>
        <v>1063181.5020000001</v>
      </c>
      <c r="BP71" s="194">
        <f t="shared" ref="BP71:CC71" si="8">SUM(BP61:BP69)-BP70</f>
        <v>4194350.6490000002</v>
      </c>
      <c r="BQ71" s="194">
        <f t="shared" si="8"/>
        <v>527386.78999999992</v>
      </c>
      <c r="BR71" s="194">
        <f t="shared" si="8"/>
        <v>4555734.4300000006</v>
      </c>
      <c r="BS71" s="194">
        <f t="shared" si="8"/>
        <v>458068.66999999981</v>
      </c>
      <c r="BT71" s="194">
        <f t="shared" si="8"/>
        <v>338222.60000000003</v>
      </c>
      <c r="BU71" s="194">
        <f t="shared" si="8"/>
        <v>281472.7</v>
      </c>
      <c r="BV71" s="194">
        <f t="shared" si="8"/>
        <v>6774752.0100000007</v>
      </c>
      <c r="BW71" s="194">
        <f t="shared" si="8"/>
        <v>2672734.5830000001</v>
      </c>
      <c r="BX71" s="194">
        <f t="shared" si="8"/>
        <v>6515576.5499999998</v>
      </c>
      <c r="BY71" s="194">
        <f t="shared" si="8"/>
        <v>2420065.11</v>
      </c>
      <c r="BZ71" s="194">
        <f t="shared" si="8"/>
        <v>3512821.2799999989</v>
      </c>
      <c r="CA71" s="194">
        <f t="shared" si="8"/>
        <v>1391892.71</v>
      </c>
      <c r="CB71" s="194">
        <f t="shared" si="8"/>
        <v>5008579.2499999991</v>
      </c>
      <c r="CC71" s="194">
        <f t="shared" si="8"/>
        <v>-1307896.2599999998</v>
      </c>
      <c r="CD71" s="244">
        <f>CD69-CD70</f>
        <v>9350547.9300000016</v>
      </c>
      <c r="CE71" s="194">
        <f>SUM(CE61:CE69)-CE70</f>
        <v>631710538.98400021</v>
      </c>
      <c r="CF71" s="251"/>
    </row>
    <row r="72" spans="1:84" ht="12.6" customHeight="1" x14ac:dyDescent="0.25">
      <c r="A72" s="170" t="s">
        <v>244</v>
      </c>
      <c r="B72" s="174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7">
        <v>25730761</v>
      </c>
      <c r="CF72" s="251"/>
    </row>
    <row r="73" spans="1:84" ht="12.6" customHeight="1" x14ac:dyDescent="0.25">
      <c r="A73" s="170" t="s">
        <v>245</v>
      </c>
      <c r="B73" s="174"/>
      <c r="C73" s="183">
        <v>77646993.670000002</v>
      </c>
      <c r="D73" s="183">
        <v>49438486.659999996</v>
      </c>
      <c r="E73" s="184">
        <v>109572197.54000001</v>
      </c>
      <c r="F73" s="184">
        <f>104875996.25-104372050</f>
        <v>503946.25</v>
      </c>
      <c r="G73" s="183">
        <v>13139131.98</v>
      </c>
      <c r="H73" s="183"/>
      <c r="I73" s="184"/>
      <c r="J73" s="184"/>
      <c r="K73" s="184"/>
      <c r="L73" s="184"/>
      <c r="M73" s="183">
        <v>7496762.6900000004</v>
      </c>
      <c r="N73" s="183">
        <v>14511713.560000001</v>
      </c>
      <c r="O73" s="183">
        <v>104372050</v>
      </c>
      <c r="P73" s="184">
        <v>118792884</v>
      </c>
      <c r="Q73" s="184">
        <v>8175643</v>
      </c>
      <c r="R73" s="184">
        <v>15601665</v>
      </c>
      <c r="S73" s="184">
        <v>0</v>
      </c>
      <c r="T73" s="184">
        <v>0</v>
      </c>
      <c r="U73" s="184">
        <v>54273900.350000001</v>
      </c>
      <c r="V73" s="184">
        <v>1338986</v>
      </c>
      <c r="W73" s="184">
        <v>5098548</v>
      </c>
      <c r="X73" s="184">
        <v>17475577</v>
      </c>
      <c r="Y73" s="184">
        <v>38763543</v>
      </c>
      <c r="Z73" s="184">
        <v>855399</v>
      </c>
      <c r="AA73" s="184">
        <v>645744</v>
      </c>
      <c r="AB73" s="184">
        <v>65362155.310000002</v>
      </c>
      <c r="AC73" s="184">
        <v>15559121</v>
      </c>
      <c r="AD73" s="184">
        <v>0</v>
      </c>
      <c r="AE73" s="184">
        <v>14620517.619999999</v>
      </c>
      <c r="AF73" s="184"/>
      <c r="AG73" s="184">
        <v>34760169.159999996</v>
      </c>
      <c r="AH73" s="184"/>
      <c r="AI73" s="184"/>
      <c r="AJ73" s="184">
        <v>12060882.77</v>
      </c>
      <c r="AK73" s="184"/>
      <c r="AL73" s="184"/>
      <c r="AM73" s="184"/>
      <c r="AN73" s="184"/>
      <c r="AO73" s="184"/>
      <c r="AP73" s="184">
        <v>16154060.779999999</v>
      </c>
      <c r="AQ73" s="184"/>
      <c r="AR73" s="184"/>
      <c r="AS73" s="184"/>
      <c r="AT73" s="184"/>
      <c r="AU73" s="184"/>
      <c r="AV73" s="184">
        <f>2717230+425+11052</f>
        <v>2728707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4">
        <f t="shared" ref="CE73:CE80" si="9">SUM(C73:CD73)</f>
        <v>798948785.33999991</v>
      </c>
      <c r="CF73" s="251"/>
    </row>
    <row r="74" spans="1:84" ht="12.6" customHeight="1" x14ac:dyDescent="0.25">
      <c r="A74" s="170" t="s">
        <v>246</v>
      </c>
      <c r="B74" s="174"/>
      <c r="C74" s="183">
        <v>44713</v>
      </c>
      <c r="D74" s="183">
        <v>209934</v>
      </c>
      <c r="E74" s="184">
        <v>4100332.1</v>
      </c>
      <c r="F74" s="184">
        <f>3749984-3609381</f>
        <v>140603</v>
      </c>
      <c r="G74" s="183">
        <v>0</v>
      </c>
      <c r="H74" s="183"/>
      <c r="I74" s="183"/>
      <c r="J74" s="184"/>
      <c r="K74" s="184"/>
      <c r="L74" s="184"/>
      <c r="M74" s="183">
        <v>155994</v>
      </c>
      <c r="N74" s="183">
        <v>783269</v>
      </c>
      <c r="O74" s="183">
        <v>3609381</v>
      </c>
      <c r="P74" s="184">
        <v>168374719.19999999</v>
      </c>
      <c r="Q74" s="184">
        <v>9043192.5999999996</v>
      </c>
      <c r="R74" s="184">
        <v>13098035</v>
      </c>
      <c r="S74" s="184">
        <v>0</v>
      </c>
      <c r="T74" s="184">
        <v>0</v>
      </c>
      <c r="U74" s="184">
        <v>38617896</v>
      </c>
      <c r="V74" s="184">
        <v>468295</v>
      </c>
      <c r="W74" s="184">
        <v>10164659</v>
      </c>
      <c r="X74" s="184">
        <v>39613360</v>
      </c>
      <c r="Y74" s="184">
        <v>121756563</v>
      </c>
      <c r="Z74" s="184">
        <v>29773352</v>
      </c>
      <c r="AA74" s="184">
        <v>3299838</v>
      </c>
      <c r="AB74" s="184">
        <v>46227791.890000001</v>
      </c>
      <c r="AC74" s="184">
        <v>560270</v>
      </c>
      <c r="AD74" s="184">
        <v>0</v>
      </c>
      <c r="AE74" s="184">
        <v>15288344.189999999</v>
      </c>
      <c r="AF74" s="184"/>
      <c r="AG74" s="184">
        <v>133406252.20999999</v>
      </c>
      <c r="AH74" s="184"/>
      <c r="AI74" s="184"/>
      <c r="AJ74" s="184">
        <v>112849877.89</v>
      </c>
      <c r="AK74" s="184"/>
      <c r="AL74" s="184"/>
      <c r="AM74" s="184"/>
      <c r="AN74" s="184"/>
      <c r="AO74" s="184"/>
      <c r="AP74" s="184">
        <v>117802084.36</v>
      </c>
      <c r="AQ74" s="184"/>
      <c r="AR74" s="184">
        <v>123046379.66</v>
      </c>
      <c r="AS74" s="184"/>
      <c r="AT74" s="184"/>
      <c r="AU74" s="184"/>
      <c r="AV74" s="184">
        <f>12625744.17+4435+5406+91815</f>
        <v>12727400.17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4">
        <f t="shared" si="9"/>
        <v>1005162536.2699999</v>
      </c>
      <c r="CF74" s="251"/>
    </row>
    <row r="75" spans="1:84" ht="12.6" customHeight="1" x14ac:dyDescent="0.25">
      <c r="A75" s="170" t="s">
        <v>247</v>
      </c>
      <c r="B75" s="174"/>
      <c r="C75" s="194">
        <f t="shared" ref="C75:AV75" si="10">SUM(C73:C74)</f>
        <v>77691706.670000002</v>
      </c>
      <c r="D75" s="194">
        <f t="shared" si="10"/>
        <v>49648420.659999996</v>
      </c>
      <c r="E75" s="194">
        <f t="shared" si="10"/>
        <v>113672529.64</v>
      </c>
      <c r="F75" s="194">
        <f t="shared" si="10"/>
        <v>644549.25</v>
      </c>
      <c r="G75" s="194">
        <f t="shared" si="10"/>
        <v>13139131.98</v>
      </c>
      <c r="H75" s="194">
        <f t="shared" si="10"/>
        <v>0</v>
      </c>
      <c r="I75" s="194">
        <f t="shared" si="10"/>
        <v>0</v>
      </c>
      <c r="J75" s="194">
        <f t="shared" si="10"/>
        <v>0</v>
      </c>
      <c r="K75" s="194">
        <f t="shared" si="10"/>
        <v>0</v>
      </c>
      <c r="L75" s="194">
        <f t="shared" si="10"/>
        <v>0</v>
      </c>
      <c r="M75" s="194">
        <f t="shared" si="10"/>
        <v>7652756.6900000004</v>
      </c>
      <c r="N75" s="194">
        <f t="shared" si="10"/>
        <v>15294982.560000001</v>
      </c>
      <c r="O75" s="194">
        <f t="shared" si="10"/>
        <v>107981431</v>
      </c>
      <c r="P75" s="194">
        <f t="shared" si="10"/>
        <v>287167603.19999999</v>
      </c>
      <c r="Q75" s="194">
        <f t="shared" si="10"/>
        <v>17218835.600000001</v>
      </c>
      <c r="R75" s="194">
        <f t="shared" si="10"/>
        <v>28699700</v>
      </c>
      <c r="S75" s="194">
        <f t="shared" si="10"/>
        <v>0</v>
      </c>
      <c r="T75" s="194">
        <f t="shared" si="10"/>
        <v>0</v>
      </c>
      <c r="U75" s="194">
        <f t="shared" si="10"/>
        <v>92891796.349999994</v>
      </c>
      <c r="V75" s="194">
        <f t="shared" si="10"/>
        <v>1807281</v>
      </c>
      <c r="W75" s="194">
        <f t="shared" si="10"/>
        <v>15263207</v>
      </c>
      <c r="X75" s="194">
        <f t="shared" si="10"/>
        <v>57088937</v>
      </c>
      <c r="Y75" s="194">
        <f t="shared" si="10"/>
        <v>160520106</v>
      </c>
      <c r="Z75" s="194">
        <f t="shared" si="10"/>
        <v>30628751</v>
      </c>
      <c r="AA75" s="194">
        <f t="shared" si="10"/>
        <v>3945582</v>
      </c>
      <c r="AB75" s="194">
        <f t="shared" si="10"/>
        <v>111589947.2</v>
      </c>
      <c r="AC75" s="194">
        <f t="shared" si="10"/>
        <v>16119391</v>
      </c>
      <c r="AD75" s="194">
        <f t="shared" si="10"/>
        <v>0</v>
      </c>
      <c r="AE75" s="194">
        <f t="shared" si="10"/>
        <v>29908861.809999999</v>
      </c>
      <c r="AF75" s="194">
        <f t="shared" si="10"/>
        <v>0</v>
      </c>
      <c r="AG75" s="194">
        <f t="shared" si="10"/>
        <v>168166421.37</v>
      </c>
      <c r="AH75" s="194">
        <f t="shared" si="10"/>
        <v>0</v>
      </c>
      <c r="AI75" s="194">
        <f t="shared" si="10"/>
        <v>0</v>
      </c>
      <c r="AJ75" s="194">
        <f t="shared" si="10"/>
        <v>124910760.66</v>
      </c>
      <c r="AK75" s="194">
        <f t="shared" si="10"/>
        <v>0</v>
      </c>
      <c r="AL75" s="194">
        <f t="shared" si="10"/>
        <v>0</v>
      </c>
      <c r="AM75" s="194">
        <f t="shared" si="10"/>
        <v>0</v>
      </c>
      <c r="AN75" s="194">
        <f t="shared" si="10"/>
        <v>0</v>
      </c>
      <c r="AO75" s="194">
        <f t="shared" si="10"/>
        <v>0</v>
      </c>
      <c r="AP75" s="194">
        <f t="shared" si="10"/>
        <v>133956145.14</v>
      </c>
      <c r="AQ75" s="194">
        <f t="shared" si="10"/>
        <v>0</v>
      </c>
      <c r="AR75" s="194">
        <f t="shared" si="10"/>
        <v>123046379.66</v>
      </c>
      <c r="AS75" s="194">
        <f t="shared" si="10"/>
        <v>0</v>
      </c>
      <c r="AT75" s="194">
        <f t="shared" si="10"/>
        <v>0</v>
      </c>
      <c r="AU75" s="194">
        <f t="shared" si="10"/>
        <v>0</v>
      </c>
      <c r="AV75" s="194">
        <f t="shared" si="10"/>
        <v>15456107.17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4">
        <f t="shared" si="9"/>
        <v>1804111321.6100004</v>
      </c>
      <c r="CF75" s="251"/>
    </row>
    <row r="76" spans="1:84" ht="12.6" customHeight="1" x14ac:dyDescent="0.25">
      <c r="A76" s="170" t="s">
        <v>248</v>
      </c>
      <c r="B76" s="174"/>
      <c r="C76" s="183">
        <v>31983</v>
      </c>
      <c r="D76" s="183">
        <v>24550</v>
      </c>
      <c r="E76" s="184">
        <v>114123</v>
      </c>
      <c r="F76" s="184">
        <f>54389-54238</f>
        <v>151</v>
      </c>
      <c r="G76" s="183">
        <v>8974</v>
      </c>
      <c r="H76" s="183"/>
      <c r="I76" s="184"/>
      <c r="J76" s="184"/>
      <c r="K76" s="184"/>
      <c r="L76" s="184"/>
      <c r="M76" s="184">
        <v>20520</v>
      </c>
      <c r="N76" s="184">
        <v>5113</v>
      </c>
      <c r="O76" s="184">
        <v>54238</v>
      </c>
      <c r="P76" s="184">
        <v>75621</v>
      </c>
      <c r="Q76" s="184">
        <v>5119</v>
      </c>
      <c r="R76" s="184">
        <v>651</v>
      </c>
      <c r="S76" s="184">
        <v>10270</v>
      </c>
      <c r="T76" s="184"/>
      <c r="U76" s="184">
        <v>23047</v>
      </c>
      <c r="V76" s="184">
        <v>314</v>
      </c>
      <c r="W76" s="184">
        <v>3153</v>
      </c>
      <c r="X76" s="184">
        <v>3164</v>
      </c>
      <c r="Y76" s="184">
        <v>45532</v>
      </c>
      <c r="Z76" s="184">
        <v>16493</v>
      </c>
      <c r="AA76" s="184">
        <v>1139</v>
      </c>
      <c r="AB76" s="184">
        <v>6500</v>
      </c>
      <c r="AC76" s="184">
        <v>2636</v>
      </c>
      <c r="AD76" s="184"/>
      <c r="AE76" s="184">
        <v>17513</v>
      </c>
      <c r="AF76" s="184"/>
      <c r="AG76" s="184">
        <v>54945</v>
      </c>
      <c r="AH76" s="184"/>
      <c r="AI76" s="184"/>
      <c r="AJ76" s="184">
        <v>144209</v>
      </c>
      <c r="AK76" s="184"/>
      <c r="AL76" s="184"/>
      <c r="AM76" s="184"/>
      <c r="AN76" s="184"/>
      <c r="AO76" s="184"/>
      <c r="AP76" s="184">
        <v>173508</v>
      </c>
      <c r="AQ76" s="184"/>
      <c r="AR76" s="184">
        <v>19432</v>
      </c>
      <c r="AS76" s="184"/>
      <c r="AT76" s="184"/>
      <c r="AU76" s="184"/>
      <c r="AV76" s="184">
        <v>12953</v>
      </c>
      <c r="AW76" s="184">
        <v>3712</v>
      </c>
      <c r="AX76" s="184"/>
      <c r="AY76" s="184"/>
      <c r="AZ76" s="184">
        <v>22833</v>
      </c>
      <c r="BA76" s="184">
        <v>3589</v>
      </c>
      <c r="BB76" s="184"/>
      <c r="BC76" s="184"/>
      <c r="BD76" s="184">
        <v>9663</v>
      </c>
      <c r="BE76" s="184">
        <v>789998</v>
      </c>
      <c r="BF76" s="184">
        <v>9472</v>
      </c>
      <c r="BG76" s="184">
        <v>4982</v>
      </c>
      <c r="BH76" s="184">
        <v>16909</v>
      </c>
      <c r="BI76" s="184">
        <v>71453</v>
      </c>
      <c r="BJ76" s="184">
        <v>4264</v>
      </c>
      <c r="BK76" s="184">
        <v>16303</v>
      </c>
      <c r="BL76" s="184">
        <v>5728</v>
      </c>
      <c r="BM76" s="184">
        <v>4852</v>
      </c>
      <c r="BN76" s="184">
        <v>12254</v>
      </c>
      <c r="BO76" s="184">
        <v>1656</v>
      </c>
      <c r="BP76" s="184">
        <v>1894</v>
      </c>
      <c r="BQ76" s="184">
        <v>1677</v>
      </c>
      <c r="BR76" s="184">
        <v>3476</v>
      </c>
      <c r="BS76" s="184">
        <v>3774</v>
      </c>
      <c r="BT76" s="184">
        <v>943</v>
      </c>
      <c r="BU76" s="184">
        <v>418</v>
      </c>
      <c r="BV76" s="184">
        <v>7657</v>
      </c>
      <c r="BW76" s="184">
        <v>3426</v>
      </c>
      <c r="BX76" s="184">
        <v>3472</v>
      </c>
      <c r="BY76" s="184">
        <v>3146</v>
      </c>
      <c r="BZ76" s="184"/>
      <c r="CA76" s="184">
        <v>3557</v>
      </c>
      <c r="CB76" s="184">
        <v>7255</v>
      </c>
      <c r="CC76" s="184">
        <v>6427</v>
      </c>
      <c r="CD76" s="248" t="s">
        <v>221</v>
      </c>
      <c r="CE76" s="194">
        <f t="shared" si="9"/>
        <v>1900641</v>
      </c>
      <c r="CF76" s="194">
        <f>BE59-CE76</f>
        <v>-1110643</v>
      </c>
    </row>
    <row r="77" spans="1:84" ht="12.6" customHeight="1" x14ac:dyDescent="0.25">
      <c r="A77" s="170" t="s">
        <v>249</v>
      </c>
      <c r="B77" s="174"/>
      <c r="C77" s="183">
        <v>9806</v>
      </c>
      <c r="D77" s="183">
        <v>31922</v>
      </c>
      <c r="E77" s="183">
        <v>97242</v>
      </c>
      <c r="F77" s="183"/>
      <c r="G77" s="183">
        <v>9387</v>
      </c>
      <c r="H77" s="183"/>
      <c r="I77" s="183"/>
      <c r="J77" s="183"/>
      <c r="K77" s="183"/>
      <c r="L77" s="183"/>
      <c r="M77" s="183">
        <v>6516</v>
      </c>
      <c r="N77" s="183"/>
      <c r="O77" s="183">
        <v>34551</v>
      </c>
      <c r="P77" s="183"/>
      <c r="Q77" s="183"/>
      <c r="R77" s="183"/>
      <c r="S77" s="183"/>
      <c r="T77" s="183"/>
      <c r="U77" s="183"/>
      <c r="V77" s="183"/>
      <c r="W77" s="183"/>
      <c r="X77" s="183"/>
      <c r="Y77" s="183">
        <v>28</v>
      </c>
      <c r="Z77" s="183"/>
      <c r="AA77" s="183"/>
      <c r="AB77" s="183"/>
      <c r="AC77" s="183"/>
      <c r="AD77" s="183"/>
      <c r="AE77" s="183"/>
      <c r="AF77" s="183"/>
      <c r="AG77" s="183">
        <v>2627</v>
      </c>
      <c r="AH77" s="183"/>
      <c r="AI77" s="183"/>
      <c r="AJ77" s="183"/>
      <c r="AK77" s="183"/>
      <c r="AL77" s="183"/>
      <c r="AM77" s="183"/>
      <c r="AN77" s="183"/>
      <c r="AO77" s="183"/>
      <c r="AP77" s="183"/>
      <c r="AQ77" s="183"/>
      <c r="AR77" s="183"/>
      <c r="AS77" s="183"/>
      <c r="AT77" s="183"/>
      <c r="AU77" s="183"/>
      <c r="AV77" s="183"/>
      <c r="AW77" s="183"/>
      <c r="AX77" s="248" t="s">
        <v>221</v>
      </c>
      <c r="AY77" s="248" t="s">
        <v>221</v>
      </c>
      <c r="AZ77" s="183"/>
      <c r="BA77" s="183"/>
      <c r="BB77" s="183"/>
      <c r="BC77" s="183"/>
      <c r="BD77" s="248" t="s">
        <v>221</v>
      </c>
      <c r="BE77" s="248" t="s">
        <v>221</v>
      </c>
      <c r="BF77" s="183"/>
      <c r="BG77" s="248" t="s">
        <v>221</v>
      </c>
      <c r="BH77" s="183"/>
      <c r="BI77" s="183"/>
      <c r="BJ77" s="248" t="s">
        <v>221</v>
      </c>
      <c r="BK77" s="183"/>
      <c r="BL77" s="183"/>
      <c r="BM77" s="183"/>
      <c r="BN77" s="248" t="s">
        <v>221</v>
      </c>
      <c r="BO77" s="248" t="s">
        <v>221</v>
      </c>
      <c r="BP77" s="248" t="s">
        <v>221</v>
      </c>
      <c r="BQ77" s="248" t="s">
        <v>221</v>
      </c>
      <c r="BR77" s="183"/>
      <c r="BS77" s="183"/>
      <c r="BT77" s="183"/>
      <c r="BU77" s="183"/>
      <c r="BV77" s="183"/>
      <c r="BW77" s="183"/>
      <c r="BX77" s="183"/>
      <c r="BY77" s="183"/>
      <c r="BZ77" s="183"/>
      <c r="CA77" s="183"/>
      <c r="CB77" s="183"/>
      <c r="CC77" s="248" t="s">
        <v>221</v>
      </c>
      <c r="CD77" s="248" t="s">
        <v>221</v>
      </c>
      <c r="CE77" s="194">
        <f>SUM(C77:CD77)</f>
        <v>192079</v>
      </c>
      <c r="CF77" s="194">
        <f>AY59-CE77</f>
        <v>-192079</v>
      </c>
    </row>
    <row r="78" spans="1:84" ht="12.6" customHeight="1" x14ac:dyDescent="0.25">
      <c r="A78" s="170" t="s">
        <v>250</v>
      </c>
      <c r="B78" s="174"/>
      <c r="C78" s="183">
        <v>3560</v>
      </c>
      <c r="D78" s="183">
        <v>2733</v>
      </c>
      <c r="E78" s="183">
        <v>12704</v>
      </c>
      <c r="F78" s="183">
        <v>60.54</v>
      </c>
      <c r="G78" s="183">
        <v>999</v>
      </c>
      <c r="H78" s="183"/>
      <c r="I78" s="183"/>
      <c r="J78" s="183"/>
      <c r="K78" s="183"/>
      <c r="L78" s="183"/>
      <c r="M78" s="183">
        <v>2284</v>
      </c>
      <c r="N78" s="183">
        <v>569</v>
      </c>
      <c r="O78" s="183">
        <f>6054-60.54</f>
        <v>5993.46</v>
      </c>
      <c r="P78" s="183">
        <v>8418</v>
      </c>
      <c r="Q78" s="183">
        <v>570</v>
      </c>
      <c r="R78" s="183">
        <v>72</v>
      </c>
      <c r="S78" s="183">
        <v>1143</v>
      </c>
      <c r="T78" s="183"/>
      <c r="U78" s="183">
        <v>2566</v>
      </c>
      <c r="V78" s="183">
        <v>35</v>
      </c>
      <c r="W78" s="183">
        <v>351</v>
      </c>
      <c r="X78" s="183">
        <v>352</v>
      </c>
      <c r="Y78" s="183">
        <v>5068</v>
      </c>
      <c r="Z78" s="183">
        <v>1836</v>
      </c>
      <c r="AA78" s="183">
        <v>127</v>
      </c>
      <c r="AB78" s="183">
        <v>724</v>
      </c>
      <c r="AC78" s="183">
        <v>293</v>
      </c>
      <c r="AD78" s="183"/>
      <c r="AE78" s="183">
        <v>1949</v>
      </c>
      <c r="AF78" s="183"/>
      <c r="AG78" s="183">
        <v>6116</v>
      </c>
      <c r="AH78" s="183"/>
      <c r="AI78" s="183"/>
      <c r="AJ78" s="183">
        <v>16053</v>
      </c>
      <c r="AK78" s="183"/>
      <c r="AL78" s="183"/>
      <c r="AM78" s="183"/>
      <c r="AN78" s="183"/>
      <c r="AO78" s="183"/>
      <c r="AP78" s="183">
        <v>19314</v>
      </c>
      <c r="AQ78" s="183"/>
      <c r="AR78" s="183">
        <v>2163</v>
      </c>
      <c r="AS78" s="183"/>
      <c r="AT78" s="183"/>
      <c r="AU78" s="183"/>
      <c r="AV78" s="183">
        <v>1442</v>
      </c>
      <c r="AW78" s="183">
        <v>413</v>
      </c>
      <c r="AX78" s="248" t="s">
        <v>221</v>
      </c>
      <c r="AY78" s="248" t="s">
        <v>221</v>
      </c>
      <c r="AZ78" s="248" t="s">
        <v>221</v>
      </c>
      <c r="BA78" s="183">
        <v>400</v>
      </c>
      <c r="BB78" s="183"/>
      <c r="BC78" s="183"/>
      <c r="BD78" s="248" t="s">
        <v>221</v>
      </c>
      <c r="BE78" s="248" t="s">
        <v>221</v>
      </c>
      <c r="BF78" s="248" t="s">
        <v>221</v>
      </c>
      <c r="BG78" s="248" t="s">
        <v>221</v>
      </c>
      <c r="BH78" s="183">
        <v>1882</v>
      </c>
      <c r="BI78" s="183">
        <v>7954</v>
      </c>
      <c r="BJ78" s="248" t="s">
        <v>221</v>
      </c>
      <c r="BK78" s="183">
        <v>1815</v>
      </c>
      <c r="BL78" s="183">
        <v>638</v>
      </c>
      <c r="BM78" s="183">
        <v>540</v>
      </c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3">
        <v>420</v>
      </c>
      <c r="BT78" s="183">
        <v>105</v>
      </c>
      <c r="BU78" s="183">
        <v>47</v>
      </c>
      <c r="BV78" s="183">
        <v>852</v>
      </c>
      <c r="BW78" s="183">
        <v>381</v>
      </c>
      <c r="BX78" s="183">
        <v>386</v>
      </c>
      <c r="BY78" s="183">
        <v>350</v>
      </c>
      <c r="BZ78" s="183"/>
      <c r="CA78" s="183">
        <v>396</v>
      </c>
      <c r="CB78" s="183">
        <v>808</v>
      </c>
      <c r="CC78" s="248" t="s">
        <v>221</v>
      </c>
      <c r="CD78" s="248" t="s">
        <v>221</v>
      </c>
      <c r="CE78" s="194">
        <f t="shared" si="9"/>
        <v>114882</v>
      </c>
      <c r="CF78" s="194"/>
    </row>
    <row r="79" spans="1:84" ht="12.6" customHeight="1" x14ac:dyDescent="0.25">
      <c r="A79" s="170" t="s">
        <v>251</v>
      </c>
      <c r="B79" s="174"/>
      <c r="C79" s="224">
        <v>170345.76</v>
      </c>
      <c r="D79" s="224">
        <v>216639.89</v>
      </c>
      <c r="E79" s="183">
        <v>513189.92</v>
      </c>
      <c r="F79" s="183"/>
      <c r="G79" s="183">
        <v>33936.78</v>
      </c>
      <c r="H79" s="183"/>
      <c r="I79" s="183"/>
      <c r="J79" s="183"/>
      <c r="K79" s="183"/>
      <c r="L79" s="183"/>
      <c r="M79" s="183">
        <v>39231.9</v>
      </c>
      <c r="N79" s="183"/>
      <c r="O79" s="183">
        <v>337156.76</v>
      </c>
      <c r="P79" s="183">
        <v>155223.19</v>
      </c>
      <c r="Q79" s="183">
        <v>0</v>
      </c>
      <c r="R79" s="183">
        <v>0</v>
      </c>
      <c r="S79" s="183">
        <v>19488.2</v>
      </c>
      <c r="T79" s="183">
        <v>0</v>
      </c>
      <c r="U79" s="183">
        <v>2599.5</v>
      </c>
      <c r="V79" s="183">
        <v>1792.66</v>
      </c>
      <c r="W79" s="183">
        <v>17179.650000000001</v>
      </c>
      <c r="X79" s="183">
        <v>0</v>
      </c>
      <c r="Y79" s="183">
        <v>255150.54</v>
      </c>
      <c r="Z79" s="183">
        <v>48229.07</v>
      </c>
      <c r="AA79" s="183">
        <v>0</v>
      </c>
      <c r="AB79" s="183">
        <v>0</v>
      </c>
      <c r="AC79" s="183">
        <v>0</v>
      </c>
      <c r="AD79" s="183">
        <v>0</v>
      </c>
      <c r="AE79" s="183"/>
      <c r="AF79" s="183"/>
      <c r="AG79" s="183">
        <v>301005.8</v>
      </c>
      <c r="AH79" s="183">
        <v>0</v>
      </c>
      <c r="AI79" s="183">
        <v>0</v>
      </c>
      <c r="AJ79" s="183">
        <v>59213.57</v>
      </c>
      <c r="AK79" s="183"/>
      <c r="AL79" s="183"/>
      <c r="AM79" s="183"/>
      <c r="AN79" s="183"/>
      <c r="AO79" s="183"/>
      <c r="AP79" s="183">
        <v>21820.27</v>
      </c>
      <c r="AQ79" s="183"/>
      <c r="AR79" s="183"/>
      <c r="AS79" s="183"/>
      <c r="AT79" s="183"/>
      <c r="AU79" s="183"/>
      <c r="AV79" s="183">
        <v>49476.15</v>
      </c>
      <c r="AW79" s="183"/>
      <c r="AX79" s="248" t="s">
        <v>221</v>
      </c>
      <c r="AY79" s="248" t="s">
        <v>221</v>
      </c>
      <c r="AZ79" s="248" t="s">
        <v>221</v>
      </c>
      <c r="BA79" s="248" t="s">
        <v>221</v>
      </c>
      <c r="BB79" s="183"/>
      <c r="BC79" s="183"/>
      <c r="BD79" s="248" t="s">
        <v>221</v>
      </c>
      <c r="BE79" s="248" t="s">
        <v>221</v>
      </c>
      <c r="BF79" s="248" t="s">
        <v>221</v>
      </c>
      <c r="BG79" s="248" t="s">
        <v>221</v>
      </c>
      <c r="BH79" s="183"/>
      <c r="BI79" s="183"/>
      <c r="BJ79" s="248" t="s">
        <v>221</v>
      </c>
      <c r="BK79" s="183"/>
      <c r="BL79" s="183"/>
      <c r="BM79" s="183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3"/>
      <c r="BT79" s="183"/>
      <c r="BU79" s="183"/>
      <c r="BV79" s="183"/>
      <c r="BW79" s="183"/>
      <c r="BX79" s="183"/>
      <c r="BY79" s="183"/>
      <c r="BZ79" s="183"/>
      <c r="CA79" s="183"/>
      <c r="CB79" s="183"/>
      <c r="CC79" s="248" t="s">
        <v>221</v>
      </c>
      <c r="CD79" s="248" t="s">
        <v>221</v>
      </c>
      <c r="CE79" s="194">
        <f t="shared" si="9"/>
        <v>2241679.61</v>
      </c>
      <c r="CF79" s="194">
        <f>BA59</f>
        <v>0</v>
      </c>
    </row>
    <row r="80" spans="1:84" ht="21" customHeight="1" x14ac:dyDescent="0.25">
      <c r="A80" s="170" t="s">
        <v>252</v>
      </c>
      <c r="B80" s="174"/>
      <c r="C80" s="186">
        <v>102.08575961538462</v>
      </c>
      <c r="D80" s="186">
        <v>50.298596153846155</v>
      </c>
      <c r="E80" s="186">
        <v>145.79828846153848</v>
      </c>
      <c r="F80" s="186"/>
      <c r="G80" s="186">
        <v>10.542427884615385</v>
      </c>
      <c r="H80" s="186"/>
      <c r="I80" s="186"/>
      <c r="J80" s="186"/>
      <c r="K80" s="186"/>
      <c r="L80" s="186"/>
      <c r="M80" s="186">
        <f>15.591625+2.43</f>
        <v>18.021625</v>
      </c>
      <c r="N80" s="186"/>
      <c r="O80" s="186">
        <v>134.9591778846154</v>
      </c>
      <c r="P80" s="186">
        <v>62.566355769230768</v>
      </c>
      <c r="Q80" s="186">
        <v>25.320932692307693</v>
      </c>
      <c r="R80" s="186">
        <v>0</v>
      </c>
      <c r="S80" s="186">
        <v>0</v>
      </c>
      <c r="T80" s="186">
        <v>0</v>
      </c>
      <c r="U80" s="186">
        <v>0</v>
      </c>
      <c r="V80" s="186">
        <v>0</v>
      </c>
      <c r="W80" s="186">
        <v>0</v>
      </c>
      <c r="X80" s="186">
        <v>3.8461538461538464E-3</v>
      </c>
      <c r="Y80" s="186">
        <v>20.004423076923075</v>
      </c>
      <c r="Z80" s="186">
        <v>3.4381201923076925</v>
      </c>
      <c r="AA80" s="186">
        <v>0</v>
      </c>
      <c r="AB80" s="186">
        <v>0</v>
      </c>
      <c r="AC80" s="186">
        <v>0</v>
      </c>
      <c r="AD80" s="186">
        <v>0</v>
      </c>
      <c r="AE80" s="186"/>
      <c r="AF80" s="186"/>
      <c r="AG80" s="186">
        <v>67.253975961538458</v>
      </c>
      <c r="AH80" s="186">
        <v>0</v>
      </c>
      <c r="AI80" s="186">
        <v>0</v>
      </c>
      <c r="AJ80" s="186">
        <v>42.138423076923075</v>
      </c>
      <c r="AK80" s="186"/>
      <c r="AL80" s="186"/>
      <c r="AM80" s="186"/>
      <c r="AN80" s="186"/>
      <c r="AO80" s="186"/>
      <c r="AP80" s="186">
        <v>24.406480769230772</v>
      </c>
      <c r="AQ80" s="186"/>
      <c r="AR80" s="186">
        <f>141.3463125+27.97</f>
        <v>169.31631250000001</v>
      </c>
      <c r="AS80" s="186"/>
      <c r="AT80" s="186"/>
      <c r="AU80" s="186"/>
      <c r="AV80" s="186">
        <f>11.738+1+0.49+0.59+0.55+12.93+4.86+10.79+0.17+14.52+2.04</f>
        <v>59.678000000000004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9"/>
        <v>935.83274519230781</v>
      </c>
      <c r="CF80" s="254"/>
    </row>
    <row r="81" spans="1:5" ht="12.6" customHeight="1" x14ac:dyDescent="0.25">
      <c r="A81" s="207" t="s">
        <v>253</v>
      </c>
      <c r="B81" s="207"/>
      <c r="C81" s="207"/>
      <c r="D81" s="207"/>
      <c r="E81" s="207"/>
    </row>
    <row r="82" spans="1:5" ht="12.6" customHeight="1" x14ac:dyDescent="0.25">
      <c r="A82" s="170" t="s">
        <v>254</v>
      </c>
      <c r="B82" s="171"/>
      <c r="C82" s="281" t="s">
        <v>1265</v>
      </c>
      <c r="D82" s="255"/>
      <c r="E82" s="174"/>
    </row>
    <row r="83" spans="1:5" ht="12.6" customHeight="1" x14ac:dyDescent="0.25">
      <c r="A83" s="172" t="s">
        <v>255</v>
      </c>
      <c r="B83" s="171" t="s">
        <v>256</v>
      </c>
      <c r="C83" s="226" t="s">
        <v>1268</v>
      </c>
      <c r="D83" s="255"/>
      <c r="E83" s="174"/>
    </row>
    <row r="84" spans="1:5" ht="12.6" customHeight="1" x14ac:dyDescent="0.25">
      <c r="A84" s="172" t="s">
        <v>257</v>
      </c>
      <c r="B84" s="171" t="s">
        <v>256</v>
      </c>
      <c r="C84" s="229" t="s">
        <v>1269</v>
      </c>
      <c r="D84" s="204"/>
      <c r="E84" s="203"/>
    </row>
    <row r="85" spans="1:5" ht="12.6" customHeight="1" x14ac:dyDescent="0.25">
      <c r="A85" s="172" t="s">
        <v>1251</v>
      </c>
      <c r="B85" s="171"/>
      <c r="C85" s="270" t="s">
        <v>1270</v>
      </c>
      <c r="D85" s="204"/>
      <c r="E85" s="203"/>
    </row>
    <row r="86" spans="1:5" ht="12.6" customHeight="1" x14ac:dyDescent="0.25">
      <c r="A86" s="172" t="s">
        <v>1252</v>
      </c>
      <c r="B86" s="171" t="s">
        <v>256</v>
      </c>
      <c r="C86" s="230"/>
      <c r="D86" s="204"/>
      <c r="E86" s="203"/>
    </row>
    <row r="87" spans="1:5" ht="12.6" customHeight="1" x14ac:dyDescent="0.25">
      <c r="A87" s="172" t="s">
        <v>258</v>
      </c>
      <c r="B87" s="171" t="s">
        <v>256</v>
      </c>
      <c r="C87" s="229" t="s">
        <v>1271</v>
      </c>
      <c r="D87" s="204"/>
      <c r="E87" s="203"/>
    </row>
    <row r="88" spans="1:5" ht="12.6" customHeight="1" x14ac:dyDescent="0.25">
      <c r="A88" s="172" t="s">
        <v>259</v>
      </c>
      <c r="B88" s="171" t="s">
        <v>256</v>
      </c>
      <c r="C88" s="229" t="s">
        <v>1272</v>
      </c>
      <c r="D88" s="204"/>
      <c r="E88" s="203"/>
    </row>
    <row r="89" spans="1:5" ht="12.6" customHeight="1" x14ac:dyDescent="0.25">
      <c r="A89" s="172" t="s">
        <v>260</v>
      </c>
      <c r="B89" s="171" t="s">
        <v>256</v>
      </c>
      <c r="C89" s="229" t="s">
        <v>1273</v>
      </c>
      <c r="D89" s="204"/>
      <c r="E89" s="203"/>
    </row>
    <row r="90" spans="1:5" ht="12.6" customHeight="1" x14ac:dyDescent="0.25">
      <c r="A90" s="172" t="s">
        <v>261</v>
      </c>
      <c r="B90" s="171" t="s">
        <v>256</v>
      </c>
      <c r="C90" s="229" t="s">
        <v>1274</v>
      </c>
      <c r="D90" s="204"/>
      <c r="E90" s="203"/>
    </row>
    <row r="91" spans="1:5" ht="12.6" customHeight="1" x14ac:dyDescent="0.25">
      <c r="A91" s="172" t="s">
        <v>262</v>
      </c>
      <c r="B91" s="171" t="s">
        <v>256</v>
      </c>
      <c r="C91" s="229"/>
      <c r="D91" s="204"/>
      <c r="E91" s="203"/>
    </row>
    <row r="92" spans="1:5" ht="12.6" customHeight="1" x14ac:dyDescent="0.25">
      <c r="A92" s="172" t="s">
        <v>263</v>
      </c>
      <c r="B92" s="171" t="s">
        <v>256</v>
      </c>
      <c r="C92" s="225" t="s">
        <v>1275</v>
      </c>
      <c r="D92" s="255"/>
      <c r="E92" s="174"/>
    </row>
    <row r="93" spans="1:5" ht="12.6" customHeight="1" x14ac:dyDescent="0.25">
      <c r="A93" s="172" t="s">
        <v>264</v>
      </c>
      <c r="B93" s="171" t="s">
        <v>256</v>
      </c>
      <c r="C93" s="269"/>
      <c r="D93" s="255"/>
      <c r="E93" s="174"/>
    </row>
    <row r="94" spans="1:5" ht="12.6" customHeight="1" x14ac:dyDescent="0.25">
      <c r="A94" s="172"/>
      <c r="B94" s="172"/>
      <c r="C94" s="190"/>
      <c r="D94" s="174"/>
      <c r="E94" s="174"/>
    </row>
    <row r="95" spans="1:5" ht="12.6" customHeight="1" x14ac:dyDescent="0.25">
      <c r="A95" s="207" t="s">
        <v>265</v>
      </c>
      <c r="B95" s="207"/>
      <c r="C95" s="207"/>
      <c r="D95" s="207"/>
      <c r="E95" s="207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2" t="s">
        <v>267</v>
      </c>
      <c r="B97" s="171" t="s">
        <v>256</v>
      </c>
      <c r="C97" s="188"/>
      <c r="D97" s="174"/>
      <c r="E97" s="174"/>
    </row>
    <row r="98" spans="1:5" ht="12.6" customHeight="1" x14ac:dyDescent="0.25">
      <c r="A98" s="172" t="s">
        <v>259</v>
      </c>
      <c r="B98" s="171" t="s">
        <v>256</v>
      </c>
      <c r="C98" s="188"/>
      <c r="D98" s="174"/>
      <c r="E98" s="174"/>
    </row>
    <row r="99" spans="1:5" ht="12.6" customHeight="1" x14ac:dyDescent="0.25">
      <c r="A99" s="172" t="s">
        <v>268</v>
      </c>
      <c r="B99" s="171" t="s">
        <v>256</v>
      </c>
      <c r="C99" s="188">
        <v>1</v>
      </c>
      <c r="D99" s="174"/>
      <c r="E99" s="174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2" t="s">
        <v>270</v>
      </c>
      <c r="B101" s="171" t="s">
        <v>256</v>
      </c>
      <c r="C101" s="188"/>
      <c r="D101" s="174"/>
      <c r="E101" s="174"/>
    </row>
    <row r="102" spans="1:5" ht="12.6" customHeight="1" x14ac:dyDescent="0.25">
      <c r="A102" s="172" t="s">
        <v>132</v>
      </c>
      <c r="B102" s="171" t="s">
        <v>256</v>
      </c>
      <c r="C102" s="221"/>
      <c r="D102" s="174"/>
      <c r="E102" s="174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2" t="s">
        <v>272</v>
      </c>
      <c r="B104" s="171" t="s">
        <v>256</v>
      </c>
      <c r="C104" s="188"/>
      <c r="D104" s="174"/>
      <c r="E104" s="174"/>
    </row>
    <row r="105" spans="1:5" ht="12.6" customHeight="1" x14ac:dyDescent="0.25">
      <c r="A105" s="172" t="s">
        <v>273</v>
      </c>
      <c r="B105" s="171" t="s">
        <v>256</v>
      </c>
      <c r="C105" s="188"/>
      <c r="D105" s="174"/>
      <c r="E105" s="174"/>
    </row>
    <row r="106" spans="1:5" ht="12.6" customHeight="1" x14ac:dyDescent="0.25">
      <c r="A106" s="172" t="s">
        <v>274</v>
      </c>
      <c r="B106" s="171" t="s">
        <v>256</v>
      </c>
      <c r="C106" s="188"/>
      <c r="D106" s="174"/>
      <c r="E106" s="174"/>
    </row>
    <row r="107" spans="1:5" ht="21.75" customHeight="1" x14ac:dyDescent="0.25">
      <c r="A107" s="172"/>
      <c r="B107" s="171"/>
      <c r="C107" s="189"/>
      <c r="D107" s="174"/>
      <c r="E107" s="174"/>
    </row>
    <row r="108" spans="1:5" ht="13.5" customHeight="1" x14ac:dyDescent="0.25">
      <c r="A108" s="206" t="s">
        <v>275</v>
      </c>
      <c r="B108" s="207"/>
      <c r="C108" s="207"/>
      <c r="D108" s="207"/>
      <c r="E108" s="207"/>
    </row>
    <row r="109" spans="1:5" ht="13.5" customHeight="1" x14ac:dyDescent="0.25">
      <c r="A109" s="172"/>
      <c r="B109" s="171"/>
      <c r="C109" s="189"/>
      <c r="D109" s="174"/>
      <c r="E109" s="174"/>
    </row>
    <row r="110" spans="1:5" ht="12.6" customHeight="1" x14ac:dyDescent="0.25">
      <c r="A110" s="170" t="s">
        <v>276</v>
      </c>
      <c r="B110" s="174"/>
      <c r="C110" s="181" t="s">
        <v>277</v>
      </c>
      <c r="D110" s="169" t="s">
        <v>215</v>
      </c>
      <c r="E110" s="174"/>
    </row>
    <row r="111" spans="1:5" ht="12.6" customHeight="1" x14ac:dyDescent="0.25">
      <c r="A111" s="172" t="s">
        <v>278</v>
      </c>
      <c r="B111" s="171" t="s">
        <v>256</v>
      </c>
      <c r="C111" s="188">
        <v>15281</v>
      </c>
      <c r="D111" s="173">
        <v>61154</v>
      </c>
      <c r="E111" s="174"/>
    </row>
    <row r="112" spans="1:5" ht="12.6" customHeight="1" x14ac:dyDescent="0.25">
      <c r="A112" s="172" t="s">
        <v>279</v>
      </c>
      <c r="B112" s="171" t="s">
        <v>256</v>
      </c>
      <c r="C112" s="188"/>
      <c r="D112" s="173"/>
      <c r="E112" s="174"/>
    </row>
    <row r="113" spans="1:5" ht="12.6" customHeight="1" x14ac:dyDescent="0.25">
      <c r="A113" s="172" t="s">
        <v>280</v>
      </c>
      <c r="B113" s="171" t="s">
        <v>256</v>
      </c>
      <c r="C113" s="188"/>
      <c r="D113" s="173"/>
      <c r="E113" s="174"/>
    </row>
    <row r="114" spans="1:5" ht="12.6" customHeight="1" x14ac:dyDescent="0.25">
      <c r="A114" s="172" t="s">
        <v>281</v>
      </c>
      <c r="B114" s="171" t="s">
        <v>256</v>
      </c>
      <c r="C114" s="188">
        <v>4635</v>
      </c>
      <c r="D114" s="173"/>
      <c r="E114" s="174"/>
    </row>
    <row r="115" spans="1:5" ht="12.6" customHeight="1" x14ac:dyDescent="0.25">
      <c r="A115" s="170" t="s">
        <v>282</v>
      </c>
      <c r="B115" s="174"/>
      <c r="C115" s="181" t="s">
        <v>167</v>
      </c>
      <c r="D115" s="174"/>
      <c r="E115" s="174"/>
    </row>
    <row r="116" spans="1:5" ht="12.6" customHeight="1" x14ac:dyDescent="0.25">
      <c r="A116" s="172" t="s">
        <v>283</v>
      </c>
      <c r="B116" s="171" t="s">
        <v>256</v>
      </c>
      <c r="C116" s="188">
        <v>14</v>
      </c>
      <c r="D116" s="174"/>
      <c r="E116" s="174"/>
    </row>
    <row r="117" spans="1:5" ht="12.6" customHeight="1" x14ac:dyDescent="0.25">
      <c r="A117" s="172" t="s">
        <v>284</v>
      </c>
      <c r="B117" s="171" t="s">
        <v>256</v>
      </c>
      <c r="C117" s="188">
        <v>29</v>
      </c>
      <c r="D117" s="174"/>
      <c r="E117" s="174"/>
    </row>
    <row r="118" spans="1:5" ht="12.6" customHeight="1" x14ac:dyDescent="0.25">
      <c r="A118" s="172" t="s">
        <v>1239</v>
      </c>
      <c r="B118" s="171" t="s">
        <v>256</v>
      </c>
      <c r="C118" s="188">
        <v>109</v>
      </c>
      <c r="D118" s="174"/>
      <c r="E118" s="174"/>
    </row>
    <row r="119" spans="1:5" ht="12.6" customHeight="1" x14ac:dyDescent="0.25">
      <c r="A119" s="172" t="s">
        <v>285</v>
      </c>
      <c r="B119" s="171" t="s">
        <v>256</v>
      </c>
      <c r="C119" s="188">
        <v>0</v>
      </c>
      <c r="D119" s="174"/>
      <c r="E119" s="174"/>
    </row>
    <row r="120" spans="1:5" ht="12.6" customHeight="1" x14ac:dyDescent="0.25">
      <c r="A120" s="172" t="s">
        <v>286</v>
      </c>
      <c r="B120" s="171" t="s">
        <v>256</v>
      </c>
      <c r="C120" s="188">
        <v>36</v>
      </c>
      <c r="D120" s="174"/>
      <c r="E120" s="174"/>
    </row>
    <row r="121" spans="1:5" ht="12.6" customHeight="1" x14ac:dyDescent="0.25">
      <c r="A121" s="172" t="s">
        <v>287</v>
      </c>
      <c r="B121" s="171" t="s">
        <v>256</v>
      </c>
      <c r="C121" s="188">
        <v>9</v>
      </c>
      <c r="D121" s="174"/>
      <c r="E121" s="174"/>
    </row>
    <row r="122" spans="1:5" ht="12.6" customHeight="1" x14ac:dyDescent="0.25">
      <c r="A122" s="172" t="s">
        <v>97</v>
      </c>
      <c r="B122" s="171" t="s">
        <v>256</v>
      </c>
      <c r="C122" s="188">
        <v>0</v>
      </c>
      <c r="D122" s="174"/>
      <c r="E122" s="174"/>
    </row>
    <row r="123" spans="1:5" ht="12.6" customHeight="1" x14ac:dyDescent="0.25">
      <c r="A123" s="172" t="s">
        <v>288</v>
      </c>
      <c r="B123" s="171" t="s">
        <v>256</v>
      </c>
      <c r="C123" s="188">
        <v>0</v>
      </c>
      <c r="D123" s="174"/>
      <c r="E123" s="174"/>
    </row>
    <row r="124" spans="1:5" ht="12.6" customHeight="1" x14ac:dyDescent="0.25">
      <c r="A124" s="172" t="s">
        <v>289</v>
      </c>
      <c r="B124" s="171"/>
      <c r="C124" s="188">
        <v>0</v>
      </c>
      <c r="D124" s="174"/>
      <c r="E124" s="174"/>
    </row>
    <row r="125" spans="1:5" ht="12.6" customHeight="1" x14ac:dyDescent="0.25">
      <c r="A125" s="172" t="s">
        <v>280</v>
      </c>
      <c r="B125" s="171" t="s">
        <v>256</v>
      </c>
      <c r="C125" s="188">
        <v>0</v>
      </c>
      <c r="D125" s="174"/>
      <c r="E125" s="174"/>
    </row>
    <row r="126" spans="1:5" ht="12.6" customHeight="1" x14ac:dyDescent="0.25">
      <c r="A126" s="172" t="s">
        <v>290</v>
      </c>
      <c r="B126" s="171" t="s">
        <v>256</v>
      </c>
      <c r="C126" s="188">
        <v>20</v>
      </c>
      <c r="D126" s="174"/>
      <c r="E126" s="174"/>
    </row>
    <row r="127" spans="1:5" ht="12.6" customHeight="1" x14ac:dyDescent="0.25">
      <c r="A127" s="172" t="s">
        <v>291</v>
      </c>
      <c r="B127" s="174"/>
      <c r="C127" s="190"/>
      <c r="D127" s="174"/>
      <c r="E127" s="174">
        <f>SUM(C116:C126)</f>
        <v>217</v>
      </c>
    </row>
    <row r="128" spans="1:5" ht="12.6" customHeight="1" x14ac:dyDescent="0.25">
      <c r="A128" s="172" t="s">
        <v>292</v>
      </c>
      <c r="B128" s="171" t="s">
        <v>256</v>
      </c>
      <c r="C128" s="188">
        <v>318</v>
      </c>
      <c r="D128" s="174"/>
      <c r="E128" s="174"/>
    </row>
    <row r="129" spans="1:6" ht="12.6" customHeight="1" x14ac:dyDescent="0.25">
      <c r="A129" s="172" t="s">
        <v>293</v>
      </c>
      <c r="B129" s="171" t="s">
        <v>256</v>
      </c>
      <c r="C129" s="188">
        <v>0</v>
      </c>
      <c r="D129" s="174"/>
      <c r="E129" s="174"/>
    </row>
    <row r="130" spans="1:6" ht="12.6" customHeight="1" x14ac:dyDescent="0.25">
      <c r="A130" s="172"/>
      <c r="B130" s="174"/>
      <c r="C130" s="190"/>
      <c r="D130" s="174"/>
      <c r="E130" s="174"/>
    </row>
    <row r="131" spans="1:6" ht="12.6" customHeight="1" x14ac:dyDescent="0.25">
      <c r="A131" s="172" t="s">
        <v>294</v>
      </c>
      <c r="B131" s="171" t="s">
        <v>256</v>
      </c>
      <c r="C131" s="188">
        <v>0</v>
      </c>
      <c r="D131" s="174"/>
      <c r="E131" s="174"/>
    </row>
    <row r="132" spans="1:6" ht="12.6" customHeight="1" x14ac:dyDescent="0.25">
      <c r="A132" s="172"/>
      <c r="B132" s="172"/>
      <c r="C132" s="190"/>
      <c r="D132" s="174"/>
      <c r="E132" s="174"/>
    </row>
    <row r="133" spans="1:6" ht="12.6" customHeight="1" x14ac:dyDescent="0.25">
      <c r="A133" s="172"/>
      <c r="B133" s="172"/>
      <c r="C133" s="190"/>
      <c r="D133" s="174"/>
      <c r="E133" s="174"/>
    </row>
    <row r="134" spans="1:6" ht="12.6" customHeight="1" x14ac:dyDescent="0.25">
      <c r="A134" s="172"/>
      <c r="B134" s="172"/>
      <c r="C134" s="190"/>
      <c r="D134" s="174"/>
      <c r="E134" s="174"/>
    </row>
    <row r="135" spans="1:6" ht="18" customHeight="1" x14ac:dyDescent="0.25">
      <c r="A135" s="172"/>
      <c r="B135" s="172"/>
      <c r="C135" s="190"/>
      <c r="D135" s="174"/>
      <c r="E135" s="174"/>
    </row>
    <row r="136" spans="1:6" ht="12.6" customHeight="1" x14ac:dyDescent="0.25">
      <c r="A136" s="207" t="s">
        <v>1240</v>
      </c>
      <c r="B136" s="206"/>
      <c r="C136" s="206"/>
      <c r="D136" s="206"/>
      <c r="E136" s="206"/>
    </row>
    <row r="137" spans="1:6" ht="12.6" customHeight="1" x14ac:dyDescent="0.25">
      <c r="A137" s="257" t="s">
        <v>295</v>
      </c>
      <c r="B137" s="175" t="s">
        <v>296</v>
      </c>
      <c r="C137" s="191" t="s">
        <v>297</v>
      </c>
      <c r="D137" s="175" t="s">
        <v>132</v>
      </c>
      <c r="E137" s="175" t="s">
        <v>203</v>
      </c>
    </row>
    <row r="138" spans="1:6" ht="12.6" customHeight="1" x14ac:dyDescent="0.25">
      <c r="A138" s="172" t="s">
        <v>277</v>
      </c>
      <c r="B138" s="173">
        <v>5908</v>
      </c>
      <c r="C138" s="188">
        <v>2522</v>
      </c>
      <c r="D138" s="173">
        <f>15281-B138-C138</f>
        <v>6851</v>
      </c>
      <c r="E138" s="174">
        <f>SUM(B138:D138)</f>
        <v>15281</v>
      </c>
    </row>
    <row r="139" spans="1:6" ht="12.6" customHeight="1" x14ac:dyDescent="0.25">
      <c r="A139" s="172" t="s">
        <v>215</v>
      </c>
      <c r="B139" s="173">
        <v>31951</v>
      </c>
      <c r="C139" s="188">
        <v>10198</v>
      </c>
      <c r="D139" s="173">
        <f>61154-B139-C139</f>
        <v>19005</v>
      </c>
      <c r="E139" s="174">
        <f>SUM(B139:D139)</f>
        <v>61154</v>
      </c>
    </row>
    <row r="140" spans="1:6" ht="12.6" customHeight="1" x14ac:dyDescent="0.25">
      <c r="A140" s="172" t="s">
        <v>298</v>
      </c>
      <c r="B140" s="173"/>
      <c r="C140" s="173"/>
      <c r="D140" s="173"/>
      <c r="E140" s="174">
        <f>SUM(B140:D140)</f>
        <v>0</v>
      </c>
    </row>
    <row r="141" spans="1:6" ht="12.6" customHeight="1" x14ac:dyDescent="0.25">
      <c r="A141" s="172" t="s">
        <v>245</v>
      </c>
      <c r="B141" s="173">
        <v>364082044</v>
      </c>
      <c r="C141" s="188">
        <v>91646394</v>
      </c>
      <c r="D141" s="173">
        <v>343220348</v>
      </c>
      <c r="E141" s="174">
        <f>SUM(B141:D141)</f>
        <v>798948786</v>
      </c>
      <c r="F141" s="198"/>
    </row>
    <row r="142" spans="1:6" ht="12.6" customHeight="1" x14ac:dyDescent="0.25">
      <c r="A142" s="172" t="s">
        <v>246</v>
      </c>
      <c r="B142" s="173">
        <v>384589044</v>
      </c>
      <c r="C142" s="188">
        <v>91443186</v>
      </c>
      <c r="D142" s="173">
        <v>529130307</v>
      </c>
      <c r="E142" s="174">
        <f>SUM(B142:D142)</f>
        <v>1005162537</v>
      </c>
      <c r="F142" s="198"/>
    </row>
    <row r="143" spans="1:6" ht="12.6" customHeight="1" x14ac:dyDescent="0.25">
      <c r="A143" s="257" t="s">
        <v>299</v>
      </c>
      <c r="B143" s="175" t="s">
        <v>296</v>
      </c>
      <c r="C143" s="191" t="s">
        <v>297</v>
      </c>
      <c r="D143" s="175" t="s">
        <v>132</v>
      </c>
      <c r="E143" s="175" t="s">
        <v>203</v>
      </c>
    </row>
    <row r="144" spans="1:6" ht="12.6" customHeight="1" x14ac:dyDescent="0.25">
      <c r="A144" s="172" t="s">
        <v>277</v>
      </c>
      <c r="B144" s="173"/>
      <c r="C144" s="188"/>
      <c r="D144" s="173"/>
      <c r="E144" s="174">
        <f>SUM(B144:D144)</f>
        <v>0</v>
      </c>
    </row>
    <row r="145" spans="1:5" ht="12.6" customHeight="1" x14ac:dyDescent="0.25">
      <c r="A145" s="172" t="s">
        <v>215</v>
      </c>
      <c r="B145" s="173"/>
      <c r="C145" s="188"/>
      <c r="D145" s="173"/>
      <c r="E145" s="174">
        <f>SUM(B145:D145)</f>
        <v>0</v>
      </c>
    </row>
    <row r="146" spans="1:5" ht="12.6" customHeight="1" x14ac:dyDescent="0.25">
      <c r="A146" s="172" t="s">
        <v>298</v>
      </c>
      <c r="B146" s="173"/>
      <c r="C146" s="188"/>
      <c r="D146" s="173"/>
      <c r="E146" s="174">
        <f>SUM(B146:D146)</f>
        <v>0</v>
      </c>
    </row>
    <row r="147" spans="1:5" ht="12.6" customHeight="1" x14ac:dyDescent="0.25">
      <c r="A147" s="172" t="s">
        <v>245</v>
      </c>
      <c r="B147" s="173"/>
      <c r="C147" s="188"/>
      <c r="D147" s="173"/>
      <c r="E147" s="174">
        <f>SUM(B147:D147)</f>
        <v>0</v>
      </c>
    </row>
    <row r="148" spans="1:5" ht="12.6" customHeight="1" x14ac:dyDescent="0.25">
      <c r="A148" s="172" t="s">
        <v>246</v>
      </c>
      <c r="B148" s="173"/>
      <c r="C148" s="188"/>
      <c r="D148" s="173"/>
      <c r="E148" s="174">
        <f>SUM(B148:D148)</f>
        <v>0</v>
      </c>
    </row>
    <row r="149" spans="1:5" ht="12.6" customHeight="1" x14ac:dyDescent="0.25">
      <c r="A149" s="257" t="s">
        <v>300</v>
      </c>
      <c r="B149" s="175" t="s">
        <v>296</v>
      </c>
      <c r="C149" s="191" t="s">
        <v>297</v>
      </c>
      <c r="D149" s="175" t="s">
        <v>132</v>
      </c>
      <c r="E149" s="175" t="s">
        <v>203</v>
      </c>
    </row>
    <row r="150" spans="1:5" ht="12.6" customHeight="1" x14ac:dyDescent="0.25">
      <c r="A150" s="172" t="s">
        <v>277</v>
      </c>
      <c r="B150" s="173"/>
      <c r="C150" s="188"/>
      <c r="D150" s="173"/>
      <c r="E150" s="174">
        <f>SUM(B150:D150)</f>
        <v>0</v>
      </c>
    </row>
    <row r="151" spans="1:5" ht="12.6" customHeight="1" x14ac:dyDescent="0.25">
      <c r="A151" s="172" t="s">
        <v>215</v>
      </c>
      <c r="B151" s="173"/>
      <c r="C151" s="188"/>
      <c r="D151" s="173"/>
      <c r="E151" s="174">
        <f>SUM(B151:D151)</f>
        <v>0</v>
      </c>
    </row>
    <row r="152" spans="1:5" ht="12.6" customHeight="1" x14ac:dyDescent="0.25">
      <c r="A152" s="172" t="s">
        <v>298</v>
      </c>
      <c r="B152" s="173"/>
      <c r="C152" s="188"/>
      <c r="D152" s="173"/>
      <c r="E152" s="174">
        <f>SUM(B152:D152)</f>
        <v>0</v>
      </c>
    </row>
    <row r="153" spans="1:5" ht="12.6" customHeight="1" x14ac:dyDescent="0.25">
      <c r="A153" s="172" t="s">
        <v>245</v>
      </c>
      <c r="B153" s="173"/>
      <c r="C153" s="188"/>
      <c r="D153" s="173"/>
      <c r="E153" s="174">
        <f>SUM(B153:D153)</f>
        <v>0</v>
      </c>
    </row>
    <row r="154" spans="1:5" ht="12.6" customHeight="1" x14ac:dyDescent="0.25">
      <c r="A154" s="172" t="s">
        <v>246</v>
      </c>
      <c r="B154" s="173"/>
      <c r="C154" s="188"/>
      <c r="D154" s="173"/>
      <c r="E154" s="174">
        <f>SUM(B154:D154)</f>
        <v>0</v>
      </c>
    </row>
    <row r="155" spans="1:5" ht="12.6" customHeight="1" x14ac:dyDescent="0.25">
      <c r="A155" s="176"/>
      <c r="B155" s="176"/>
      <c r="C155" s="192"/>
      <c r="D155" s="177"/>
      <c r="E155" s="174"/>
    </row>
    <row r="156" spans="1:5" ht="12.6" customHeight="1" x14ac:dyDescent="0.25">
      <c r="A156" s="257" t="s">
        <v>301</v>
      </c>
      <c r="B156" s="175" t="s">
        <v>302</v>
      </c>
      <c r="C156" s="191" t="s">
        <v>303</v>
      </c>
      <c r="D156" s="174"/>
      <c r="E156" s="174"/>
    </row>
    <row r="157" spans="1:5" ht="12.6" customHeight="1" x14ac:dyDescent="0.25">
      <c r="A157" s="176" t="s">
        <v>304</v>
      </c>
      <c r="B157" s="173">
        <v>5402748</v>
      </c>
      <c r="C157" s="173">
        <v>11771500</v>
      </c>
      <c r="D157" s="174"/>
      <c r="E157" s="174"/>
    </row>
    <row r="158" spans="1:5" ht="12.6" customHeight="1" x14ac:dyDescent="0.25">
      <c r="A158" s="176"/>
      <c r="B158" s="177"/>
      <c r="C158" s="192"/>
      <c r="D158" s="174"/>
      <c r="E158" s="174"/>
    </row>
    <row r="159" spans="1:5" ht="12.6" customHeight="1" x14ac:dyDescent="0.25">
      <c r="A159" s="176"/>
      <c r="B159" s="176"/>
      <c r="C159" s="192"/>
      <c r="D159" s="177"/>
      <c r="E159" s="174"/>
    </row>
    <row r="160" spans="1:5" ht="12.6" customHeight="1" x14ac:dyDescent="0.25">
      <c r="A160" s="176"/>
      <c r="B160" s="176"/>
      <c r="C160" s="192"/>
      <c r="D160" s="177"/>
      <c r="E160" s="174"/>
    </row>
    <row r="161" spans="1:5" ht="12.6" customHeight="1" x14ac:dyDescent="0.25">
      <c r="A161" s="176"/>
      <c r="B161" s="176"/>
      <c r="C161" s="192"/>
      <c r="D161" s="177"/>
      <c r="E161" s="174"/>
    </row>
    <row r="162" spans="1:5" ht="21.75" customHeight="1" x14ac:dyDescent="0.25">
      <c r="A162" s="176"/>
      <c r="B162" s="176"/>
      <c r="C162" s="192"/>
      <c r="D162" s="177"/>
      <c r="E162" s="174"/>
    </row>
    <row r="163" spans="1:5" ht="11.4" customHeight="1" x14ac:dyDescent="0.25">
      <c r="A163" s="206" t="s">
        <v>305</v>
      </c>
      <c r="B163" s="207"/>
      <c r="C163" s="207"/>
      <c r="D163" s="207"/>
      <c r="E163" s="207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2" t="s">
        <v>307</v>
      </c>
      <c r="B165" s="171" t="s">
        <v>256</v>
      </c>
      <c r="C165" s="188">
        <v>22914079</v>
      </c>
      <c r="D165" s="174"/>
      <c r="E165" s="174"/>
    </row>
    <row r="166" spans="1:5" ht="11.4" customHeight="1" x14ac:dyDescent="0.25">
      <c r="A166" s="172" t="s">
        <v>308</v>
      </c>
      <c r="B166" s="171" t="s">
        <v>256</v>
      </c>
      <c r="C166" s="188">
        <v>338482</v>
      </c>
      <c r="D166" s="174"/>
      <c r="E166" s="174"/>
    </row>
    <row r="167" spans="1:5" ht="11.4" customHeight="1" x14ac:dyDescent="0.25">
      <c r="A167" s="176" t="s">
        <v>309</v>
      </c>
      <c r="B167" s="171" t="s">
        <v>256</v>
      </c>
      <c r="C167" s="188">
        <v>1671048</v>
      </c>
      <c r="D167" s="174"/>
      <c r="E167" s="174"/>
    </row>
    <row r="168" spans="1:5" ht="11.4" customHeight="1" x14ac:dyDescent="0.25">
      <c r="A168" s="172" t="s">
        <v>310</v>
      </c>
      <c r="B168" s="171" t="s">
        <v>256</v>
      </c>
      <c r="C168" s="188">
        <v>37774085</v>
      </c>
      <c r="D168" s="174"/>
      <c r="E168" s="174"/>
    </row>
    <row r="169" spans="1:5" ht="11.4" customHeight="1" x14ac:dyDescent="0.25">
      <c r="A169" s="172" t="s">
        <v>311</v>
      </c>
      <c r="B169" s="171" t="s">
        <v>256</v>
      </c>
      <c r="C169" s="188">
        <v>383389</v>
      </c>
      <c r="D169" s="174"/>
      <c r="E169" s="174"/>
    </row>
    <row r="170" spans="1:5" ht="11.4" customHeight="1" x14ac:dyDescent="0.25">
      <c r="A170" s="172" t="s">
        <v>312</v>
      </c>
      <c r="B170" s="171" t="s">
        <v>256</v>
      </c>
      <c r="C170" s="188">
        <v>18391371</v>
      </c>
      <c r="D170" s="174"/>
      <c r="E170" s="174"/>
    </row>
    <row r="171" spans="1:5" ht="11.4" customHeight="1" x14ac:dyDescent="0.25">
      <c r="A171" s="172" t="s">
        <v>313</v>
      </c>
      <c r="B171" s="171" t="s">
        <v>256</v>
      </c>
      <c r="C171" s="188">
        <v>1438563</v>
      </c>
      <c r="D171" s="174"/>
      <c r="E171" s="174"/>
    </row>
    <row r="172" spans="1:5" ht="11.4" customHeight="1" x14ac:dyDescent="0.25">
      <c r="A172" s="172" t="s">
        <v>313</v>
      </c>
      <c r="B172" s="171" t="s">
        <v>256</v>
      </c>
      <c r="C172" s="188"/>
      <c r="D172" s="174"/>
      <c r="E172" s="174"/>
    </row>
    <row r="173" spans="1:5" ht="11.4" customHeight="1" x14ac:dyDescent="0.25">
      <c r="A173" s="172" t="s">
        <v>203</v>
      </c>
      <c r="B173" s="174"/>
      <c r="C173" s="190"/>
      <c r="D173" s="174">
        <f>SUM(C165:C172)</f>
        <v>82911017</v>
      </c>
      <c r="E173" s="174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2" t="s">
        <v>315</v>
      </c>
      <c r="B175" s="171" t="s">
        <v>256</v>
      </c>
      <c r="C175" s="188">
        <v>12173438</v>
      </c>
      <c r="D175" s="174"/>
      <c r="E175" s="174"/>
    </row>
    <row r="176" spans="1:5" ht="11.4" customHeight="1" x14ac:dyDescent="0.25">
      <c r="A176" s="172" t="s">
        <v>316</v>
      </c>
      <c r="B176" s="171" t="s">
        <v>256</v>
      </c>
      <c r="C176" s="188">
        <v>2792527</v>
      </c>
      <c r="D176" s="174"/>
      <c r="E176" s="174"/>
    </row>
    <row r="177" spans="1:5" ht="11.4" customHeight="1" x14ac:dyDescent="0.25">
      <c r="A177" s="172" t="s">
        <v>203</v>
      </c>
      <c r="B177" s="174"/>
      <c r="C177" s="190"/>
      <c r="D177" s="174">
        <f>SUM(C175:C176)</f>
        <v>14965965</v>
      </c>
      <c r="E177" s="174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2" t="s">
        <v>318</v>
      </c>
      <c r="B179" s="171" t="s">
        <v>256</v>
      </c>
      <c r="C179" s="188">
        <v>2367545</v>
      </c>
      <c r="D179" s="174"/>
      <c r="E179" s="174"/>
    </row>
    <row r="180" spans="1:5" ht="11.4" customHeight="1" x14ac:dyDescent="0.25">
      <c r="A180" s="172" t="s">
        <v>319</v>
      </c>
      <c r="B180" s="171" t="s">
        <v>256</v>
      </c>
      <c r="C180" s="188">
        <v>966636</v>
      </c>
      <c r="D180" s="174"/>
      <c r="E180" s="174"/>
    </row>
    <row r="181" spans="1:5" ht="11.4" customHeight="1" x14ac:dyDescent="0.25">
      <c r="A181" s="172" t="s">
        <v>203</v>
      </c>
      <c r="B181" s="174"/>
      <c r="C181" s="190"/>
      <c r="D181" s="174">
        <f>SUM(C179:C180)</f>
        <v>3334181</v>
      </c>
      <c r="E181" s="174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2" t="s">
        <v>321</v>
      </c>
      <c r="B183" s="171" t="s">
        <v>256</v>
      </c>
      <c r="C183" s="188">
        <v>299831</v>
      </c>
      <c r="D183" s="174"/>
      <c r="E183" s="174"/>
    </row>
    <row r="184" spans="1:5" ht="11.4" customHeight="1" x14ac:dyDescent="0.25">
      <c r="A184" s="172" t="s">
        <v>322</v>
      </c>
      <c r="B184" s="171" t="s">
        <v>256</v>
      </c>
      <c r="C184" s="188">
        <v>6037410</v>
      </c>
      <c r="D184" s="174"/>
      <c r="E184" s="174"/>
    </row>
    <row r="185" spans="1:5" ht="11.4" customHeight="1" x14ac:dyDescent="0.25">
      <c r="A185" s="172" t="s">
        <v>132</v>
      </c>
      <c r="B185" s="171" t="s">
        <v>256</v>
      </c>
      <c r="C185" s="188"/>
      <c r="D185" s="174"/>
      <c r="E185" s="174"/>
    </row>
    <row r="186" spans="1:5" ht="11.4" customHeight="1" x14ac:dyDescent="0.25">
      <c r="A186" s="172" t="s">
        <v>203</v>
      </c>
      <c r="B186" s="174"/>
      <c r="C186" s="190"/>
      <c r="D186" s="174">
        <f>SUM(C183:C185)</f>
        <v>6337241</v>
      </c>
      <c r="E186" s="174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2" t="s">
        <v>324</v>
      </c>
      <c r="B188" s="171" t="s">
        <v>256</v>
      </c>
      <c r="C188" s="188">
        <v>8489759</v>
      </c>
      <c r="D188" s="174"/>
      <c r="E188" s="174"/>
    </row>
    <row r="189" spans="1:5" ht="11.4" customHeight="1" x14ac:dyDescent="0.25">
      <c r="A189" s="172" t="s">
        <v>325</v>
      </c>
      <c r="B189" s="171" t="s">
        <v>256</v>
      </c>
      <c r="C189" s="188"/>
      <c r="D189" s="174"/>
      <c r="E189" s="174"/>
    </row>
    <row r="190" spans="1:5" ht="11.4" customHeight="1" x14ac:dyDescent="0.25">
      <c r="A190" s="172" t="s">
        <v>203</v>
      </c>
      <c r="B190" s="174"/>
      <c r="C190" s="190"/>
      <c r="D190" s="174">
        <f>SUM(C188:C189)</f>
        <v>8489759</v>
      </c>
      <c r="E190" s="174"/>
    </row>
    <row r="191" spans="1:5" ht="18" customHeight="1" x14ac:dyDescent="0.25">
      <c r="A191" s="172"/>
      <c r="B191" s="174"/>
      <c r="C191" s="190"/>
      <c r="D191" s="174"/>
      <c r="E191" s="174"/>
    </row>
    <row r="192" spans="1:5" ht="12.6" customHeight="1" x14ac:dyDescent="0.25">
      <c r="A192" s="207" t="s">
        <v>326</v>
      </c>
      <c r="B192" s="207"/>
      <c r="C192" s="207"/>
      <c r="D192" s="207"/>
      <c r="E192" s="207"/>
    </row>
    <row r="193" spans="1:8" ht="12.6" customHeight="1" x14ac:dyDescent="0.25">
      <c r="A193" s="206" t="s">
        <v>327</v>
      </c>
      <c r="B193" s="207"/>
      <c r="C193" s="207"/>
      <c r="D193" s="207"/>
      <c r="E193" s="207"/>
    </row>
    <row r="194" spans="1:8" ht="12.6" customHeight="1" x14ac:dyDescent="0.25">
      <c r="A194" s="170"/>
      <c r="B194" s="169" t="s">
        <v>328</v>
      </c>
      <c r="C194" s="181" t="s">
        <v>329</v>
      </c>
      <c r="D194" s="169" t="s">
        <v>330</v>
      </c>
      <c r="E194" s="169" t="s">
        <v>331</v>
      </c>
    </row>
    <row r="195" spans="1:8" ht="12.6" customHeight="1" x14ac:dyDescent="0.25">
      <c r="A195" s="172" t="s">
        <v>332</v>
      </c>
      <c r="B195" s="173">
        <v>4913660</v>
      </c>
      <c r="C195" s="188"/>
      <c r="D195" s="173"/>
      <c r="E195" s="174">
        <f t="shared" ref="E195:E203" si="11">SUM(B195:C195)-D195</f>
        <v>4913660</v>
      </c>
    </row>
    <row r="196" spans="1:8" ht="12.6" customHeight="1" x14ac:dyDescent="0.25">
      <c r="A196" s="172" t="s">
        <v>333</v>
      </c>
      <c r="B196" s="173">
        <v>14641422</v>
      </c>
      <c r="C196" s="188">
        <v>104707</v>
      </c>
      <c r="D196" s="173">
        <v>81903</v>
      </c>
      <c r="E196" s="174">
        <f t="shared" si="11"/>
        <v>14664226</v>
      </c>
    </row>
    <row r="197" spans="1:8" ht="12.6" customHeight="1" x14ac:dyDescent="0.25">
      <c r="A197" s="172" t="s">
        <v>334</v>
      </c>
      <c r="B197" s="173">
        <v>308435623</v>
      </c>
      <c r="C197" s="188">
        <v>25858956</v>
      </c>
      <c r="D197" s="173">
        <v>176626</v>
      </c>
      <c r="E197" s="174">
        <f t="shared" si="11"/>
        <v>334117953</v>
      </c>
    </row>
    <row r="198" spans="1:8" ht="12.6" customHeight="1" x14ac:dyDescent="0.25">
      <c r="A198" s="172" t="s">
        <v>335</v>
      </c>
      <c r="B198" s="173">
        <v>119783526</v>
      </c>
      <c r="C198" s="188">
        <v>8090713</v>
      </c>
      <c r="D198" s="173">
        <v>105706</v>
      </c>
      <c r="E198" s="174">
        <f t="shared" si="11"/>
        <v>127768533</v>
      </c>
    </row>
    <row r="199" spans="1:8" ht="12.6" customHeight="1" x14ac:dyDescent="0.25">
      <c r="A199" s="172" t="s">
        <v>336</v>
      </c>
      <c r="B199" s="173">
        <v>1078440</v>
      </c>
      <c r="C199" s="188"/>
      <c r="D199" s="173">
        <v>198588</v>
      </c>
      <c r="E199" s="174">
        <f t="shared" si="11"/>
        <v>879852</v>
      </c>
    </row>
    <row r="200" spans="1:8" ht="12.6" customHeight="1" x14ac:dyDescent="0.25">
      <c r="A200" s="172" t="s">
        <v>337</v>
      </c>
      <c r="B200" s="173">
        <v>256544186</v>
      </c>
      <c r="C200" s="188">
        <v>30169887</v>
      </c>
      <c r="D200" s="173">
        <v>8499338</v>
      </c>
      <c r="E200" s="174">
        <f t="shared" si="11"/>
        <v>278214735</v>
      </c>
    </row>
    <row r="201" spans="1:8" ht="12.6" customHeight="1" x14ac:dyDescent="0.25">
      <c r="A201" s="172" t="s">
        <v>338</v>
      </c>
      <c r="B201" s="173"/>
      <c r="C201" s="188"/>
      <c r="D201" s="173"/>
      <c r="E201" s="174">
        <f t="shared" si="11"/>
        <v>0</v>
      </c>
    </row>
    <row r="202" spans="1:8" ht="12.6" customHeight="1" x14ac:dyDescent="0.25">
      <c r="A202" s="172" t="s">
        <v>339</v>
      </c>
      <c r="B202" s="173">
        <v>29441340</v>
      </c>
      <c r="C202" s="188">
        <v>6766189</v>
      </c>
      <c r="D202" s="173">
        <v>655194</v>
      </c>
      <c r="E202" s="174">
        <f t="shared" si="11"/>
        <v>35552335</v>
      </c>
    </row>
    <row r="203" spans="1:8" ht="12.6" customHeight="1" x14ac:dyDescent="0.25">
      <c r="A203" s="172" t="s">
        <v>340</v>
      </c>
      <c r="B203" s="173">
        <v>30151508</v>
      </c>
      <c r="C203" s="188">
        <v>50056102</v>
      </c>
      <c r="D203" s="173">
        <v>70509147</v>
      </c>
      <c r="E203" s="174">
        <f t="shared" si="11"/>
        <v>9698463</v>
      </c>
    </row>
    <row r="204" spans="1:8" ht="12.6" customHeight="1" x14ac:dyDescent="0.25">
      <c r="A204" s="172" t="s">
        <v>203</v>
      </c>
      <c r="B204" s="174">
        <f>SUM(B195:B203)</f>
        <v>764989705</v>
      </c>
      <c r="C204" s="190">
        <f>SUM(C195:C203)</f>
        <v>121046554</v>
      </c>
      <c r="D204" s="174">
        <f>SUM(D195:D203)</f>
        <v>80226502</v>
      </c>
      <c r="E204" s="174">
        <f>SUM(E195:E203)</f>
        <v>805809757</v>
      </c>
    </row>
    <row r="205" spans="1:8" ht="12.6" customHeight="1" x14ac:dyDescent="0.25">
      <c r="A205" s="172"/>
      <c r="B205" s="172"/>
      <c r="C205" s="190"/>
      <c r="D205" s="174"/>
      <c r="E205" s="174"/>
    </row>
    <row r="206" spans="1:8" ht="12.6" customHeight="1" x14ac:dyDescent="0.25">
      <c r="A206" s="206" t="s">
        <v>341</v>
      </c>
      <c r="B206" s="206"/>
      <c r="C206" s="206"/>
      <c r="D206" s="206"/>
      <c r="E206" s="206"/>
    </row>
    <row r="207" spans="1:8" ht="12.6" customHeight="1" x14ac:dyDescent="0.25">
      <c r="A207" s="170"/>
      <c r="B207" s="169" t="s">
        <v>328</v>
      </c>
      <c r="C207" s="181" t="s">
        <v>329</v>
      </c>
      <c r="D207" s="169" t="s">
        <v>330</v>
      </c>
      <c r="E207" s="169" t="s">
        <v>331</v>
      </c>
      <c r="H207" s="258"/>
    </row>
    <row r="208" spans="1:8" ht="12.6" customHeight="1" x14ac:dyDescent="0.25">
      <c r="A208" s="172" t="s">
        <v>332</v>
      </c>
      <c r="B208" s="177"/>
      <c r="C208" s="192"/>
      <c r="D208" s="177"/>
      <c r="E208" s="174"/>
      <c r="H208" s="258"/>
    </row>
    <row r="209" spans="1:8" ht="12.6" customHeight="1" x14ac:dyDescent="0.25">
      <c r="A209" s="172" t="s">
        <v>333</v>
      </c>
      <c r="B209" s="173">
        <v>11319843</v>
      </c>
      <c r="C209" s="188">
        <v>467913</v>
      </c>
      <c r="D209" s="173">
        <v>81903</v>
      </c>
      <c r="E209" s="174">
        <f t="shared" ref="E209:E216" si="12">SUM(B209:C209)-D209</f>
        <v>11705853</v>
      </c>
      <c r="H209" s="258"/>
    </row>
    <row r="210" spans="1:8" ht="12.6" customHeight="1" x14ac:dyDescent="0.25">
      <c r="A210" s="172" t="s">
        <v>334</v>
      </c>
      <c r="B210" s="173">
        <v>141748944</v>
      </c>
      <c r="C210" s="188">
        <v>11313809</v>
      </c>
      <c r="D210" s="173">
        <v>178469</v>
      </c>
      <c r="E210" s="174">
        <f t="shared" si="12"/>
        <v>152884284</v>
      </c>
      <c r="H210" s="258"/>
    </row>
    <row r="211" spans="1:8" ht="12.6" customHeight="1" x14ac:dyDescent="0.25">
      <c r="A211" s="172" t="s">
        <v>335</v>
      </c>
      <c r="B211" s="173">
        <v>83555840</v>
      </c>
      <c r="C211" s="188">
        <v>4357290</v>
      </c>
      <c r="D211" s="173">
        <v>103864</v>
      </c>
      <c r="E211" s="174">
        <f t="shared" si="12"/>
        <v>87809266</v>
      </c>
      <c r="H211" s="258"/>
    </row>
    <row r="212" spans="1:8" ht="12.6" customHeight="1" x14ac:dyDescent="0.25">
      <c r="A212" s="172" t="s">
        <v>336</v>
      </c>
      <c r="B212" s="173">
        <v>1058034</v>
      </c>
      <c r="C212" s="188">
        <v>9326</v>
      </c>
      <c r="D212" s="173">
        <v>198588</v>
      </c>
      <c r="E212" s="174">
        <f t="shared" si="12"/>
        <v>868772</v>
      </c>
      <c r="H212" s="258"/>
    </row>
    <row r="213" spans="1:8" ht="12.6" customHeight="1" x14ac:dyDescent="0.25">
      <c r="A213" s="172" t="s">
        <v>337</v>
      </c>
      <c r="B213" s="173">
        <v>199257119</v>
      </c>
      <c r="C213" s="188">
        <v>16392601</v>
      </c>
      <c r="D213" s="173">
        <v>8502847</v>
      </c>
      <c r="E213" s="174">
        <f t="shared" si="12"/>
        <v>207146873</v>
      </c>
      <c r="H213" s="258"/>
    </row>
    <row r="214" spans="1:8" ht="12.6" customHeight="1" x14ac:dyDescent="0.25">
      <c r="A214" s="172" t="s">
        <v>338</v>
      </c>
      <c r="B214" s="173"/>
      <c r="C214" s="188"/>
      <c r="D214" s="173"/>
      <c r="E214" s="174">
        <f t="shared" si="12"/>
        <v>0</v>
      </c>
      <c r="H214" s="258"/>
    </row>
    <row r="215" spans="1:8" ht="12.6" customHeight="1" x14ac:dyDescent="0.25">
      <c r="A215" s="172" t="s">
        <v>339</v>
      </c>
      <c r="B215" s="173">
        <v>17124491</v>
      </c>
      <c r="C215" s="188">
        <v>1829444</v>
      </c>
      <c r="D215" s="173">
        <v>655194</v>
      </c>
      <c r="E215" s="174">
        <f t="shared" si="12"/>
        <v>18298741</v>
      </c>
      <c r="H215" s="258"/>
    </row>
    <row r="216" spans="1:8" ht="12.6" customHeight="1" x14ac:dyDescent="0.25">
      <c r="A216" s="172" t="s">
        <v>340</v>
      </c>
      <c r="B216" s="173"/>
      <c r="C216" s="188"/>
      <c r="D216" s="173"/>
      <c r="E216" s="174">
        <f t="shared" si="12"/>
        <v>0</v>
      </c>
      <c r="H216" s="258"/>
    </row>
    <row r="217" spans="1:8" ht="12.6" customHeight="1" x14ac:dyDescent="0.25">
      <c r="A217" s="172" t="s">
        <v>203</v>
      </c>
      <c r="B217" s="174">
        <f>SUM(B208:B216)</f>
        <v>454064271</v>
      </c>
      <c r="C217" s="190">
        <f>SUM(C208:C216)</f>
        <v>34370383</v>
      </c>
      <c r="D217" s="174">
        <f>SUM(D208:D216)</f>
        <v>9720865</v>
      </c>
      <c r="E217" s="174">
        <f>SUM(E208:E216)</f>
        <v>478713789</v>
      </c>
    </row>
    <row r="218" spans="1:8" ht="21.75" customHeight="1" x14ac:dyDescent="0.25">
      <c r="A218" s="172"/>
      <c r="B218" s="174"/>
      <c r="C218" s="190"/>
      <c r="D218" s="174"/>
      <c r="E218" s="174"/>
    </row>
    <row r="219" spans="1:8" ht="12.6" customHeight="1" x14ac:dyDescent="0.25">
      <c r="A219" s="207" t="s">
        <v>342</v>
      </c>
      <c r="B219" s="207"/>
      <c r="C219" s="207"/>
      <c r="D219" s="207"/>
      <c r="E219" s="207"/>
    </row>
    <row r="220" spans="1:8" ht="12.6" customHeight="1" x14ac:dyDescent="0.25">
      <c r="A220" s="207"/>
      <c r="B220" s="286" t="s">
        <v>1255</v>
      </c>
      <c r="C220" s="286"/>
      <c r="D220" s="207"/>
      <c r="E220" s="207"/>
    </row>
    <row r="221" spans="1:8" ht="12.6" customHeight="1" x14ac:dyDescent="0.25">
      <c r="A221" s="271" t="s">
        <v>1255</v>
      </c>
      <c r="B221" s="207"/>
      <c r="C221" s="188">
        <v>23448945</v>
      </c>
      <c r="D221" s="171">
        <f>C221</f>
        <v>23448945</v>
      </c>
      <c r="E221" s="207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2" t="s">
        <v>344</v>
      </c>
      <c r="B223" s="171" t="s">
        <v>256</v>
      </c>
      <c r="C223" s="188">
        <v>508188610</v>
      </c>
      <c r="D223" s="174"/>
      <c r="E223" s="174"/>
    </row>
    <row r="224" spans="1:8" ht="12.6" customHeight="1" x14ac:dyDescent="0.25">
      <c r="A224" s="172" t="s">
        <v>345</v>
      </c>
      <c r="B224" s="171" t="s">
        <v>256</v>
      </c>
      <c r="C224" s="188">
        <v>136344874</v>
      </c>
      <c r="D224" s="174"/>
      <c r="E224" s="174"/>
    </row>
    <row r="225" spans="1:5" ht="12.6" customHeight="1" x14ac:dyDescent="0.25">
      <c r="A225" s="172" t="s">
        <v>346</v>
      </c>
      <c r="B225" s="171" t="s">
        <v>256</v>
      </c>
      <c r="C225" s="188">
        <v>11900673</v>
      </c>
      <c r="D225" s="174"/>
      <c r="E225" s="174"/>
    </row>
    <row r="226" spans="1:5" ht="12.6" customHeight="1" x14ac:dyDescent="0.25">
      <c r="A226" s="172" t="s">
        <v>347</v>
      </c>
      <c r="B226" s="171" t="s">
        <v>256</v>
      </c>
      <c r="C226" s="188">
        <v>5319903</v>
      </c>
      <c r="D226" s="174"/>
      <c r="E226" s="174"/>
    </row>
    <row r="227" spans="1:5" ht="12.6" customHeight="1" x14ac:dyDescent="0.25">
      <c r="A227" s="172" t="s">
        <v>348</v>
      </c>
      <c r="B227" s="171" t="s">
        <v>256</v>
      </c>
      <c r="C227" s="188">
        <v>466726911</v>
      </c>
      <c r="D227" s="174"/>
      <c r="E227" s="174"/>
    </row>
    <row r="228" spans="1:5" ht="12.6" customHeight="1" x14ac:dyDescent="0.25">
      <c r="A228" s="172" t="s">
        <v>349</v>
      </c>
      <c r="B228" s="171" t="s">
        <v>256</v>
      </c>
      <c r="C228" s="188">
        <v>47667</v>
      </c>
      <c r="D228" s="174"/>
      <c r="E228" s="174"/>
    </row>
    <row r="229" spans="1:5" ht="12.6" customHeight="1" x14ac:dyDescent="0.25">
      <c r="A229" s="172" t="s">
        <v>350</v>
      </c>
      <c r="B229" s="174"/>
      <c r="C229" s="190"/>
      <c r="D229" s="174">
        <f>SUM(C223:C228)</f>
        <v>1128528638</v>
      </c>
      <c r="E229" s="174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0" t="s">
        <v>352</v>
      </c>
      <c r="B231" s="171" t="s">
        <v>256</v>
      </c>
      <c r="C231" s="188">
        <v>4660</v>
      </c>
      <c r="D231" s="174"/>
      <c r="E231" s="174"/>
    </row>
    <row r="232" spans="1:5" ht="12.6" customHeight="1" x14ac:dyDescent="0.25">
      <c r="A232" s="170"/>
      <c r="B232" s="171"/>
      <c r="C232" s="190"/>
      <c r="D232" s="174"/>
      <c r="E232" s="174"/>
    </row>
    <row r="233" spans="1:5" ht="12.6" customHeight="1" x14ac:dyDescent="0.25">
      <c r="A233" s="170" t="s">
        <v>353</v>
      </c>
      <c r="B233" s="171" t="s">
        <v>256</v>
      </c>
      <c r="C233" s="188">
        <v>3823834</v>
      </c>
      <c r="D233" s="174"/>
      <c r="E233" s="174"/>
    </row>
    <row r="234" spans="1:5" ht="12.6" customHeight="1" x14ac:dyDescent="0.25">
      <c r="A234" s="170" t="s">
        <v>354</v>
      </c>
      <c r="B234" s="171" t="s">
        <v>256</v>
      </c>
      <c r="C234" s="188">
        <v>4810789</v>
      </c>
      <c r="D234" s="174"/>
      <c r="E234" s="174"/>
    </row>
    <row r="235" spans="1:5" ht="12.6" customHeight="1" x14ac:dyDescent="0.25">
      <c r="A235" s="172"/>
      <c r="B235" s="174"/>
      <c r="C235" s="190"/>
      <c r="D235" s="174"/>
      <c r="E235" s="174"/>
    </row>
    <row r="236" spans="1:5" ht="12.6" customHeight="1" x14ac:dyDescent="0.25">
      <c r="A236" s="170" t="s">
        <v>355</v>
      </c>
      <c r="B236" s="174"/>
      <c r="C236" s="190"/>
      <c r="D236" s="174">
        <f>SUM(C233:C235)</f>
        <v>8634623</v>
      </c>
      <c r="E236" s="174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2" t="s">
        <v>357</v>
      </c>
      <c r="B238" s="171" t="s">
        <v>256</v>
      </c>
      <c r="C238" s="188">
        <v>16139573</v>
      </c>
      <c r="D238" s="174"/>
      <c r="E238" s="174"/>
    </row>
    <row r="239" spans="1:5" ht="12.6" customHeight="1" x14ac:dyDescent="0.25">
      <c r="A239" s="172" t="s">
        <v>356</v>
      </c>
      <c r="B239" s="171" t="s">
        <v>256</v>
      </c>
      <c r="C239" s="188"/>
      <c r="D239" s="174"/>
      <c r="E239" s="174"/>
    </row>
    <row r="240" spans="1:5" ht="12.6" customHeight="1" x14ac:dyDescent="0.25">
      <c r="A240" s="172" t="s">
        <v>358</v>
      </c>
      <c r="B240" s="174"/>
      <c r="C240" s="190"/>
      <c r="D240" s="174">
        <f>SUM(C238:C239)</f>
        <v>16139573</v>
      </c>
      <c r="E240" s="174"/>
    </row>
    <row r="241" spans="1:5" ht="12.6" customHeight="1" x14ac:dyDescent="0.25">
      <c r="A241" s="172"/>
      <c r="B241" s="174"/>
      <c r="C241" s="190"/>
      <c r="D241" s="174"/>
      <c r="E241" s="174"/>
    </row>
    <row r="242" spans="1:5" ht="12.6" customHeight="1" x14ac:dyDescent="0.25">
      <c r="A242" s="172" t="s">
        <v>359</v>
      </c>
      <c r="B242" s="174"/>
      <c r="C242" s="190"/>
      <c r="D242" s="174">
        <f>D221+D229+D236+D240</f>
        <v>1176751779</v>
      </c>
      <c r="E242" s="174"/>
    </row>
    <row r="243" spans="1:5" ht="12.6" customHeight="1" x14ac:dyDescent="0.25">
      <c r="A243" s="172"/>
      <c r="B243" s="172"/>
      <c r="C243" s="190"/>
      <c r="D243" s="174"/>
      <c r="E243" s="174"/>
    </row>
    <row r="244" spans="1:5" ht="12.6" customHeight="1" x14ac:dyDescent="0.25">
      <c r="A244" s="172"/>
      <c r="B244" s="172"/>
      <c r="C244" s="190"/>
      <c r="D244" s="174"/>
      <c r="E244" s="174"/>
    </row>
    <row r="245" spans="1:5" ht="12.6" customHeight="1" x14ac:dyDescent="0.25">
      <c r="A245" s="172"/>
      <c r="B245" s="172"/>
      <c r="C245" s="190"/>
      <c r="D245" s="174"/>
      <c r="E245" s="174"/>
    </row>
    <row r="246" spans="1:5" ht="12.6" customHeight="1" x14ac:dyDescent="0.25">
      <c r="A246" s="172"/>
      <c r="B246" s="172"/>
      <c r="C246" s="190"/>
      <c r="D246" s="174"/>
      <c r="E246" s="174"/>
    </row>
    <row r="247" spans="1:5" ht="21.75" customHeight="1" x14ac:dyDescent="0.25">
      <c r="A247" s="172"/>
      <c r="B247" s="172"/>
      <c r="C247" s="190"/>
      <c r="D247" s="174"/>
      <c r="E247" s="174"/>
    </row>
    <row r="248" spans="1:5" ht="12.45" customHeight="1" x14ac:dyDescent="0.25">
      <c r="A248" s="207" t="s">
        <v>360</v>
      </c>
      <c r="B248" s="207"/>
      <c r="C248" s="207"/>
      <c r="D248" s="207"/>
      <c r="E248" s="207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2" t="s">
        <v>362</v>
      </c>
      <c r="B250" s="171" t="s">
        <v>256</v>
      </c>
      <c r="C250" s="188">
        <v>43606620</v>
      </c>
      <c r="D250" s="174"/>
      <c r="E250" s="174"/>
    </row>
    <row r="251" spans="1:5" ht="12.45" customHeight="1" x14ac:dyDescent="0.25">
      <c r="A251" s="172" t="s">
        <v>363</v>
      </c>
      <c r="B251" s="171" t="s">
        <v>256</v>
      </c>
      <c r="C251" s="188">
        <v>0</v>
      </c>
      <c r="D251" s="174"/>
      <c r="E251" s="174"/>
    </row>
    <row r="252" spans="1:5" ht="12.45" customHeight="1" x14ac:dyDescent="0.25">
      <c r="A252" s="172" t="s">
        <v>364</v>
      </c>
      <c r="B252" s="171" t="s">
        <v>256</v>
      </c>
      <c r="C252" s="188">
        <v>249253223</v>
      </c>
      <c r="D252" s="174"/>
      <c r="E252" s="174"/>
    </row>
    <row r="253" spans="1:5" ht="12.45" customHeight="1" x14ac:dyDescent="0.25">
      <c r="A253" s="172" t="s">
        <v>365</v>
      </c>
      <c r="B253" s="171" t="s">
        <v>256</v>
      </c>
      <c r="C253" s="188">
        <v>166734249</v>
      </c>
      <c r="D253" s="174"/>
      <c r="E253" s="174"/>
    </row>
    <row r="254" spans="1:5" ht="12.45" customHeight="1" x14ac:dyDescent="0.25">
      <c r="A254" s="172" t="s">
        <v>1241</v>
      </c>
      <c r="B254" s="171" t="s">
        <v>256</v>
      </c>
      <c r="C254" s="188">
        <v>2764259</v>
      </c>
      <c r="D254" s="174"/>
      <c r="E254" s="174"/>
    </row>
    <row r="255" spans="1:5" ht="12.45" customHeight="1" x14ac:dyDescent="0.25">
      <c r="A255" s="172" t="s">
        <v>366</v>
      </c>
      <c r="B255" s="171" t="s">
        <v>256</v>
      </c>
      <c r="C255" s="188">
        <v>8984148</v>
      </c>
      <c r="D255" s="174"/>
      <c r="E255" s="174"/>
    </row>
    <row r="256" spans="1:5" ht="12.45" customHeight="1" x14ac:dyDescent="0.25">
      <c r="A256" s="172" t="s">
        <v>367</v>
      </c>
      <c r="B256" s="171" t="s">
        <v>256</v>
      </c>
      <c r="C256" s="188">
        <v>2141608</v>
      </c>
      <c r="D256" s="174"/>
      <c r="E256" s="174"/>
    </row>
    <row r="257" spans="1:5" ht="12.45" customHeight="1" x14ac:dyDescent="0.25">
      <c r="A257" s="172" t="s">
        <v>368</v>
      </c>
      <c r="B257" s="171" t="s">
        <v>256</v>
      </c>
      <c r="C257" s="188">
        <v>7447890</v>
      </c>
      <c r="D257" s="174"/>
      <c r="E257" s="174"/>
    </row>
    <row r="258" spans="1:5" ht="12.45" customHeight="1" x14ac:dyDescent="0.25">
      <c r="A258" s="172" t="s">
        <v>369</v>
      </c>
      <c r="B258" s="171" t="s">
        <v>256</v>
      </c>
      <c r="C258" s="188">
        <v>8202117</v>
      </c>
      <c r="D258" s="174"/>
      <c r="E258" s="174"/>
    </row>
    <row r="259" spans="1:5" ht="12.45" customHeight="1" x14ac:dyDescent="0.25">
      <c r="A259" s="172" t="s">
        <v>370</v>
      </c>
      <c r="B259" s="171" t="s">
        <v>256</v>
      </c>
      <c r="C259" s="188"/>
      <c r="D259" s="174"/>
      <c r="E259" s="174"/>
    </row>
    <row r="260" spans="1:5" ht="12.45" customHeight="1" x14ac:dyDescent="0.25">
      <c r="A260" s="172" t="s">
        <v>371</v>
      </c>
      <c r="B260" s="174"/>
      <c r="C260" s="190"/>
      <c r="D260" s="174">
        <f>SUM(C250:C252)-C253+SUM(C254:C259)</f>
        <v>155665616</v>
      </c>
      <c r="E260" s="174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2" t="s">
        <v>362</v>
      </c>
      <c r="B262" s="171" t="s">
        <v>256</v>
      </c>
      <c r="C262" s="188">
        <v>136670052</v>
      </c>
      <c r="D262" s="174"/>
      <c r="E262" s="174"/>
    </row>
    <row r="263" spans="1:5" ht="12.45" customHeight="1" x14ac:dyDescent="0.25">
      <c r="A263" s="172" t="s">
        <v>363</v>
      </c>
      <c r="B263" s="171" t="s">
        <v>256</v>
      </c>
      <c r="C263" s="188">
        <v>0</v>
      </c>
      <c r="D263" s="174"/>
      <c r="E263" s="174"/>
    </row>
    <row r="264" spans="1:5" ht="12.45" customHeight="1" x14ac:dyDescent="0.25">
      <c r="A264" s="172" t="s">
        <v>373</v>
      </c>
      <c r="B264" s="171" t="s">
        <v>256</v>
      </c>
      <c r="C264" s="188">
        <v>0</v>
      </c>
      <c r="D264" s="174"/>
      <c r="E264" s="174"/>
    </row>
    <row r="265" spans="1:5" ht="12.45" customHeight="1" x14ac:dyDescent="0.25">
      <c r="A265" s="172" t="s">
        <v>374</v>
      </c>
      <c r="B265" s="174"/>
      <c r="C265" s="190"/>
      <c r="D265" s="174">
        <f>SUM(C262:C264)</f>
        <v>136670052</v>
      </c>
      <c r="E265" s="174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2" t="s">
        <v>332</v>
      </c>
      <c r="B267" s="171" t="s">
        <v>256</v>
      </c>
      <c r="C267" s="188">
        <v>4913660</v>
      </c>
      <c r="D267" s="174"/>
      <c r="E267" s="174"/>
    </row>
    <row r="268" spans="1:5" ht="12.45" customHeight="1" x14ac:dyDescent="0.25">
      <c r="A268" s="172" t="s">
        <v>333</v>
      </c>
      <c r="B268" s="171" t="s">
        <v>256</v>
      </c>
      <c r="C268" s="188">
        <v>14664226</v>
      </c>
      <c r="D268" s="174"/>
      <c r="E268" s="174"/>
    </row>
    <row r="269" spans="1:5" ht="12.45" customHeight="1" x14ac:dyDescent="0.25">
      <c r="A269" s="172" t="s">
        <v>334</v>
      </c>
      <c r="B269" s="171" t="s">
        <v>256</v>
      </c>
      <c r="C269" s="188">
        <v>334117953</v>
      </c>
      <c r="D269" s="174"/>
      <c r="E269" s="174"/>
    </row>
    <row r="270" spans="1:5" ht="12.45" customHeight="1" x14ac:dyDescent="0.25">
      <c r="A270" s="172" t="s">
        <v>376</v>
      </c>
      <c r="B270" s="171" t="s">
        <v>256</v>
      </c>
      <c r="C270" s="188">
        <v>127768532</v>
      </c>
      <c r="D270" s="174"/>
      <c r="E270" s="174"/>
    </row>
    <row r="271" spans="1:5" ht="12.45" customHeight="1" x14ac:dyDescent="0.25">
      <c r="A271" s="172" t="s">
        <v>377</v>
      </c>
      <c r="B271" s="171" t="s">
        <v>256</v>
      </c>
      <c r="C271" s="188">
        <v>879852</v>
      </c>
      <c r="D271" s="174"/>
      <c r="E271" s="174"/>
    </row>
    <row r="272" spans="1:5" ht="12.45" customHeight="1" x14ac:dyDescent="0.25">
      <c r="A272" s="172" t="s">
        <v>378</v>
      </c>
      <c r="B272" s="171" t="s">
        <v>256</v>
      </c>
      <c r="C272" s="188">
        <v>277835440</v>
      </c>
      <c r="D272" s="174"/>
      <c r="E272" s="174"/>
    </row>
    <row r="273" spans="1:5" ht="12.45" customHeight="1" x14ac:dyDescent="0.25">
      <c r="A273" s="172" t="s">
        <v>339</v>
      </c>
      <c r="B273" s="171" t="s">
        <v>256</v>
      </c>
      <c r="C273" s="188">
        <v>35931630</v>
      </c>
      <c r="D273" s="174"/>
      <c r="E273" s="174"/>
    </row>
    <row r="274" spans="1:5" ht="12.45" customHeight="1" x14ac:dyDescent="0.25">
      <c r="A274" s="172" t="s">
        <v>340</v>
      </c>
      <c r="B274" s="171" t="s">
        <v>256</v>
      </c>
      <c r="C274" s="188">
        <v>9698464</v>
      </c>
      <c r="D274" s="174"/>
      <c r="E274" s="174"/>
    </row>
    <row r="275" spans="1:5" ht="12.45" customHeight="1" x14ac:dyDescent="0.25">
      <c r="A275" s="172" t="s">
        <v>379</v>
      </c>
      <c r="B275" s="174"/>
      <c r="C275" s="190"/>
      <c r="D275" s="174">
        <f>SUM(C267:C274)</f>
        <v>805809757</v>
      </c>
      <c r="E275" s="174"/>
    </row>
    <row r="276" spans="1:5" ht="12.6" customHeight="1" x14ac:dyDescent="0.25">
      <c r="A276" s="172" t="s">
        <v>380</v>
      </c>
      <c r="B276" s="171" t="s">
        <v>256</v>
      </c>
      <c r="C276" s="188">
        <v>478713790</v>
      </c>
      <c r="D276" s="174"/>
      <c r="E276" s="174"/>
    </row>
    <row r="277" spans="1:5" ht="12.6" customHeight="1" x14ac:dyDescent="0.25">
      <c r="A277" s="172" t="s">
        <v>381</v>
      </c>
      <c r="B277" s="174"/>
      <c r="C277" s="190"/>
      <c r="D277" s="174">
        <f>D275-C276</f>
        <v>327095967</v>
      </c>
      <c r="E277" s="174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2" t="s">
        <v>383</v>
      </c>
      <c r="B279" s="171" t="s">
        <v>256</v>
      </c>
      <c r="C279" s="188">
        <v>0</v>
      </c>
      <c r="D279" s="174"/>
      <c r="E279" s="174"/>
    </row>
    <row r="280" spans="1:5" ht="12.6" customHeight="1" x14ac:dyDescent="0.25">
      <c r="A280" s="172" t="s">
        <v>384</v>
      </c>
      <c r="B280" s="171" t="s">
        <v>256</v>
      </c>
      <c r="C280" s="188">
        <v>0</v>
      </c>
      <c r="D280" s="174"/>
      <c r="E280" s="174"/>
    </row>
    <row r="281" spans="1:5" ht="12.6" customHeight="1" x14ac:dyDescent="0.25">
      <c r="A281" s="172" t="s">
        <v>385</v>
      </c>
      <c r="B281" s="171" t="s">
        <v>256</v>
      </c>
      <c r="C281" s="188">
        <v>10460115</v>
      </c>
      <c r="D281" s="174"/>
      <c r="E281" s="174"/>
    </row>
    <row r="282" spans="1:5" ht="12.6" customHeight="1" x14ac:dyDescent="0.25">
      <c r="A282" s="172" t="s">
        <v>373</v>
      </c>
      <c r="B282" s="171" t="s">
        <v>256</v>
      </c>
      <c r="C282" s="188">
        <v>6463258</v>
      </c>
      <c r="D282" s="174"/>
      <c r="E282" s="174"/>
    </row>
    <row r="283" spans="1:5" ht="12.6" customHeight="1" x14ac:dyDescent="0.25">
      <c r="A283" s="172" t="s">
        <v>386</v>
      </c>
      <c r="B283" s="174"/>
      <c r="C283" s="190"/>
      <c r="D283" s="174">
        <f>C279-C280+C281+C282</f>
        <v>16923373</v>
      </c>
      <c r="E283" s="174"/>
    </row>
    <row r="284" spans="1:5" ht="12.6" customHeight="1" x14ac:dyDescent="0.25">
      <c r="A284" s="172"/>
      <c r="B284" s="174"/>
      <c r="C284" s="190"/>
      <c r="D284" s="174"/>
      <c r="E284" s="174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2" t="s">
        <v>388</v>
      </c>
      <c r="B286" s="171" t="s">
        <v>256</v>
      </c>
      <c r="C286" s="188">
        <v>24968771</v>
      </c>
      <c r="D286" s="174"/>
      <c r="E286" s="174"/>
    </row>
    <row r="287" spans="1:5" ht="12.6" customHeight="1" x14ac:dyDescent="0.25">
      <c r="A287" s="172" t="s">
        <v>389</v>
      </c>
      <c r="B287" s="171" t="s">
        <v>256</v>
      </c>
      <c r="C287" s="188">
        <v>0</v>
      </c>
      <c r="D287" s="174"/>
      <c r="E287" s="174"/>
    </row>
    <row r="288" spans="1:5" ht="12.6" customHeight="1" x14ac:dyDescent="0.25">
      <c r="A288" s="172" t="s">
        <v>390</v>
      </c>
      <c r="B288" s="171" t="s">
        <v>256</v>
      </c>
      <c r="C288" s="188">
        <v>0</v>
      </c>
      <c r="D288" s="174"/>
      <c r="E288" s="174"/>
    </row>
    <row r="289" spans="1:5" ht="12.6" customHeight="1" x14ac:dyDescent="0.25">
      <c r="A289" s="172" t="s">
        <v>391</v>
      </c>
      <c r="B289" s="171" t="s">
        <v>256</v>
      </c>
      <c r="C289" s="188">
        <v>0</v>
      </c>
      <c r="D289" s="174"/>
      <c r="E289" s="174"/>
    </row>
    <row r="290" spans="1:5" ht="12.6" customHeight="1" x14ac:dyDescent="0.25">
      <c r="A290" s="172" t="s">
        <v>392</v>
      </c>
      <c r="B290" s="174"/>
      <c r="C290" s="190"/>
      <c r="D290" s="174">
        <f>SUM(C286:C289)</f>
        <v>24968771</v>
      </c>
      <c r="E290" s="174"/>
    </row>
    <row r="291" spans="1:5" ht="12.6" customHeight="1" x14ac:dyDescent="0.25">
      <c r="A291" s="172"/>
      <c r="B291" s="174"/>
      <c r="C291" s="190"/>
      <c r="D291" s="174"/>
      <c r="E291" s="174"/>
    </row>
    <row r="292" spans="1:5" ht="12.6" customHeight="1" x14ac:dyDescent="0.25">
      <c r="A292" s="172" t="s">
        <v>393</v>
      </c>
      <c r="B292" s="174"/>
      <c r="C292" s="190"/>
      <c r="D292" s="174">
        <f>D260+D265+D277+D283+D290</f>
        <v>661323779</v>
      </c>
      <c r="E292" s="174"/>
    </row>
    <row r="293" spans="1:5" ht="12.6" customHeight="1" x14ac:dyDescent="0.25">
      <c r="A293" s="172"/>
      <c r="B293" s="172"/>
      <c r="C293" s="190"/>
      <c r="D293" s="174"/>
      <c r="E293" s="174"/>
    </row>
    <row r="294" spans="1:5" ht="12.6" customHeight="1" x14ac:dyDescent="0.25">
      <c r="A294" s="172"/>
      <c r="B294" s="172"/>
      <c r="C294" s="190"/>
      <c r="D294" s="174"/>
      <c r="E294" s="174"/>
    </row>
    <row r="295" spans="1:5" ht="12.6" customHeight="1" x14ac:dyDescent="0.25">
      <c r="A295" s="172"/>
      <c r="B295" s="172"/>
      <c r="C295" s="190"/>
      <c r="D295" s="174"/>
      <c r="E295" s="174"/>
    </row>
    <row r="296" spans="1:5" ht="12.6" customHeight="1" x14ac:dyDescent="0.25">
      <c r="A296" s="172"/>
      <c r="B296" s="172"/>
      <c r="C296" s="190"/>
      <c r="D296" s="174"/>
      <c r="E296" s="174"/>
    </row>
    <row r="297" spans="1:5" ht="12.6" customHeight="1" x14ac:dyDescent="0.25">
      <c r="A297" s="172"/>
      <c r="B297" s="172"/>
      <c r="C297" s="190"/>
      <c r="D297" s="174"/>
      <c r="E297" s="174"/>
    </row>
    <row r="298" spans="1:5" ht="12.6" customHeight="1" x14ac:dyDescent="0.25">
      <c r="A298" s="172"/>
      <c r="B298" s="172"/>
      <c r="C298" s="190"/>
      <c r="D298" s="174"/>
      <c r="E298" s="174"/>
    </row>
    <row r="299" spans="1:5" ht="12.6" customHeight="1" x14ac:dyDescent="0.25">
      <c r="A299" s="172"/>
      <c r="B299" s="172"/>
      <c r="C299" s="190"/>
      <c r="D299" s="174"/>
      <c r="E299" s="174"/>
    </row>
    <row r="300" spans="1:5" ht="12.6" customHeight="1" x14ac:dyDescent="0.25">
      <c r="A300" s="172"/>
      <c r="B300" s="172"/>
      <c r="C300" s="190"/>
      <c r="D300" s="174"/>
      <c r="E300" s="174"/>
    </row>
    <row r="301" spans="1:5" ht="20.25" customHeight="1" x14ac:dyDescent="0.25">
      <c r="A301" s="172"/>
      <c r="B301" s="172"/>
      <c r="C301" s="190"/>
      <c r="D301" s="174"/>
      <c r="E301" s="174"/>
    </row>
    <row r="302" spans="1:5" ht="12.6" customHeight="1" x14ac:dyDescent="0.25">
      <c r="A302" s="207" t="s">
        <v>394</v>
      </c>
      <c r="B302" s="207"/>
      <c r="C302" s="207"/>
      <c r="D302" s="207"/>
      <c r="E302" s="207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2" t="s">
        <v>396</v>
      </c>
      <c r="B304" s="171" t="s">
        <v>256</v>
      </c>
      <c r="C304" s="188">
        <v>0</v>
      </c>
      <c r="D304" s="174"/>
      <c r="E304" s="174"/>
    </row>
    <row r="305" spans="1:5" ht="12.6" customHeight="1" x14ac:dyDescent="0.25">
      <c r="A305" s="172" t="s">
        <v>397</v>
      </c>
      <c r="B305" s="171" t="s">
        <v>256</v>
      </c>
      <c r="C305" s="188">
        <v>25699029</v>
      </c>
      <c r="D305" s="174"/>
      <c r="E305" s="174"/>
    </row>
    <row r="306" spans="1:5" ht="12.6" customHeight="1" x14ac:dyDescent="0.25">
      <c r="A306" s="172" t="s">
        <v>398</v>
      </c>
      <c r="B306" s="171" t="s">
        <v>256</v>
      </c>
      <c r="C306" s="188">
        <v>40752711</v>
      </c>
      <c r="D306" s="174"/>
      <c r="E306" s="174"/>
    </row>
    <row r="307" spans="1:5" ht="12.6" customHeight="1" x14ac:dyDescent="0.25">
      <c r="A307" s="172" t="s">
        <v>399</v>
      </c>
      <c r="B307" s="171" t="s">
        <v>256</v>
      </c>
      <c r="C307" s="188">
        <v>779533</v>
      </c>
      <c r="D307" s="174"/>
      <c r="E307" s="174"/>
    </row>
    <row r="308" spans="1:5" ht="12.6" customHeight="1" x14ac:dyDescent="0.25">
      <c r="A308" s="172" t="s">
        <v>400</v>
      </c>
      <c r="B308" s="171" t="s">
        <v>256</v>
      </c>
      <c r="C308" s="188">
        <v>0</v>
      </c>
      <c r="D308" s="174"/>
      <c r="E308" s="174"/>
    </row>
    <row r="309" spans="1:5" ht="12.6" customHeight="1" x14ac:dyDescent="0.25">
      <c r="A309" s="172" t="s">
        <v>1242</v>
      </c>
      <c r="B309" s="171" t="s">
        <v>256</v>
      </c>
      <c r="C309" s="188">
        <v>2806941</v>
      </c>
      <c r="D309" s="174"/>
      <c r="E309" s="174"/>
    </row>
    <row r="310" spans="1:5" ht="12.6" customHeight="1" x14ac:dyDescent="0.25">
      <c r="A310" s="172" t="s">
        <v>401</v>
      </c>
      <c r="B310" s="171" t="s">
        <v>256</v>
      </c>
      <c r="C310" s="188"/>
      <c r="D310" s="174"/>
      <c r="E310" s="174"/>
    </row>
    <row r="311" spans="1:5" ht="12.6" customHeight="1" x14ac:dyDescent="0.25">
      <c r="A311" s="172" t="s">
        <v>402</v>
      </c>
      <c r="B311" s="171" t="s">
        <v>256</v>
      </c>
      <c r="C311" s="188">
        <v>0</v>
      </c>
      <c r="D311" s="174"/>
      <c r="E311" s="174"/>
    </row>
    <row r="312" spans="1:5" ht="12.6" customHeight="1" x14ac:dyDescent="0.25">
      <c r="A312" s="172" t="s">
        <v>403</v>
      </c>
      <c r="B312" s="171" t="s">
        <v>256</v>
      </c>
      <c r="C312" s="188">
        <v>1741863</v>
      </c>
      <c r="D312" s="174"/>
      <c r="E312" s="174"/>
    </row>
    <row r="313" spans="1:5" ht="12.6" customHeight="1" x14ac:dyDescent="0.25">
      <c r="A313" s="172" t="s">
        <v>404</v>
      </c>
      <c r="B313" s="171" t="s">
        <v>256</v>
      </c>
      <c r="C313" s="188">
        <v>13102946</v>
      </c>
      <c r="D313" s="174"/>
      <c r="E313" s="174"/>
    </row>
    <row r="314" spans="1:5" ht="12.6" customHeight="1" x14ac:dyDescent="0.25">
      <c r="A314" s="172" t="s">
        <v>405</v>
      </c>
      <c r="B314" s="174"/>
      <c r="C314" s="190"/>
      <c r="D314" s="174">
        <f>SUM(C304:C313)</f>
        <v>84883023</v>
      </c>
      <c r="E314" s="174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2" t="s">
        <v>407</v>
      </c>
      <c r="B316" s="171" t="s">
        <v>256</v>
      </c>
      <c r="C316" s="188">
        <v>0</v>
      </c>
      <c r="D316" s="174"/>
      <c r="E316" s="174"/>
    </row>
    <row r="317" spans="1:5" ht="12.6" customHeight="1" x14ac:dyDescent="0.25">
      <c r="A317" s="172" t="s">
        <v>408</v>
      </c>
      <c r="B317" s="171" t="s">
        <v>256</v>
      </c>
      <c r="C317" s="188">
        <v>20434429</v>
      </c>
      <c r="D317" s="174"/>
      <c r="E317" s="174"/>
    </row>
    <row r="318" spans="1:5" ht="12.6" customHeight="1" x14ac:dyDescent="0.25">
      <c r="A318" s="172" t="s">
        <v>409</v>
      </c>
      <c r="B318" s="171" t="s">
        <v>256</v>
      </c>
      <c r="C318" s="188">
        <v>270959</v>
      </c>
      <c r="D318" s="174"/>
      <c r="E318" s="174"/>
    </row>
    <row r="319" spans="1:5" ht="12.6" customHeight="1" x14ac:dyDescent="0.25">
      <c r="A319" s="172" t="s">
        <v>410</v>
      </c>
      <c r="B319" s="174"/>
      <c r="C319" s="190"/>
      <c r="D319" s="174">
        <f>SUM(C316:C318)</f>
        <v>20705388</v>
      </c>
      <c r="E319" s="174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2" t="s">
        <v>412</v>
      </c>
      <c r="B321" s="171" t="s">
        <v>256</v>
      </c>
      <c r="C321" s="188">
        <v>0</v>
      </c>
      <c r="D321" s="174"/>
      <c r="E321" s="174"/>
    </row>
    <row r="322" spans="1:5" ht="12.6" customHeight="1" x14ac:dyDescent="0.25">
      <c r="A322" s="172" t="s">
        <v>413</v>
      </c>
      <c r="B322" s="171" t="s">
        <v>256</v>
      </c>
      <c r="C322" s="188">
        <v>0</v>
      </c>
      <c r="D322" s="174"/>
      <c r="E322" s="174"/>
    </row>
    <row r="323" spans="1:5" ht="12.6" customHeight="1" x14ac:dyDescent="0.25">
      <c r="A323" s="172" t="s">
        <v>414</v>
      </c>
      <c r="B323" s="171" t="s">
        <v>256</v>
      </c>
      <c r="C323" s="188">
        <v>0</v>
      </c>
      <c r="D323" s="174"/>
      <c r="E323" s="174"/>
    </row>
    <row r="324" spans="1:5" ht="12.6" customHeight="1" x14ac:dyDescent="0.25">
      <c r="A324" s="170" t="s">
        <v>415</v>
      </c>
      <c r="B324" s="171" t="s">
        <v>256</v>
      </c>
      <c r="C324" s="188">
        <v>7904132</v>
      </c>
      <c r="D324" s="174"/>
      <c r="E324" s="174"/>
    </row>
    <row r="325" spans="1:5" ht="12.6" customHeight="1" x14ac:dyDescent="0.25">
      <c r="A325" s="172" t="s">
        <v>416</v>
      </c>
      <c r="B325" s="171" t="s">
        <v>256</v>
      </c>
      <c r="C325" s="188">
        <v>209648400</v>
      </c>
      <c r="D325" s="174"/>
      <c r="E325" s="174"/>
    </row>
    <row r="326" spans="1:5" ht="12.6" customHeight="1" x14ac:dyDescent="0.25">
      <c r="A326" s="170" t="s">
        <v>417</v>
      </c>
      <c r="B326" s="171" t="s">
        <v>256</v>
      </c>
      <c r="C326" s="188"/>
      <c r="D326" s="174"/>
      <c r="E326" s="174"/>
    </row>
    <row r="327" spans="1:5" ht="12.6" customHeight="1" x14ac:dyDescent="0.25">
      <c r="A327" s="172" t="s">
        <v>418</v>
      </c>
      <c r="B327" s="171" t="s">
        <v>256</v>
      </c>
      <c r="C327" s="188">
        <v>7900452</v>
      </c>
      <c r="D327" s="174"/>
      <c r="E327" s="174"/>
    </row>
    <row r="328" spans="1:5" ht="19.5" customHeight="1" x14ac:dyDescent="0.25">
      <c r="A328" s="172" t="s">
        <v>203</v>
      </c>
      <c r="B328" s="174"/>
      <c r="C328" s="190"/>
      <c r="D328" s="174">
        <f>SUM(C321:C327)</f>
        <v>225452984</v>
      </c>
      <c r="E328" s="174"/>
    </row>
    <row r="329" spans="1:5" ht="12.6" customHeight="1" x14ac:dyDescent="0.25">
      <c r="A329" s="172" t="s">
        <v>419</v>
      </c>
      <c r="B329" s="174"/>
      <c r="C329" s="190"/>
      <c r="D329" s="174">
        <f>C313</f>
        <v>13102946</v>
      </c>
      <c r="E329" s="174"/>
    </row>
    <row r="330" spans="1:5" ht="12.6" customHeight="1" x14ac:dyDescent="0.25">
      <c r="A330" s="172" t="s">
        <v>420</v>
      </c>
      <c r="B330" s="174"/>
      <c r="C330" s="190"/>
      <c r="D330" s="174">
        <f>D328-D329</f>
        <v>212350038</v>
      </c>
      <c r="E330" s="174"/>
    </row>
    <row r="331" spans="1:5" ht="12.6" customHeight="1" x14ac:dyDescent="0.25">
      <c r="A331" s="172"/>
      <c r="B331" s="174"/>
      <c r="C331" s="190"/>
      <c r="D331" s="174"/>
      <c r="E331" s="174"/>
    </row>
    <row r="332" spans="1:5" ht="12.6" customHeight="1" x14ac:dyDescent="0.25">
      <c r="A332" s="172" t="s">
        <v>421</v>
      </c>
      <c r="B332" s="171" t="s">
        <v>256</v>
      </c>
      <c r="C332" s="221">
        <f>14614350+321476287+7294694-1</f>
        <v>343385330</v>
      </c>
      <c r="D332" s="174"/>
      <c r="E332" s="174"/>
    </row>
    <row r="333" spans="1:5" ht="12.6" customHeight="1" x14ac:dyDescent="0.25">
      <c r="A333" s="172"/>
      <c r="B333" s="171"/>
      <c r="C333" s="231"/>
      <c r="D333" s="174"/>
      <c r="E333" s="174"/>
    </row>
    <row r="334" spans="1:5" ht="12.6" customHeight="1" x14ac:dyDescent="0.25">
      <c r="A334" s="172" t="s">
        <v>1142</v>
      </c>
      <c r="B334" s="171" t="s">
        <v>256</v>
      </c>
      <c r="C334" s="221"/>
      <c r="D334" s="174"/>
      <c r="E334" s="174"/>
    </row>
    <row r="335" spans="1:5" ht="12.6" customHeight="1" x14ac:dyDescent="0.25">
      <c r="A335" s="172" t="s">
        <v>1143</v>
      </c>
      <c r="B335" s="171" t="s">
        <v>256</v>
      </c>
      <c r="C335" s="221"/>
      <c r="D335" s="174"/>
      <c r="E335" s="174"/>
    </row>
    <row r="336" spans="1:5" ht="12.6" customHeight="1" x14ac:dyDescent="0.25">
      <c r="A336" s="172" t="s">
        <v>423</v>
      </c>
      <c r="B336" s="171" t="s">
        <v>256</v>
      </c>
      <c r="C336" s="221"/>
      <c r="D336" s="174"/>
      <c r="E336" s="174"/>
    </row>
    <row r="337" spans="1:5" ht="12.6" customHeight="1" x14ac:dyDescent="0.25">
      <c r="A337" s="172" t="s">
        <v>422</v>
      </c>
      <c r="B337" s="171" t="s">
        <v>256</v>
      </c>
      <c r="C337" s="188"/>
      <c r="D337" s="174"/>
      <c r="E337" s="174"/>
    </row>
    <row r="338" spans="1:5" ht="12.6" customHeight="1" x14ac:dyDescent="0.25">
      <c r="A338" s="172" t="s">
        <v>1253</v>
      </c>
      <c r="B338" s="171" t="s">
        <v>256</v>
      </c>
      <c r="C338" s="188"/>
      <c r="D338" s="174"/>
      <c r="E338" s="174"/>
    </row>
    <row r="339" spans="1:5" ht="12.6" customHeight="1" x14ac:dyDescent="0.25">
      <c r="A339" s="172" t="s">
        <v>424</v>
      </c>
      <c r="B339" s="174"/>
      <c r="C339" s="190"/>
      <c r="D339" s="174">
        <f>D314+D319+D330+C332+C336+C337</f>
        <v>661323779</v>
      </c>
      <c r="E339" s="174"/>
    </row>
    <row r="340" spans="1:5" ht="12.6" customHeight="1" x14ac:dyDescent="0.25">
      <c r="A340" s="172"/>
      <c r="B340" s="174"/>
      <c r="C340" s="190"/>
      <c r="D340" s="174"/>
      <c r="E340" s="174"/>
    </row>
    <row r="341" spans="1:5" ht="12.6" customHeight="1" x14ac:dyDescent="0.25">
      <c r="A341" s="172" t="s">
        <v>425</v>
      </c>
      <c r="B341" s="174"/>
      <c r="C341" s="190"/>
      <c r="D341" s="174">
        <f>D292</f>
        <v>661323779</v>
      </c>
      <c r="E341" s="174"/>
    </row>
    <row r="342" spans="1:5" ht="12.6" customHeight="1" x14ac:dyDescent="0.25">
      <c r="A342" s="172"/>
      <c r="B342" s="172"/>
      <c r="C342" s="190"/>
      <c r="D342" s="174"/>
      <c r="E342" s="174"/>
    </row>
    <row r="343" spans="1:5" ht="12.6" customHeight="1" x14ac:dyDescent="0.25">
      <c r="A343" s="172"/>
      <c r="B343" s="172"/>
      <c r="C343" s="190"/>
      <c r="D343" s="174"/>
      <c r="E343" s="174"/>
    </row>
    <row r="344" spans="1:5" ht="12.6" customHeight="1" x14ac:dyDescent="0.25">
      <c r="A344" s="172"/>
      <c r="B344" s="172"/>
      <c r="C344" s="190"/>
      <c r="D344" s="174"/>
      <c r="E344" s="174"/>
    </row>
    <row r="345" spans="1:5" ht="12.6" customHeight="1" x14ac:dyDescent="0.25">
      <c r="A345" s="172"/>
      <c r="B345" s="172"/>
      <c r="C345" s="190"/>
      <c r="D345" s="174"/>
      <c r="E345" s="174"/>
    </row>
    <row r="346" spans="1:5" ht="12.6" customHeight="1" x14ac:dyDescent="0.25">
      <c r="A346" s="172"/>
      <c r="B346" s="172"/>
      <c r="C346" s="190"/>
      <c r="D346" s="174"/>
      <c r="E346" s="174"/>
    </row>
    <row r="347" spans="1:5" ht="12.6" customHeight="1" x14ac:dyDescent="0.25">
      <c r="A347" s="172"/>
      <c r="B347" s="172"/>
      <c r="C347" s="190"/>
      <c r="D347" s="174"/>
      <c r="E347" s="174"/>
    </row>
    <row r="348" spans="1:5" ht="12.6" customHeight="1" x14ac:dyDescent="0.25">
      <c r="A348" s="172"/>
      <c r="B348" s="172"/>
      <c r="C348" s="190"/>
      <c r="D348" s="174"/>
      <c r="E348" s="174"/>
    </row>
    <row r="349" spans="1:5" ht="12.6" customHeight="1" x14ac:dyDescent="0.25">
      <c r="A349" s="172"/>
      <c r="B349" s="172"/>
      <c r="C349" s="190"/>
      <c r="D349" s="174"/>
      <c r="E349" s="174"/>
    </row>
    <row r="350" spans="1:5" ht="12.6" customHeight="1" x14ac:dyDescent="0.25">
      <c r="A350" s="172"/>
      <c r="B350" s="172"/>
      <c r="C350" s="190"/>
      <c r="D350" s="174"/>
      <c r="E350" s="174"/>
    </row>
    <row r="351" spans="1:5" ht="12.6" customHeight="1" x14ac:dyDescent="0.25">
      <c r="A351" s="172"/>
      <c r="B351" s="172"/>
      <c r="C351" s="190"/>
      <c r="D351" s="174"/>
      <c r="E351" s="174"/>
    </row>
    <row r="352" spans="1:5" ht="12.6" customHeight="1" x14ac:dyDescent="0.25">
      <c r="A352" s="172"/>
      <c r="B352" s="172"/>
      <c r="C352" s="190"/>
      <c r="D352" s="174"/>
      <c r="E352" s="174"/>
    </row>
    <row r="353" spans="1:5" ht="12.6" customHeight="1" x14ac:dyDescent="0.25">
      <c r="A353" s="172"/>
      <c r="B353" s="172"/>
      <c r="C353" s="190"/>
      <c r="D353" s="174"/>
      <c r="E353" s="174"/>
    </row>
    <row r="354" spans="1:5" ht="12.6" customHeight="1" x14ac:dyDescent="0.25">
      <c r="A354" s="172"/>
      <c r="B354" s="172"/>
      <c r="C354" s="190"/>
      <c r="D354" s="174"/>
      <c r="E354" s="174"/>
    </row>
    <row r="355" spans="1:5" ht="12.6" customHeight="1" x14ac:dyDescent="0.25">
      <c r="A355" s="172"/>
      <c r="B355" s="172"/>
      <c r="C355" s="190"/>
      <c r="D355" s="174"/>
      <c r="E355" s="174"/>
    </row>
    <row r="356" spans="1:5" ht="20.25" customHeight="1" x14ac:dyDescent="0.25">
      <c r="A356" s="172"/>
      <c r="B356" s="172"/>
      <c r="C356" s="190"/>
      <c r="D356" s="174"/>
      <c r="E356" s="174"/>
    </row>
    <row r="357" spans="1:5" ht="12.6" customHeight="1" x14ac:dyDescent="0.25">
      <c r="A357" s="207" t="s">
        <v>426</v>
      </c>
      <c r="B357" s="207"/>
      <c r="C357" s="207"/>
      <c r="D357" s="207"/>
      <c r="E357" s="207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2" t="s">
        <v>428</v>
      </c>
      <c r="B359" s="171" t="s">
        <v>256</v>
      </c>
      <c r="C359" s="188">
        <v>798948786</v>
      </c>
      <c r="D359" s="174"/>
      <c r="E359" s="174"/>
    </row>
    <row r="360" spans="1:5" ht="12.6" customHeight="1" x14ac:dyDescent="0.25">
      <c r="A360" s="172" t="s">
        <v>429</v>
      </c>
      <c r="B360" s="171" t="s">
        <v>256</v>
      </c>
      <c r="C360" s="188">
        <v>1005162536</v>
      </c>
      <c r="D360" s="174"/>
      <c r="E360" s="174"/>
    </row>
    <row r="361" spans="1:5" ht="12.6" customHeight="1" x14ac:dyDescent="0.25">
      <c r="A361" s="172" t="s">
        <v>430</v>
      </c>
      <c r="B361" s="174"/>
      <c r="C361" s="190"/>
      <c r="D361" s="174">
        <f>SUM(C359:C360)</f>
        <v>1804111322</v>
      </c>
      <c r="E361" s="174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2" t="s">
        <v>1255</v>
      </c>
      <c r="B363" s="256"/>
      <c r="C363" s="188">
        <v>23448945</v>
      </c>
      <c r="D363" s="174"/>
      <c r="E363" s="256"/>
    </row>
    <row r="364" spans="1:5" ht="12.6" customHeight="1" x14ac:dyDescent="0.25">
      <c r="A364" s="172" t="s">
        <v>432</v>
      </c>
      <c r="B364" s="171" t="s">
        <v>256</v>
      </c>
      <c r="C364" s="188">
        <v>1128528637</v>
      </c>
      <c r="D364" s="174"/>
      <c r="E364" s="174"/>
    </row>
    <row r="365" spans="1:5" ht="12.6" customHeight="1" x14ac:dyDescent="0.25">
      <c r="A365" s="172" t="s">
        <v>433</v>
      </c>
      <c r="B365" s="171" t="s">
        <v>256</v>
      </c>
      <c r="C365" s="188">
        <v>8634623</v>
      </c>
      <c r="D365" s="174"/>
      <c r="E365" s="174"/>
    </row>
    <row r="366" spans="1:5" ht="12.6" customHeight="1" x14ac:dyDescent="0.25">
      <c r="A366" s="172" t="s">
        <v>434</v>
      </c>
      <c r="B366" s="171" t="s">
        <v>256</v>
      </c>
      <c r="C366" s="188">
        <v>16139573</v>
      </c>
      <c r="D366" s="174"/>
      <c r="E366" s="174"/>
    </row>
    <row r="367" spans="1:5" ht="12.6" customHeight="1" x14ac:dyDescent="0.25">
      <c r="A367" s="172" t="s">
        <v>359</v>
      </c>
      <c r="B367" s="174"/>
      <c r="C367" s="190"/>
      <c r="D367" s="174">
        <f>SUM(C363:C366)</f>
        <v>1176751778</v>
      </c>
      <c r="E367" s="174"/>
    </row>
    <row r="368" spans="1:5" ht="12.6" customHeight="1" x14ac:dyDescent="0.25">
      <c r="A368" s="172" t="s">
        <v>435</v>
      </c>
      <c r="B368" s="174"/>
      <c r="C368" s="190"/>
      <c r="D368" s="174">
        <f>D361-D367</f>
        <v>627359544</v>
      </c>
      <c r="E368" s="174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2" t="s">
        <v>437</v>
      </c>
      <c r="B370" s="171" t="s">
        <v>256</v>
      </c>
      <c r="C370" s="188">
        <v>41905699</v>
      </c>
      <c r="D370" s="174"/>
      <c r="E370" s="174"/>
    </row>
    <row r="371" spans="1:5" ht="12.6" customHeight="1" x14ac:dyDescent="0.25">
      <c r="A371" s="172" t="s">
        <v>438</v>
      </c>
      <c r="B371" s="171" t="s">
        <v>256</v>
      </c>
      <c r="C371" s="188">
        <v>25730761</v>
      </c>
      <c r="D371" s="174"/>
      <c r="E371" s="174"/>
    </row>
    <row r="372" spans="1:5" ht="12.6" customHeight="1" x14ac:dyDescent="0.25">
      <c r="A372" s="172" t="s">
        <v>439</v>
      </c>
      <c r="B372" s="174"/>
      <c r="C372" s="190"/>
      <c r="D372" s="174">
        <f>SUM(C370:C371)</f>
        <v>67636460</v>
      </c>
      <c r="E372" s="174"/>
    </row>
    <row r="373" spans="1:5" ht="12.6" customHeight="1" x14ac:dyDescent="0.25">
      <c r="A373" s="172" t="s">
        <v>440</v>
      </c>
      <c r="B373" s="174"/>
      <c r="C373" s="190"/>
      <c r="D373" s="174">
        <f>D368+D372</f>
        <v>694996004</v>
      </c>
      <c r="E373" s="174"/>
    </row>
    <row r="374" spans="1:5" ht="12.6" customHeight="1" x14ac:dyDescent="0.25">
      <c r="A374" s="172"/>
      <c r="B374" s="174"/>
      <c r="C374" s="190"/>
      <c r="D374" s="174"/>
      <c r="E374" s="174"/>
    </row>
    <row r="375" spans="1:5" ht="12.6" customHeight="1" x14ac:dyDescent="0.25">
      <c r="A375" s="172"/>
      <c r="B375" s="174"/>
      <c r="C375" s="190"/>
      <c r="D375" s="174"/>
      <c r="E375" s="174"/>
    </row>
    <row r="376" spans="1:5" ht="12.6" customHeight="1" x14ac:dyDescent="0.25">
      <c r="A376" s="172"/>
      <c r="B376" s="174"/>
      <c r="C376" s="190"/>
      <c r="D376" s="174"/>
      <c r="E376" s="174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2" t="s">
        <v>442</v>
      </c>
      <c r="B378" s="171" t="s">
        <v>256</v>
      </c>
      <c r="C378" s="188">
        <v>360208990</v>
      </c>
      <c r="D378" s="174"/>
      <c r="E378" s="174"/>
    </row>
    <row r="379" spans="1:5" ht="12.6" customHeight="1" x14ac:dyDescent="0.25">
      <c r="A379" s="172" t="s">
        <v>3</v>
      </c>
      <c r="B379" s="171" t="s">
        <v>256</v>
      </c>
      <c r="C379" s="188">
        <v>83289969</v>
      </c>
      <c r="D379" s="174"/>
      <c r="E379" s="174"/>
    </row>
    <row r="380" spans="1:5" ht="12.6" customHeight="1" x14ac:dyDescent="0.25">
      <c r="A380" s="172" t="s">
        <v>236</v>
      </c>
      <c r="B380" s="171" t="s">
        <v>256</v>
      </c>
      <c r="C380" s="188">
        <v>10786946</v>
      </c>
      <c r="D380" s="174"/>
      <c r="E380" s="174"/>
    </row>
    <row r="381" spans="1:5" ht="12.6" customHeight="1" x14ac:dyDescent="0.25">
      <c r="A381" s="172" t="s">
        <v>443</v>
      </c>
      <c r="B381" s="171" t="s">
        <v>256</v>
      </c>
      <c r="C381" s="188">
        <v>94837385</v>
      </c>
      <c r="D381" s="174"/>
      <c r="E381" s="174"/>
    </row>
    <row r="382" spans="1:5" ht="12.6" customHeight="1" x14ac:dyDescent="0.25">
      <c r="A382" s="172" t="s">
        <v>444</v>
      </c>
      <c r="B382" s="171" t="s">
        <v>256</v>
      </c>
      <c r="C382" s="188">
        <v>6368638</v>
      </c>
      <c r="D382" s="174"/>
      <c r="E382" s="174"/>
    </row>
    <row r="383" spans="1:5" ht="12.6" customHeight="1" x14ac:dyDescent="0.25">
      <c r="A383" s="172" t="s">
        <v>445</v>
      </c>
      <c r="B383" s="171" t="s">
        <v>256</v>
      </c>
      <c r="C383" s="188">
        <f>15925768+34988539</f>
        <v>50914307</v>
      </c>
      <c r="D383" s="174"/>
      <c r="E383" s="174"/>
    </row>
    <row r="384" spans="1:5" ht="12.6" customHeight="1" x14ac:dyDescent="0.25">
      <c r="A384" s="172" t="s">
        <v>6</v>
      </c>
      <c r="B384" s="171" t="s">
        <v>256</v>
      </c>
      <c r="C384" s="188">
        <v>34228703</v>
      </c>
      <c r="D384" s="174"/>
      <c r="E384" s="174"/>
    </row>
    <row r="385" spans="1:6" ht="12.6" customHeight="1" x14ac:dyDescent="0.25">
      <c r="A385" s="172" t="s">
        <v>446</v>
      </c>
      <c r="B385" s="171" t="s">
        <v>256</v>
      </c>
      <c r="C385" s="188">
        <f>12173438+2792537</f>
        <v>14965975</v>
      </c>
      <c r="D385" s="174"/>
      <c r="E385" s="174"/>
    </row>
    <row r="386" spans="1:6" ht="12.6" customHeight="1" x14ac:dyDescent="0.25">
      <c r="A386" s="172" t="s">
        <v>447</v>
      </c>
      <c r="B386" s="171" t="s">
        <v>256</v>
      </c>
      <c r="C386" s="188">
        <f>966636+2367545</f>
        <v>3334181</v>
      </c>
      <c r="D386" s="174"/>
      <c r="E386" s="174"/>
    </row>
    <row r="387" spans="1:6" ht="12.6" customHeight="1" x14ac:dyDescent="0.25">
      <c r="A387" s="172" t="s">
        <v>448</v>
      </c>
      <c r="B387" s="171" t="s">
        <v>256</v>
      </c>
      <c r="C387" s="188">
        <f>299831+6037410</f>
        <v>6337241</v>
      </c>
      <c r="D387" s="174"/>
      <c r="E387" s="174"/>
    </row>
    <row r="388" spans="1:6" ht="12.6" customHeight="1" x14ac:dyDescent="0.25">
      <c r="A388" s="172" t="s">
        <v>449</v>
      </c>
      <c r="B388" s="171" t="s">
        <v>256</v>
      </c>
      <c r="C388" s="188">
        <v>8489759</v>
      </c>
      <c r="D388" s="174"/>
      <c r="E388" s="174"/>
    </row>
    <row r="389" spans="1:6" ht="12.6" customHeight="1" x14ac:dyDescent="0.25">
      <c r="A389" s="172" t="s">
        <v>451</v>
      </c>
      <c r="B389" s="171" t="s">
        <v>256</v>
      </c>
      <c r="C389" s="188">
        <f>32981304-12173438-2792527-966636-2367545-299831-6037410</f>
        <v>8343917</v>
      </c>
      <c r="D389" s="174"/>
      <c r="E389" s="174"/>
    </row>
    <row r="390" spans="1:6" ht="12.6" customHeight="1" x14ac:dyDescent="0.25">
      <c r="A390" s="172" t="s">
        <v>452</v>
      </c>
      <c r="B390" s="174"/>
      <c r="C390" s="190"/>
      <c r="D390" s="174">
        <f>SUM(C378:C389)</f>
        <v>682106011</v>
      </c>
      <c r="E390" s="174"/>
    </row>
    <row r="391" spans="1:6" ht="12.6" customHeight="1" x14ac:dyDescent="0.25">
      <c r="A391" s="172" t="s">
        <v>453</v>
      </c>
      <c r="B391" s="174"/>
      <c r="C391" s="190"/>
      <c r="D391" s="174">
        <f>D373-D390</f>
        <v>12889993</v>
      </c>
      <c r="E391" s="174"/>
    </row>
    <row r="392" spans="1:6" ht="12.6" customHeight="1" x14ac:dyDescent="0.25">
      <c r="A392" s="172" t="s">
        <v>454</v>
      </c>
      <c r="B392" s="171" t="s">
        <v>256</v>
      </c>
      <c r="C392" s="188">
        <f>1405624+318723+10</f>
        <v>1724357</v>
      </c>
      <c r="D392" s="174"/>
      <c r="E392" s="174"/>
    </row>
    <row r="393" spans="1:6" ht="12.6" customHeight="1" x14ac:dyDescent="0.25">
      <c r="A393" s="172" t="s">
        <v>455</v>
      </c>
      <c r="B393" s="174"/>
      <c r="C393" s="190"/>
      <c r="D393" s="194">
        <f>D391+C392</f>
        <v>14614350</v>
      </c>
      <c r="E393" s="174"/>
      <c r="F393" s="196"/>
    </row>
    <row r="394" spans="1:6" ht="12.6" customHeight="1" x14ac:dyDescent="0.25">
      <c r="A394" s="172" t="s">
        <v>456</v>
      </c>
      <c r="B394" s="171" t="s">
        <v>256</v>
      </c>
      <c r="C394" s="188"/>
      <c r="D394" s="174"/>
      <c r="E394" s="174"/>
    </row>
    <row r="395" spans="1:6" ht="12.6" customHeight="1" x14ac:dyDescent="0.25">
      <c r="A395" s="172" t="s">
        <v>457</v>
      </c>
      <c r="B395" s="171" t="s">
        <v>256</v>
      </c>
      <c r="C395" s="188"/>
      <c r="D395" s="174"/>
      <c r="E395" s="174"/>
    </row>
    <row r="396" spans="1:6" ht="12.6" customHeight="1" x14ac:dyDescent="0.25">
      <c r="A396" s="172" t="s">
        <v>458</v>
      </c>
      <c r="B396" s="174"/>
      <c r="C396" s="190"/>
      <c r="D396" s="174">
        <f>D393+C394-C395</f>
        <v>14614350</v>
      </c>
      <c r="E396" s="174"/>
    </row>
    <row r="397" spans="1:6" ht="13.5" customHeight="1" x14ac:dyDescent="0.25">
      <c r="A397" s="178"/>
      <c r="B397" s="178"/>
    </row>
    <row r="398" spans="1:6" ht="12.6" customHeight="1" x14ac:dyDescent="0.25">
      <c r="A398" s="178"/>
      <c r="B398" s="178"/>
    </row>
    <row r="399" spans="1:6" ht="12.6" customHeight="1" x14ac:dyDescent="0.25">
      <c r="A399" s="178"/>
      <c r="B399" s="178"/>
    </row>
    <row r="400" spans="1:6" ht="12" customHeight="1" x14ac:dyDescent="0.25">
      <c r="A400" s="178"/>
      <c r="B400" s="178"/>
    </row>
    <row r="401" spans="1:5" ht="12" customHeight="1" x14ac:dyDescent="0.25">
      <c r="A401" s="178"/>
      <c r="B401" s="178"/>
    </row>
    <row r="402" spans="1:5" ht="12" customHeight="1" x14ac:dyDescent="0.25">
      <c r="A402" s="178"/>
      <c r="B402" s="178"/>
    </row>
    <row r="403" spans="1:5" ht="12" customHeight="1" x14ac:dyDescent="0.25">
      <c r="A403" s="178"/>
      <c r="B403" s="178"/>
    </row>
    <row r="404" spans="1:5" ht="12" customHeight="1" x14ac:dyDescent="0.25">
      <c r="A404" s="178"/>
      <c r="B404" s="178"/>
    </row>
    <row r="405" spans="1:5" ht="12.6" customHeight="1" x14ac:dyDescent="0.25">
      <c r="A405" s="178"/>
      <c r="B405" s="178"/>
    </row>
    <row r="406" spans="1:5" ht="12.6" customHeight="1" x14ac:dyDescent="0.25">
      <c r="A406" s="178"/>
      <c r="B406" s="178"/>
    </row>
    <row r="407" spans="1:5" ht="12.6" customHeight="1" x14ac:dyDescent="0.25">
      <c r="A407" s="178"/>
      <c r="B407" s="178"/>
    </row>
    <row r="408" spans="1:5" ht="12.6" customHeight="1" x14ac:dyDescent="0.25">
      <c r="A408" s="178"/>
      <c r="B408" s="178"/>
    </row>
    <row r="409" spans="1:5" ht="12.6" customHeight="1" x14ac:dyDescent="0.25">
      <c r="A409" s="178"/>
      <c r="B409" s="178"/>
    </row>
    <row r="410" spans="1:5" ht="12.6" customHeight="1" x14ac:dyDescent="0.25">
      <c r="A410" s="178"/>
      <c r="B410" s="178"/>
    </row>
    <row r="411" spans="1:5" ht="12.6" customHeight="1" x14ac:dyDescent="0.25">
      <c r="A411" s="178"/>
      <c r="B411" s="178"/>
      <c r="C411" s="180" t="s">
        <v>459</v>
      </c>
      <c r="D411" s="178"/>
      <c r="E411" s="259"/>
    </row>
    <row r="412" spans="1:5" ht="12.6" customHeight="1" x14ac:dyDescent="0.25">
      <c r="A412" s="178" t="str">
        <f>C84&amp;"   "&amp;"H-"&amp;FIXED(C83,0,TRUE)&amp;"     FYE "&amp;C82</f>
        <v>EvergreenHealth   H-0     FYE 12/31/2017</v>
      </c>
      <c r="B412" s="178"/>
      <c r="C412" s="178"/>
      <c r="D412" s="178"/>
      <c r="E412" s="259"/>
    </row>
    <row r="413" spans="1:5" ht="12.6" customHeight="1" x14ac:dyDescent="0.25">
      <c r="A413" s="178" t="s">
        <v>460</v>
      </c>
      <c r="B413" s="180" t="s">
        <v>461</v>
      </c>
      <c r="C413" s="180" t="s">
        <v>1243</v>
      </c>
      <c r="D413" s="180" t="s">
        <v>462</v>
      </c>
    </row>
    <row r="414" spans="1:5" ht="12.6" customHeight="1" x14ac:dyDescent="0.25">
      <c r="A414" s="178" t="s">
        <v>463</v>
      </c>
      <c r="B414" s="178">
        <f>C111</f>
        <v>15281</v>
      </c>
      <c r="C414" s="193">
        <f>E138</f>
        <v>15281</v>
      </c>
      <c r="D414" s="178"/>
    </row>
    <row r="415" spans="1:5" ht="12.6" customHeight="1" x14ac:dyDescent="0.25">
      <c r="A415" s="178" t="s">
        <v>464</v>
      </c>
      <c r="B415" s="178">
        <f>D111</f>
        <v>61154</v>
      </c>
      <c r="C415" s="178">
        <f>E139</f>
        <v>61154</v>
      </c>
      <c r="D415" s="193">
        <f>SUM(C59:H59)+N59</f>
        <v>50729</v>
      </c>
    </row>
    <row r="416" spans="1:5" ht="12.6" customHeight="1" x14ac:dyDescent="0.25">
      <c r="A416" s="178"/>
      <c r="B416" s="178"/>
      <c r="C416" s="193"/>
      <c r="D416" s="178"/>
    </row>
    <row r="417" spans="1:7" ht="12.6" customHeight="1" x14ac:dyDescent="0.25">
      <c r="A417" s="178" t="s">
        <v>465</v>
      </c>
      <c r="B417" s="178">
        <f>C112</f>
        <v>0</v>
      </c>
      <c r="C417" s="193">
        <f>E144</f>
        <v>0</v>
      </c>
      <c r="D417" s="178"/>
    </row>
    <row r="418" spans="1:7" ht="12.6" customHeight="1" x14ac:dyDescent="0.25">
      <c r="A418" s="178" t="s">
        <v>466</v>
      </c>
      <c r="B418" s="178">
        <f>D112</f>
        <v>0</v>
      </c>
      <c r="C418" s="178">
        <f>E145</f>
        <v>0</v>
      </c>
      <c r="D418" s="178">
        <f>K59+L59</f>
        <v>0</v>
      </c>
    </row>
    <row r="419" spans="1:7" ht="12.6" customHeight="1" x14ac:dyDescent="0.25">
      <c r="A419" s="178"/>
      <c r="B419" s="178"/>
      <c r="C419" s="193"/>
      <c r="D419" s="178"/>
    </row>
    <row r="420" spans="1:7" ht="12.6" customHeight="1" x14ac:dyDescent="0.25">
      <c r="A420" s="178" t="s">
        <v>467</v>
      </c>
      <c r="B420" s="178">
        <f>C113</f>
        <v>0</v>
      </c>
      <c r="C420" s="178">
        <f>E150</f>
        <v>0</v>
      </c>
      <c r="D420" s="178"/>
    </row>
    <row r="421" spans="1:7" ht="12.6" customHeight="1" x14ac:dyDescent="0.25">
      <c r="A421" s="178" t="s">
        <v>468</v>
      </c>
      <c r="B421" s="178">
        <f>D113</f>
        <v>0</v>
      </c>
      <c r="C421" s="178">
        <f>E151</f>
        <v>0</v>
      </c>
      <c r="D421" s="178">
        <f>I59</f>
        <v>0</v>
      </c>
    </row>
    <row r="422" spans="1:7" ht="12.6" customHeight="1" x14ac:dyDescent="0.25">
      <c r="A422" s="205"/>
      <c r="B422" s="205"/>
      <c r="C422" s="180"/>
      <c r="D422" s="178"/>
    </row>
    <row r="423" spans="1:7" ht="12.6" customHeight="1" x14ac:dyDescent="0.25">
      <c r="A423" s="179" t="s">
        <v>469</v>
      </c>
      <c r="B423" s="179">
        <f>C114</f>
        <v>4635</v>
      </c>
    </row>
    <row r="424" spans="1:7" ht="12.6" customHeight="1" x14ac:dyDescent="0.25">
      <c r="A424" s="178" t="s">
        <v>1244</v>
      </c>
      <c r="B424" s="178">
        <f>D114</f>
        <v>0</v>
      </c>
      <c r="D424" s="178">
        <f>J59</f>
        <v>0</v>
      </c>
    </row>
    <row r="425" spans="1:7" ht="12.6" customHeight="1" x14ac:dyDescent="0.25">
      <c r="A425" s="205"/>
      <c r="B425" s="205"/>
      <c r="C425" s="205"/>
      <c r="D425" s="205"/>
      <c r="F425" s="205"/>
      <c r="G425" s="205"/>
    </row>
    <row r="426" spans="1:7" ht="12.6" customHeight="1" x14ac:dyDescent="0.25">
      <c r="A426" s="178" t="s">
        <v>470</v>
      </c>
      <c r="B426" s="180" t="s">
        <v>471</v>
      </c>
      <c r="C426" s="180" t="s">
        <v>462</v>
      </c>
      <c r="D426" s="180" t="s">
        <v>472</v>
      </c>
    </row>
    <row r="427" spans="1:7" ht="12.6" customHeight="1" x14ac:dyDescent="0.25">
      <c r="A427" s="178" t="s">
        <v>473</v>
      </c>
      <c r="B427" s="178">
        <f t="shared" ref="B427:B437" si="13">C378</f>
        <v>360208990</v>
      </c>
      <c r="C427" s="178">
        <f t="shared" ref="C427:C434" si="14">CE61</f>
        <v>360208989.06000006</v>
      </c>
      <c r="D427" s="178"/>
    </row>
    <row r="428" spans="1:7" ht="12.6" customHeight="1" x14ac:dyDescent="0.25">
      <c r="A428" s="178" t="s">
        <v>3</v>
      </c>
      <c r="B428" s="178">
        <f t="shared" si="13"/>
        <v>83289969</v>
      </c>
      <c r="C428" s="178">
        <f t="shared" si="14"/>
        <v>83289967</v>
      </c>
      <c r="D428" s="178">
        <f>D173</f>
        <v>82911017</v>
      </c>
    </row>
    <row r="429" spans="1:7" ht="12.6" customHeight="1" x14ac:dyDescent="0.25">
      <c r="A429" s="178" t="s">
        <v>236</v>
      </c>
      <c r="B429" s="178">
        <f t="shared" si="13"/>
        <v>10786946</v>
      </c>
      <c r="C429" s="178">
        <f t="shared" si="14"/>
        <v>10786945.721000001</v>
      </c>
      <c r="D429" s="178"/>
    </row>
    <row r="430" spans="1:7" ht="12.6" customHeight="1" x14ac:dyDescent="0.25">
      <c r="A430" s="178" t="s">
        <v>237</v>
      </c>
      <c r="B430" s="178">
        <f t="shared" si="13"/>
        <v>94837385</v>
      </c>
      <c r="C430" s="178">
        <f t="shared" si="14"/>
        <v>94837385.455999985</v>
      </c>
      <c r="D430" s="178"/>
    </row>
    <row r="431" spans="1:7" ht="12.6" customHeight="1" x14ac:dyDescent="0.25">
      <c r="A431" s="178" t="s">
        <v>444</v>
      </c>
      <c r="B431" s="178">
        <f t="shared" si="13"/>
        <v>6368638</v>
      </c>
      <c r="C431" s="178">
        <f t="shared" si="14"/>
        <v>6368638.7399999984</v>
      </c>
      <c r="D431" s="178"/>
    </row>
    <row r="432" spans="1:7" ht="12.6" customHeight="1" x14ac:dyDescent="0.25">
      <c r="A432" s="178" t="s">
        <v>445</v>
      </c>
      <c r="B432" s="178">
        <f t="shared" si="13"/>
        <v>50914307</v>
      </c>
      <c r="C432" s="178">
        <f t="shared" si="14"/>
        <v>50914305.731000021</v>
      </c>
      <c r="D432" s="178"/>
    </row>
    <row r="433" spans="1:7" ht="12.6" customHeight="1" x14ac:dyDescent="0.25">
      <c r="A433" s="178" t="s">
        <v>6</v>
      </c>
      <c r="B433" s="178">
        <f t="shared" si="13"/>
        <v>34228703</v>
      </c>
      <c r="C433" s="178">
        <f t="shared" si="14"/>
        <v>34228703</v>
      </c>
      <c r="D433" s="178">
        <f>C217</f>
        <v>34370383</v>
      </c>
    </row>
    <row r="434" spans="1:7" ht="12.6" customHeight="1" x14ac:dyDescent="0.25">
      <c r="A434" s="178" t="s">
        <v>474</v>
      </c>
      <c r="B434" s="178">
        <f t="shared" si="13"/>
        <v>14965975</v>
      </c>
      <c r="C434" s="178">
        <f t="shared" si="14"/>
        <v>14965964.380000001</v>
      </c>
      <c r="D434" s="178">
        <f>D177</f>
        <v>14965965</v>
      </c>
    </row>
    <row r="435" spans="1:7" ht="12.6" customHeight="1" x14ac:dyDescent="0.25">
      <c r="A435" s="178" t="s">
        <v>447</v>
      </c>
      <c r="B435" s="178">
        <f t="shared" si="13"/>
        <v>3334181</v>
      </c>
      <c r="C435" s="178"/>
      <c r="D435" s="178">
        <f>D181</f>
        <v>3334181</v>
      </c>
    </row>
    <row r="436" spans="1:7" ht="12.6" customHeight="1" x14ac:dyDescent="0.25">
      <c r="A436" s="178" t="s">
        <v>475</v>
      </c>
      <c r="B436" s="178">
        <f t="shared" si="13"/>
        <v>6337241</v>
      </c>
      <c r="C436" s="178"/>
      <c r="D436" s="178">
        <f>D186</f>
        <v>6337241</v>
      </c>
    </row>
    <row r="437" spans="1:7" ht="12.6" customHeight="1" x14ac:dyDescent="0.25">
      <c r="A437" s="193" t="s">
        <v>449</v>
      </c>
      <c r="B437" s="193">
        <f t="shared" si="13"/>
        <v>8489759</v>
      </c>
      <c r="C437" s="193"/>
      <c r="D437" s="193">
        <f>D190</f>
        <v>8489759</v>
      </c>
    </row>
    <row r="438" spans="1:7" ht="12.6" customHeight="1" x14ac:dyDescent="0.25">
      <c r="A438" s="193" t="s">
        <v>476</v>
      </c>
      <c r="B438" s="193">
        <f>C386+C387+C388</f>
        <v>18161181</v>
      </c>
      <c r="C438" s="193">
        <f>CD69</f>
        <v>9127939.120000001</v>
      </c>
      <c r="D438" s="193">
        <f>D181+D186+D190</f>
        <v>18161181</v>
      </c>
    </row>
    <row r="439" spans="1:7" ht="12.6" customHeight="1" x14ac:dyDescent="0.25">
      <c r="A439" s="178" t="s">
        <v>451</v>
      </c>
      <c r="B439" s="193">
        <f>C389</f>
        <v>8343917</v>
      </c>
      <c r="C439" s="193">
        <f>SUM(C69:CC69)</f>
        <v>8887399.7799999993</v>
      </c>
      <c r="D439" s="178"/>
    </row>
    <row r="440" spans="1:7" ht="12.6" customHeight="1" x14ac:dyDescent="0.25">
      <c r="A440" s="178" t="s">
        <v>477</v>
      </c>
      <c r="B440" s="193">
        <f>B438+B439</f>
        <v>26505098</v>
      </c>
      <c r="C440" s="193">
        <f>CE69</f>
        <v>18015338.899999999</v>
      </c>
      <c r="D440" s="178"/>
    </row>
    <row r="441" spans="1:7" ht="12.6" customHeight="1" x14ac:dyDescent="0.25">
      <c r="A441" s="178" t="s">
        <v>478</v>
      </c>
      <c r="B441" s="178">
        <f>D390</f>
        <v>682106011</v>
      </c>
      <c r="C441" s="178">
        <f>SUM(C427:C437)+C440</f>
        <v>673616237.98800015</v>
      </c>
      <c r="D441" s="178"/>
    </row>
    <row r="442" spans="1:7" ht="12.6" customHeight="1" x14ac:dyDescent="0.25">
      <c r="A442" s="205"/>
      <c r="B442" s="205"/>
      <c r="C442" s="205"/>
      <c r="D442" s="205"/>
      <c r="F442" s="205"/>
      <c r="G442" s="205"/>
    </row>
    <row r="443" spans="1:7" ht="12.6" customHeight="1" x14ac:dyDescent="0.25">
      <c r="A443" s="178" t="s">
        <v>479</v>
      </c>
      <c r="B443" s="180" t="s">
        <v>480</v>
      </c>
      <c r="C443" s="180" t="s">
        <v>471</v>
      </c>
      <c r="D443" s="178"/>
    </row>
    <row r="444" spans="1:7" ht="12.6" customHeight="1" x14ac:dyDescent="0.25">
      <c r="A444" s="178" t="s">
        <v>1257</v>
      </c>
      <c r="B444" s="178">
        <f>D221</f>
        <v>23448945</v>
      </c>
      <c r="C444" s="178">
        <f>C363</f>
        <v>23448945</v>
      </c>
      <c r="D444" s="178"/>
    </row>
    <row r="445" spans="1:7" ht="12.6" customHeight="1" x14ac:dyDescent="0.25">
      <c r="A445" s="178" t="s">
        <v>343</v>
      </c>
      <c r="B445" s="178">
        <f>D229</f>
        <v>1128528638</v>
      </c>
      <c r="C445" s="178">
        <f>C364</f>
        <v>1128528637</v>
      </c>
      <c r="D445" s="178"/>
    </row>
    <row r="446" spans="1:7" ht="12.6" customHeight="1" x14ac:dyDescent="0.25">
      <c r="A446" s="178" t="s">
        <v>351</v>
      </c>
      <c r="B446" s="178">
        <f>D236</f>
        <v>8634623</v>
      </c>
      <c r="C446" s="178">
        <f>C365</f>
        <v>8634623</v>
      </c>
      <c r="D446" s="178"/>
    </row>
    <row r="447" spans="1:7" ht="12.6" customHeight="1" x14ac:dyDescent="0.25">
      <c r="A447" s="178" t="s">
        <v>356</v>
      </c>
      <c r="B447" s="178">
        <f>D240</f>
        <v>16139573</v>
      </c>
      <c r="C447" s="178">
        <f>C366</f>
        <v>16139573</v>
      </c>
      <c r="D447" s="178"/>
    </row>
    <row r="448" spans="1:7" ht="12.6" customHeight="1" x14ac:dyDescent="0.25">
      <c r="A448" s="178" t="s">
        <v>358</v>
      </c>
      <c r="B448" s="178">
        <f>D242</f>
        <v>1176751779</v>
      </c>
      <c r="C448" s="178">
        <f>D367</f>
        <v>1176751778</v>
      </c>
      <c r="D448" s="178"/>
    </row>
    <row r="449" spans="1:7" ht="12.6" customHeight="1" x14ac:dyDescent="0.25">
      <c r="A449" s="205"/>
      <c r="B449" s="205"/>
      <c r="C449" s="205"/>
      <c r="D449" s="205"/>
      <c r="F449" s="205"/>
      <c r="G449" s="205"/>
    </row>
    <row r="450" spans="1:7" ht="12.6" customHeight="1" x14ac:dyDescent="0.25">
      <c r="A450" s="179" t="s">
        <v>481</v>
      </c>
      <c r="B450" s="180" t="s">
        <v>482</v>
      </c>
      <c r="C450" s="205"/>
      <c r="D450" s="205"/>
      <c r="F450" s="205"/>
      <c r="G450" s="205"/>
    </row>
    <row r="451" spans="1:7" ht="12.6" customHeight="1" x14ac:dyDescent="0.25">
      <c r="B451" s="180" t="s">
        <v>483</v>
      </c>
    </row>
    <row r="452" spans="1:7" ht="12.6" customHeight="1" x14ac:dyDescent="0.25">
      <c r="B452" s="180" t="s">
        <v>472</v>
      </c>
    </row>
    <row r="453" spans="1:7" ht="12.6" customHeight="1" x14ac:dyDescent="0.25">
      <c r="A453" s="198" t="s">
        <v>484</v>
      </c>
      <c r="B453" s="179">
        <f>C231</f>
        <v>4660</v>
      </c>
    </row>
    <row r="454" spans="1:7" ht="12.6" customHeight="1" x14ac:dyDescent="0.25">
      <c r="A454" s="178" t="s">
        <v>168</v>
      </c>
      <c r="B454" s="178">
        <f>C233</f>
        <v>3823834</v>
      </c>
      <c r="C454" s="178"/>
      <c r="D454" s="178"/>
    </row>
    <row r="455" spans="1:7" ht="12.6" customHeight="1" x14ac:dyDescent="0.25">
      <c r="A455" s="178" t="s">
        <v>131</v>
      </c>
      <c r="B455" s="178">
        <f>C234</f>
        <v>4810789</v>
      </c>
      <c r="C455" s="178"/>
      <c r="D455" s="178"/>
    </row>
    <row r="456" spans="1:7" ht="12.6" customHeight="1" x14ac:dyDescent="0.25">
      <c r="A456" s="205"/>
      <c r="B456" s="205"/>
      <c r="C456" s="205"/>
      <c r="D456" s="205"/>
      <c r="F456" s="205"/>
      <c r="G456" s="205"/>
    </row>
    <row r="457" spans="1:7" ht="12.6" customHeight="1" x14ac:dyDescent="0.25">
      <c r="A457" s="178" t="s">
        <v>485</v>
      </c>
      <c r="B457" s="180" t="s">
        <v>471</v>
      </c>
      <c r="C457" s="180" t="s">
        <v>486</v>
      </c>
      <c r="D457" s="178"/>
    </row>
    <row r="458" spans="1:7" ht="12.6" customHeight="1" x14ac:dyDescent="0.25">
      <c r="A458" s="178" t="s">
        <v>487</v>
      </c>
      <c r="B458" s="193">
        <f>C370</f>
        <v>41905699</v>
      </c>
      <c r="C458" s="193">
        <f>CE70</f>
        <v>41905699.004000001</v>
      </c>
      <c r="D458" s="193"/>
    </row>
    <row r="459" spans="1:7" ht="12.6" customHeight="1" x14ac:dyDescent="0.25">
      <c r="A459" s="178" t="s">
        <v>244</v>
      </c>
      <c r="B459" s="193">
        <f>C371</f>
        <v>25730761</v>
      </c>
      <c r="C459" s="193">
        <f>CE72</f>
        <v>25730761</v>
      </c>
      <c r="D459" s="193"/>
    </row>
    <row r="460" spans="1:7" ht="12.6" customHeight="1" x14ac:dyDescent="0.25">
      <c r="A460" s="205"/>
      <c r="B460" s="205"/>
      <c r="C460" s="205"/>
      <c r="D460" s="205"/>
      <c r="F460" s="205"/>
      <c r="G460" s="205"/>
    </row>
    <row r="461" spans="1:7" ht="12.6" customHeight="1" x14ac:dyDescent="0.25">
      <c r="A461" s="178" t="s">
        <v>488</v>
      </c>
      <c r="B461" s="180"/>
      <c r="C461" s="180"/>
      <c r="D461" s="180" t="s">
        <v>1245</v>
      </c>
    </row>
    <row r="462" spans="1:7" ht="12.6" customHeight="1" x14ac:dyDescent="0.25">
      <c r="B462" s="180" t="s">
        <v>471</v>
      </c>
      <c r="C462" s="180" t="s">
        <v>486</v>
      </c>
      <c r="D462" s="180" t="s">
        <v>490</v>
      </c>
    </row>
    <row r="463" spans="1:7" ht="12.6" customHeight="1" x14ac:dyDescent="0.25">
      <c r="A463" s="178" t="s">
        <v>245</v>
      </c>
      <c r="B463" s="193">
        <f>C359</f>
        <v>798948786</v>
      </c>
      <c r="C463" s="193">
        <f>CE73</f>
        <v>798948785.33999991</v>
      </c>
      <c r="D463" s="193">
        <f>E141+E147+E153</f>
        <v>798948786</v>
      </c>
    </row>
    <row r="464" spans="1:7" ht="12.6" customHeight="1" x14ac:dyDescent="0.25">
      <c r="A464" s="178" t="s">
        <v>246</v>
      </c>
      <c r="B464" s="193">
        <f>C360</f>
        <v>1005162536</v>
      </c>
      <c r="C464" s="193">
        <f>CE74</f>
        <v>1005162536.2699999</v>
      </c>
      <c r="D464" s="193">
        <f>E142+E148+E154</f>
        <v>1005162537</v>
      </c>
    </row>
    <row r="465" spans="1:7" ht="12.6" customHeight="1" x14ac:dyDescent="0.25">
      <c r="A465" s="178" t="s">
        <v>247</v>
      </c>
      <c r="B465" s="193">
        <f>D361</f>
        <v>1804111322</v>
      </c>
      <c r="C465" s="193">
        <f>CE75</f>
        <v>1804111321.6100004</v>
      </c>
      <c r="D465" s="193">
        <f>D463+D464</f>
        <v>1804111323</v>
      </c>
    </row>
    <row r="466" spans="1:7" ht="12.6" customHeight="1" x14ac:dyDescent="0.25">
      <c r="A466" s="205"/>
      <c r="B466" s="205"/>
      <c r="C466" s="205"/>
      <c r="D466" s="205"/>
      <c r="F466" s="205"/>
      <c r="G466" s="205"/>
    </row>
    <row r="467" spans="1:7" ht="12.6" customHeight="1" x14ac:dyDescent="0.25">
      <c r="A467" s="178" t="s">
        <v>491</v>
      </c>
      <c r="B467" s="180" t="s">
        <v>492</v>
      </c>
      <c r="C467" s="180" t="s">
        <v>493</v>
      </c>
      <c r="D467" s="178"/>
    </row>
    <row r="468" spans="1:7" ht="12.6" customHeight="1" x14ac:dyDescent="0.25">
      <c r="A468" s="178" t="s">
        <v>332</v>
      </c>
      <c r="B468" s="178">
        <f t="shared" ref="B468:B475" si="15">C267</f>
        <v>4913660</v>
      </c>
      <c r="C468" s="178">
        <f>E195</f>
        <v>4913660</v>
      </c>
      <c r="D468" s="178"/>
    </row>
    <row r="469" spans="1:7" ht="12.6" customHeight="1" x14ac:dyDescent="0.25">
      <c r="A469" s="178" t="s">
        <v>333</v>
      </c>
      <c r="B469" s="178">
        <f t="shared" si="15"/>
        <v>14664226</v>
      </c>
      <c r="C469" s="178">
        <f>E196</f>
        <v>14664226</v>
      </c>
      <c r="D469" s="178"/>
    </row>
    <row r="470" spans="1:7" ht="12.6" customHeight="1" x14ac:dyDescent="0.25">
      <c r="A470" s="178" t="s">
        <v>334</v>
      </c>
      <c r="B470" s="178">
        <f t="shared" si="15"/>
        <v>334117953</v>
      </c>
      <c r="C470" s="178">
        <f>E197</f>
        <v>334117953</v>
      </c>
      <c r="D470" s="178"/>
    </row>
    <row r="471" spans="1:7" ht="12.6" customHeight="1" x14ac:dyDescent="0.25">
      <c r="A471" s="178" t="s">
        <v>494</v>
      </c>
      <c r="B471" s="178">
        <f t="shared" si="15"/>
        <v>127768532</v>
      </c>
      <c r="C471" s="178">
        <f>E198</f>
        <v>127768533</v>
      </c>
      <c r="D471" s="178"/>
    </row>
    <row r="472" spans="1:7" ht="12.6" customHeight="1" x14ac:dyDescent="0.25">
      <c r="A472" s="178" t="s">
        <v>377</v>
      </c>
      <c r="B472" s="178">
        <f t="shared" si="15"/>
        <v>879852</v>
      </c>
      <c r="C472" s="178">
        <f>E199</f>
        <v>879852</v>
      </c>
      <c r="D472" s="178"/>
    </row>
    <row r="473" spans="1:7" ht="12.6" customHeight="1" x14ac:dyDescent="0.25">
      <c r="A473" s="178" t="s">
        <v>495</v>
      </c>
      <c r="B473" s="178">
        <f t="shared" si="15"/>
        <v>277835440</v>
      </c>
      <c r="C473" s="178">
        <f>SUM(E200:E201)</f>
        <v>278214735</v>
      </c>
      <c r="D473" s="178"/>
    </row>
    <row r="474" spans="1:7" ht="12.6" customHeight="1" x14ac:dyDescent="0.25">
      <c r="A474" s="178" t="s">
        <v>339</v>
      </c>
      <c r="B474" s="178">
        <f t="shared" si="15"/>
        <v>35931630</v>
      </c>
      <c r="C474" s="178">
        <f>E202</f>
        <v>35552335</v>
      </c>
      <c r="D474" s="178"/>
    </row>
    <row r="475" spans="1:7" ht="12.6" customHeight="1" x14ac:dyDescent="0.25">
      <c r="A475" s="178" t="s">
        <v>340</v>
      </c>
      <c r="B475" s="178">
        <f t="shared" si="15"/>
        <v>9698464</v>
      </c>
      <c r="C475" s="178">
        <f>E203</f>
        <v>9698463</v>
      </c>
      <c r="D475" s="178"/>
    </row>
    <row r="476" spans="1:7" ht="12.6" customHeight="1" x14ac:dyDescent="0.25">
      <c r="A476" s="178" t="s">
        <v>203</v>
      </c>
      <c r="B476" s="178">
        <f>D275</f>
        <v>805809757</v>
      </c>
      <c r="C476" s="178">
        <f>E204</f>
        <v>805809757</v>
      </c>
      <c r="D476" s="178"/>
    </row>
    <row r="477" spans="1:7" ht="12.6" customHeight="1" x14ac:dyDescent="0.25">
      <c r="A477" s="178"/>
      <c r="B477" s="178"/>
      <c r="C477" s="178"/>
      <c r="D477" s="178"/>
    </row>
    <row r="478" spans="1:7" ht="12.6" customHeight="1" x14ac:dyDescent="0.25">
      <c r="A478" s="178" t="s">
        <v>496</v>
      </c>
      <c r="B478" s="178">
        <f>C276</f>
        <v>478713790</v>
      </c>
      <c r="C478" s="178">
        <f>E217</f>
        <v>478713789</v>
      </c>
      <c r="D478" s="178"/>
    </row>
    <row r="480" spans="1:7" ht="12.6" customHeight="1" x14ac:dyDescent="0.25">
      <c r="A480" s="179" t="s">
        <v>497</v>
      </c>
    </row>
    <row r="481" spans="1:12" ht="12.6" customHeight="1" x14ac:dyDescent="0.25">
      <c r="A481" s="179" t="s">
        <v>498</v>
      </c>
      <c r="C481" s="179">
        <f>D341</f>
        <v>661323779</v>
      </c>
    </row>
    <row r="482" spans="1:12" ht="12.6" customHeight="1" x14ac:dyDescent="0.25">
      <c r="A482" s="179" t="s">
        <v>499</v>
      </c>
      <c r="C482" s="179">
        <f>D339</f>
        <v>661323779</v>
      </c>
    </row>
    <row r="485" spans="1:12" ht="12.6" customHeight="1" x14ac:dyDescent="0.25">
      <c r="A485" s="198" t="s">
        <v>500</v>
      </c>
    </row>
    <row r="486" spans="1:12" ht="12.6" customHeight="1" x14ac:dyDescent="0.25">
      <c r="A486" s="198" t="s">
        <v>501</v>
      </c>
    </row>
    <row r="487" spans="1:12" ht="12.6" customHeight="1" x14ac:dyDescent="0.25">
      <c r="A487" s="198" t="s">
        <v>502</v>
      </c>
    </row>
    <row r="488" spans="1:12" ht="12.6" customHeight="1" x14ac:dyDescent="0.25">
      <c r="A488" s="198"/>
    </row>
    <row r="489" spans="1:12" ht="12.6" customHeight="1" x14ac:dyDescent="0.25">
      <c r="A489" s="197" t="s">
        <v>503</v>
      </c>
    </row>
    <row r="490" spans="1:12" ht="12.6" customHeight="1" x14ac:dyDescent="0.25">
      <c r="A490" s="198" t="s">
        <v>504</v>
      </c>
    </row>
    <row r="491" spans="1:12" ht="12.6" customHeight="1" x14ac:dyDescent="0.25">
      <c r="A491" s="198"/>
    </row>
    <row r="493" spans="1:12" ht="12.6" customHeight="1" x14ac:dyDescent="0.25">
      <c r="A493" s="178" t="str">
        <f>C84&amp;"   "&amp;"H-"&amp;FIXED(C82,0,TRUE)&amp;"     FYE "&amp;C82</f>
        <v>EvergreenHealth   H-0     FYE 12/31/2017</v>
      </c>
      <c r="B493" s="260" t="s">
        <v>1266</v>
      </c>
      <c r="C493" s="260" t="str">
        <f>RIGHT(C82,4)</f>
        <v>2017</v>
      </c>
      <c r="D493" s="260" t="s">
        <v>1266</v>
      </c>
      <c r="E493" s="260" t="str">
        <f>RIGHT(C82,4)</f>
        <v>2017</v>
      </c>
      <c r="F493" s="260" t="s">
        <v>1266</v>
      </c>
      <c r="G493" s="260" t="str">
        <f>RIGHT(C82,4)</f>
        <v>2017</v>
      </c>
      <c r="H493" s="260"/>
      <c r="K493" s="260"/>
      <c r="L493" s="260"/>
    </row>
    <row r="494" spans="1:12" ht="12.6" customHeight="1" x14ac:dyDescent="0.25">
      <c r="A494" s="197"/>
      <c r="B494" s="180" t="s">
        <v>505</v>
      </c>
      <c r="C494" s="180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0" t="s">
        <v>303</v>
      </c>
      <c r="C495" s="180" t="s">
        <v>303</v>
      </c>
      <c r="D495" s="180" t="s">
        <v>509</v>
      </c>
      <c r="E495" s="180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79" t="s">
        <v>512</v>
      </c>
      <c r="B496" s="239">
        <v>20444992.41</v>
      </c>
      <c r="C496" s="239">
        <f>C71</f>
        <v>20158120.219000004</v>
      </c>
      <c r="D496" s="239">
        <v>5971</v>
      </c>
      <c r="E496" s="179">
        <f>C59</f>
        <v>4893</v>
      </c>
      <c r="F496" s="262">
        <f t="shared" ref="F496:G511" si="16">IF(B496=0,"",IF(D496=0,"",B496/D496))</f>
        <v>3424.0483017919946</v>
      </c>
      <c r="G496" s="263">
        <f t="shared" si="16"/>
        <v>4119.787496219089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79" t="s">
        <v>513</v>
      </c>
      <c r="B497" s="239">
        <v>12798108.919999998</v>
      </c>
      <c r="C497" s="239">
        <f>D71</f>
        <v>11662919.589000002</v>
      </c>
      <c r="D497" s="239">
        <v>12302</v>
      </c>
      <c r="E497" s="179">
        <f>D59</f>
        <v>10042</v>
      </c>
      <c r="F497" s="262">
        <f t="shared" si="16"/>
        <v>1040.3275012193137</v>
      </c>
      <c r="G497" s="262">
        <f t="shared" si="16"/>
        <v>1161.4140200159331</v>
      </c>
      <c r="H497" s="264" t="str">
        <f t="shared" ref="H497:H550" si="17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79" t="s">
        <v>514</v>
      </c>
      <c r="B498" s="239">
        <v>25527890.730000004</v>
      </c>
      <c r="C498" s="239">
        <f>E71</f>
        <v>27575751.002</v>
      </c>
      <c r="D498" s="239">
        <v>30753</v>
      </c>
      <c r="E498" s="179">
        <f>E59</f>
        <v>32619</v>
      </c>
      <c r="F498" s="262">
        <f t="shared" si="16"/>
        <v>830.09432348063615</v>
      </c>
      <c r="G498" s="262">
        <f t="shared" si="16"/>
        <v>845.389221067476</v>
      </c>
      <c r="H498" s="264" t="str">
        <f t="shared" si="17"/>
        <v/>
      </c>
      <c r="I498" s="266"/>
      <c r="K498" s="260"/>
      <c r="L498" s="260"/>
    </row>
    <row r="499" spans="1:12" ht="12.6" customHeight="1" x14ac:dyDescent="0.25">
      <c r="A499" s="179" t="s">
        <v>515</v>
      </c>
      <c r="B499" s="239">
        <v>25639771.600000001</v>
      </c>
      <c r="C499" s="239">
        <f>F71</f>
        <v>1650496.7399999995</v>
      </c>
      <c r="D499" s="239">
        <v>9909</v>
      </c>
      <c r="E499" s="179">
        <f>F59</f>
        <v>0</v>
      </c>
      <c r="F499" s="262">
        <f t="shared" si="16"/>
        <v>2587.5236249873856</v>
      </c>
      <c r="G499" s="262" t="str">
        <f t="shared" si="16"/>
        <v/>
      </c>
      <c r="H499" s="264" t="str">
        <f t="shared" si="17"/>
        <v/>
      </c>
      <c r="I499" s="266"/>
      <c r="K499" s="260"/>
      <c r="L499" s="260"/>
    </row>
    <row r="500" spans="1:12" ht="12.6" customHeight="1" x14ac:dyDescent="0.25">
      <c r="A500" s="179" t="s">
        <v>516</v>
      </c>
      <c r="B500" s="239">
        <v>2192856.62</v>
      </c>
      <c r="C500" s="239">
        <f>G71</f>
        <v>2220227.642</v>
      </c>
      <c r="D500" s="239">
        <v>3198</v>
      </c>
      <c r="E500" s="179">
        <f>G59</f>
        <v>3175</v>
      </c>
      <c r="F500" s="262">
        <f t="shared" si="16"/>
        <v>685.69625390869294</v>
      </c>
      <c r="G500" s="262">
        <f t="shared" si="16"/>
        <v>699.28429669291336</v>
      </c>
      <c r="H500" s="264" t="str">
        <f t="shared" si="17"/>
        <v/>
      </c>
      <c r="I500" s="266"/>
      <c r="K500" s="260"/>
      <c r="L500" s="260"/>
    </row>
    <row r="501" spans="1:12" ht="12.6" customHeight="1" x14ac:dyDescent="0.25">
      <c r="A501" s="179" t="s">
        <v>517</v>
      </c>
      <c r="B501" s="239">
        <v>0</v>
      </c>
      <c r="C501" s="239">
        <f>H71</f>
        <v>0</v>
      </c>
      <c r="D501" s="239">
        <v>0</v>
      </c>
      <c r="E501" s="179">
        <f>H59</f>
        <v>0</v>
      </c>
      <c r="F501" s="262" t="str">
        <f t="shared" si="16"/>
        <v/>
      </c>
      <c r="G501" s="262" t="str">
        <f t="shared" si="16"/>
        <v/>
      </c>
      <c r="H501" s="264" t="str">
        <f t="shared" si="17"/>
        <v/>
      </c>
      <c r="I501" s="266"/>
      <c r="K501" s="260"/>
      <c r="L501" s="260"/>
    </row>
    <row r="502" spans="1:12" ht="12.6" customHeight="1" x14ac:dyDescent="0.25">
      <c r="A502" s="179" t="s">
        <v>518</v>
      </c>
      <c r="B502" s="239">
        <v>0</v>
      </c>
      <c r="C502" s="239">
        <f>I71</f>
        <v>0</v>
      </c>
      <c r="D502" s="239">
        <v>0</v>
      </c>
      <c r="E502" s="179">
        <f>I59</f>
        <v>0</v>
      </c>
      <c r="F502" s="262" t="str">
        <f t="shared" si="16"/>
        <v/>
      </c>
      <c r="G502" s="262" t="str">
        <f t="shared" si="16"/>
        <v/>
      </c>
      <c r="H502" s="264" t="str">
        <f t="shared" si="17"/>
        <v/>
      </c>
      <c r="I502" s="266"/>
      <c r="K502" s="260"/>
      <c r="L502" s="260"/>
    </row>
    <row r="503" spans="1:12" ht="12.6" customHeight="1" x14ac:dyDescent="0.25">
      <c r="A503" s="179" t="s">
        <v>519</v>
      </c>
      <c r="B503" s="239">
        <v>0</v>
      </c>
      <c r="C503" s="239">
        <f>J71</f>
        <v>0</v>
      </c>
      <c r="D503" s="239">
        <v>0</v>
      </c>
      <c r="E503" s="179">
        <f>J59</f>
        <v>0</v>
      </c>
      <c r="F503" s="262" t="str">
        <f t="shared" si="16"/>
        <v/>
      </c>
      <c r="G503" s="262" t="str">
        <f t="shared" si="16"/>
        <v/>
      </c>
      <c r="H503" s="264" t="str">
        <f t="shared" si="17"/>
        <v/>
      </c>
      <c r="I503" s="266"/>
      <c r="K503" s="260"/>
      <c r="L503" s="260"/>
    </row>
    <row r="504" spans="1:12" ht="12.6" customHeight="1" x14ac:dyDescent="0.25">
      <c r="A504" s="179" t="s">
        <v>520</v>
      </c>
      <c r="B504" s="239">
        <v>0</v>
      </c>
      <c r="C504" s="239">
        <f>K71</f>
        <v>0</v>
      </c>
      <c r="D504" s="239">
        <v>0</v>
      </c>
      <c r="E504" s="179">
        <f>K59</f>
        <v>0</v>
      </c>
      <c r="F504" s="262" t="str">
        <f t="shared" si="16"/>
        <v/>
      </c>
      <c r="G504" s="262" t="str">
        <f t="shared" si="16"/>
        <v/>
      </c>
      <c r="H504" s="264" t="str">
        <f t="shared" si="17"/>
        <v/>
      </c>
      <c r="I504" s="266"/>
      <c r="K504" s="260"/>
      <c r="L504" s="260"/>
    </row>
    <row r="505" spans="1:12" ht="12.6" customHeight="1" x14ac:dyDescent="0.25">
      <c r="A505" s="179" t="s">
        <v>521</v>
      </c>
      <c r="B505" s="239">
        <v>0</v>
      </c>
      <c r="C505" s="239">
        <f>L71</f>
        <v>0</v>
      </c>
      <c r="D505" s="239">
        <v>0</v>
      </c>
      <c r="E505" s="179">
        <f>L59</f>
        <v>0</v>
      </c>
      <c r="F505" s="262" t="str">
        <f t="shared" si="16"/>
        <v/>
      </c>
      <c r="G505" s="262" t="str">
        <f t="shared" si="16"/>
        <v/>
      </c>
      <c r="H505" s="264" t="str">
        <f t="shared" si="17"/>
        <v/>
      </c>
      <c r="I505" s="266"/>
      <c r="K505" s="260"/>
      <c r="L505" s="260"/>
    </row>
    <row r="506" spans="1:12" ht="12.6" customHeight="1" x14ac:dyDescent="0.25">
      <c r="A506" s="179" t="s">
        <v>522</v>
      </c>
      <c r="B506" s="239">
        <v>5060549.18</v>
      </c>
      <c r="C506" s="239">
        <f>M71</f>
        <v>5456566.5599999996</v>
      </c>
      <c r="D506" s="239">
        <v>4086</v>
      </c>
      <c r="E506" s="179">
        <f>M59</f>
        <v>4175</v>
      </c>
      <c r="F506" s="262">
        <f t="shared" si="16"/>
        <v>1238.5093441018109</v>
      </c>
      <c r="G506" s="262">
        <f t="shared" si="16"/>
        <v>1306.9620502994012</v>
      </c>
      <c r="H506" s="264" t="str">
        <f t="shared" si="17"/>
        <v/>
      </c>
      <c r="I506" s="266"/>
      <c r="K506" s="260"/>
      <c r="L506" s="260"/>
    </row>
    <row r="507" spans="1:12" ht="12.6" customHeight="1" x14ac:dyDescent="0.25">
      <c r="A507" s="179" t="s">
        <v>523</v>
      </c>
      <c r="B507" s="239">
        <v>14782052.690000001</v>
      </c>
      <c r="C507" s="239">
        <f>N71</f>
        <v>14971301.550000003</v>
      </c>
      <c r="D507" s="239">
        <v>0</v>
      </c>
      <c r="E507" s="179">
        <f>N59</f>
        <v>0</v>
      </c>
      <c r="F507" s="262" t="str">
        <f t="shared" si="16"/>
        <v/>
      </c>
      <c r="G507" s="262" t="str">
        <f t="shared" si="16"/>
        <v/>
      </c>
      <c r="H507" s="264" t="str">
        <f t="shared" si="17"/>
        <v/>
      </c>
      <c r="I507" s="266"/>
      <c r="K507" s="260"/>
      <c r="L507" s="260"/>
    </row>
    <row r="508" spans="1:12" ht="12.6" customHeight="1" x14ac:dyDescent="0.25">
      <c r="A508" s="179" t="s">
        <v>524</v>
      </c>
      <c r="B508" s="239">
        <v>0</v>
      </c>
      <c r="C508" s="239">
        <f>O71</f>
        <v>23824663.800000004</v>
      </c>
      <c r="D508" s="239">
        <v>0</v>
      </c>
      <c r="E508" s="179">
        <f>O59</f>
        <v>10090</v>
      </c>
      <c r="F508" s="262" t="str">
        <f t="shared" si="16"/>
        <v/>
      </c>
      <c r="G508" s="262">
        <f t="shared" si="16"/>
        <v>2361.2154410307239</v>
      </c>
      <c r="H508" s="264" t="str">
        <f t="shared" si="17"/>
        <v/>
      </c>
      <c r="I508" s="266"/>
      <c r="K508" s="260"/>
      <c r="L508" s="260"/>
    </row>
    <row r="509" spans="1:12" ht="12.6" customHeight="1" x14ac:dyDescent="0.25">
      <c r="A509" s="179" t="s">
        <v>525</v>
      </c>
      <c r="B509" s="239">
        <v>53746064.510000005</v>
      </c>
      <c r="C509" s="239">
        <f>P71</f>
        <v>56719518.371000029</v>
      </c>
      <c r="D509" s="239">
        <v>806160</v>
      </c>
      <c r="E509" s="179">
        <f>P59</f>
        <v>867898</v>
      </c>
      <c r="F509" s="262">
        <f t="shared" si="16"/>
        <v>66.669227585094774</v>
      </c>
      <c r="G509" s="262">
        <f t="shared" si="16"/>
        <v>65.352746948374147</v>
      </c>
      <c r="H509" s="264" t="str">
        <f t="shared" si="17"/>
        <v/>
      </c>
      <c r="I509" s="266"/>
      <c r="K509" s="260"/>
      <c r="L509" s="260"/>
    </row>
    <row r="510" spans="1:12" ht="12.6" customHeight="1" x14ac:dyDescent="0.25">
      <c r="A510" s="179" t="s">
        <v>526</v>
      </c>
      <c r="B510" s="239">
        <v>4361936.5399999991</v>
      </c>
      <c r="C510" s="239">
        <f>Q71</f>
        <v>4634506.1199999992</v>
      </c>
      <c r="D510" s="239">
        <v>1451409</v>
      </c>
      <c r="E510" s="179">
        <f>Q59</f>
        <v>1533724</v>
      </c>
      <c r="F510" s="262">
        <f t="shared" si="16"/>
        <v>3.0053117625700261</v>
      </c>
      <c r="G510" s="262">
        <f t="shared" si="16"/>
        <v>3.0217341060060345</v>
      </c>
      <c r="H510" s="264" t="str">
        <f t="shared" si="17"/>
        <v/>
      </c>
      <c r="I510" s="266"/>
      <c r="K510" s="260"/>
      <c r="L510" s="260"/>
    </row>
    <row r="511" spans="1:12" ht="12.6" customHeight="1" x14ac:dyDescent="0.25">
      <c r="A511" s="179" t="s">
        <v>527</v>
      </c>
      <c r="B511" s="239">
        <v>905221.49000000011</v>
      </c>
      <c r="C511" s="239">
        <f>R71</f>
        <v>974590.36999999988</v>
      </c>
      <c r="D511" s="239">
        <v>854495</v>
      </c>
      <c r="E511" s="179">
        <f>R59</f>
        <v>920106</v>
      </c>
      <c r="F511" s="262">
        <f t="shared" si="16"/>
        <v>1.0593642911895331</v>
      </c>
      <c r="G511" s="262">
        <f t="shared" si="16"/>
        <v>1.0592153186698052</v>
      </c>
      <c r="H511" s="264" t="str">
        <f t="shared" si="17"/>
        <v/>
      </c>
      <c r="I511" s="266"/>
      <c r="K511" s="260"/>
      <c r="L511" s="260"/>
    </row>
    <row r="512" spans="1:12" ht="12.6" customHeight="1" x14ac:dyDescent="0.25">
      <c r="A512" s="179" t="s">
        <v>528</v>
      </c>
      <c r="B512" s="239">
        <v>2793335.85</v>
      </c>
      <c r="C512" s="239">
        <f>S71</f>
        <v>2653519.0399999996</v>
      </c>
      <c r="D512" s="180" t="s">
        <v>529</v>
      </c>
      <c r="E512" s="180" t="s">
        <v>529</v>
      </c>
      <c r="F512" s="262" t="str">
        <f t="shared" ref="F512:G527" si="18">IF(B512=0,"",IF(D512=0,"",B512/D512))</f>
        <v/>
      </c>
      <c r="G512" s="262" t="str">
        <f t="shared" si="18"/>
        <v/>
      </c>
      <c r="H512" s="264" t="str">
        <f t="shared" si="17"/>
        <v/>
      </c>
      <c r="I512" s="266"/>
      <c r="K512" s="260"/>
      <c r="L512" s="260"/>
    </row>
    <row r="513" spans="1:12" ht="12.6" customHeight="1" x14ac:dyDescent="0.25">
      <c r="A513" s="179" t="s">
        <v>1246</v>
      </c>
      <c r="B513" s="239">
        <v>0</v>
      </c>
      <c r="C513" s="239">
        <f>T71</f>
        <v>0</v>
      </c>
      <c r="D513" s="180" t="s">
        <v>529</v>
      </c>
      <c r="E513" s="180" t="s">
        <v>529</v>
      </c>
      <c r="F513" s="262" t="str">
        <f t="shared" si="18"/>
        <v/>
      </c>
      <c r="G513" s="262" t="str">
        <f t="shared" si="18"/>
        <v/>
      </c>
      <c r="H513" s="264" t="str">
        <f t="shared" si="17"/>
        <v/>
      </c>
      <c r="I513" s="266"/>
      <c r="K513" s="260"/>
      <c r="L513" s="260"/>
    </row>
    <row r="514" spans="1:12" ht="12.6" customHeight="1" x14ac:dyDescent="0.25">
      <c r="A514" s="179" t="s">
        <v>530</v>
      </c>
      <c r="B514" s="239">
        <v>14413320.260000002</v>
      </c>
      <c r="C514" s="239">
        <f>U71</f>
        <v>14830735.217</v>
      </c>
      <c r="D514" s="239">
        <v>740020</v>
      </c>
      <c r="E514" s="179">
        <f>U59</f>
        <v>770803</v>
      </c>
      <c r="F514" s="262">
        <f t="shared" si="18"/>
        <v>19.476933407205212</v>
      </c>
      <c r="G514" s="262">
        <f t="shared" si="18"/>
        <v>19.24062985873174</v>
      </c>
      <c r="H514" s="264" t="str">
        <f t="shared" si="17"/>
        <v/>
      </c>
      <c r="I514" s="266"/>
      <c r="K514" s="260"/>
      <c r="L514" s="260"/>
    </row>
    <row r="515" spans="1:12" ht="12.6" customHeight="1" x14ac:dyDescent="0.25">
      <c r="A515" s="179" t="s">
        <v>531</v>
      </c>
      <c r="B515" s="239">
        <v>188339.50999999998</v>
      </c>
      <c r="C515" s="239">
        <f>V71</f>
        <v>205661.50999999998</v>
      </c>
      <c r="D515" s="239">
        <v>0</v>
      </c>
      <c r="E515" s="179">
        <f>V59</f>
        <v>0</v>
      </c>
      <c r="F515" s="262" t="str">
        <f t="shared" si="18"/>
        <v/>
      </c>
      <c r="G515" s="262" t="str">
        <f t="shared" si="18"/>
        <v/>
      </c>
      <c r="H515" s="264" t="str">
        <f t="shared" si="17"/>
        <v/>
      </c>
      <c r="I515" s="266"/>
      <c r="K515" s="260"/>
      <c r="L515" s="260"/>
    </row>
    <row r="516" spans="1:12" ht="12.6" customHeight="1" x14ac:dyDescent="0.25">
      <c r="A516" s="179" t="s">
        <v>532</v>
      </c>
      <c r="B516" s="239">
        <v>1183271.02</v>
      </c>
      <c r="C516" s="239">
        <f>W71</f>
        <v>1421067.7400000002</v>
      </c>
      <c r="D516" s="239">
        <v>42081.42</v>
      </c>
      <c r="E516" s="179">
        <f>W59</f>
        <v>38255.160000000003</v>
      </c>
      <c r="F516" s="262">
        <f t="shared" si="18"/>
        <v>28.118609590645946</v>
      </c>
      <c r="G516" s="262">
        <f t="shared" si="18"/>
        <v>37.147086562963011</v>
      </c>
      <c r="H516" s="264">
        <f t="shared" si="17"/>
        <v>0.32108546986336473</v>
      </c>
      <c r="I516" s="266"/>
      <c r="K516" s="260"/>
      <c r="L516" s="260"/>
    </row>
    <row r="517" spans="1:12" ht="12.6" customHeight="1" x14ac:dyDescent="0.25">
      <c r="A517" s="179" t="s">
        <v>533</v>
      </c>
      <c r="B517" s="239">
        <v>2282320.64</v>
      </c>
      <c r="C517" s="239">
        <f>X71</f>
        <v>2393829.3000000003</v>
      </c>
      <c r="D517" s="239">
        <v>117755.16</v>
      </c>
      <c r="E517" s="179">
        <f>X59</f>
        <v>122026.07999999999</v>
      </c>
      <c r="F517" s="262">
        <f t="shared" si="18"/>
        <v>19.381916172505733</v>
      </c>
      <c r="G517" s="262">
        <f t="shared" si="18"/>
        <v>19.617358027070939</v>
      </c>
      <c r="H517" s="264" t="str">
        <f t="shared" si="17"/>
        <v/>
      </c>
      <c r="I517" s="266"/>
      <c r="K517" s="260"/>
      <c r="L517" s="260"/>
    </row>
    <row r="518" spans="1:12" ht="12.6" customHeight="1" x14ac:dyDescent="0.25">
      <c r="A518" s="179" t="s">
        <v>534</v>
      </c>
      <c r="B518" s="239">
        <v>28330255.219999995</v>
      </c>
      <c r="C518" s="239">
        <f>Y71</f>
        <v>28261158.403999995</v>
      </c>
      <c r="D518" s="239">
        <v>370877.45</v>
      </c>
      <c r="E518" s="179">
        <f>Y59</f>
        <v>366204.54000000004</v>
      </c>
      <c r="F518" s="262">
        <f t="shared" si="18"/>
        <v>76.387106360874711</v>
      </c>
      <c r="G518" s="262">
        <f t="shared" si="18"/>
        <v>77.173151386927074</v>
      </c>
      <c r="H518" s="264" t="str">
        <f t="shared" si="17"/>
        <v/>
      </c>
      <c r="I518" s="266"/>
      <c r="K518" s="260"/>
      <c r="L518" s="260"/>
    </row>
    <row r="519" spans="1:12" ht="12.6" customHeight="1" x14ac:dyDescent="0.25">
      <c r="A519" s="179" t="s">
        <v>535</v>
      </c>
      <c r="B519" s="239">
        <v>7178374.0099999998</v>
      </c>
      <c r="C519" s="239">
        <f>Z71</f>
        <v>7949927.5199999986</v>
      </c>
      <c r="D519" s="239">
        <v>48169.93</v>
      </c>
      <c r="E519" s="179">
        <f>Z59</f>
        <v>50766.75</v>
      </c>
      <c r="F519" s="262">
        <f t="shared" si="18"/>
        <v>149.0218900048225</v>
      </c>
      <c r="G519" s="262">
        <f t="shared" si="18"/>
        <v>156.59713335992552</v>
      </c>
      <c r="H519" s="264" t="str">
        <f t="shared" si="17"/>
        <v/>
      </c>
      <c r="I519" s="266"/>
      <c r="K519" s="260"/>
      <c r="L519" s="260"/>
    </row>
    <row r="520" spans="1:12" ht="12.6" customHeight="1" x14ac:dyDescent="0.25">
      <c r="A520" s="179" t="s">
        <v>536</v>
      </c>
      <c r="B520" s="239">
        <v>1267953.2000000002</v>
      </c>
      <c r="C520" s="239">
        <f>AA71</f>
        <v>1105185.7000000002</v>
      </c>
      <c r="D520" s="239">
        <v>15683.64</v>
      </c>
      <c r="E520" s="179">
        <f>AA59</f>
        <v>15173.84</v>
      </c>
      <c r="F520" s="262">
        <f t="shared" si="18"/>
        <v>80.845594517599253</v>
      </c>
      <c r="G520" s="262">
        <f t="shared" si="18"/>
        <v>72.834938288528164</v>
      </c>
      <c r="H520" s="264" t="str">
        <f t="shared" si="17"/>
        <v/>
      </c>
      <c r="I520" s="266"/>
      <c r="K520" s="260"/>
      <c r="L520" s="260"/>
    </row>
    <row r="521" spans="1:12" ht="12.6" customHeight="1" x14ac:dyDescent="0.25">
      <c r="A521" s="179" t="s">
        <v>537</v>
      </c>
      <c r="B521" s="239">
        <v>21589615.489999995</v>
      </c>
      <c r="C521" s="239">
        <f>AB71</f>
        <v>20898757.799999997</v>
      </c>
      <c r="D521" s="180" t="s">
        <v>529</v>
      </c>
      <c r="E521" s="180" t="s">
        <v>529</v>
      </c>
      <c r="F521" s="262" t="str">
        <f t="shared" si="18"/>
        <v/>
      </c>
      <c r="G521" s="262" t="str">
        <f t="shared" si="18"/>
        <v/>
      </c>
      <c r="H521" s="264" t="str">
        <f t="shared" si="17"/>
        <v/>
      </c>
      <c r="I521" s="266"/>
      <c r="K521" s="260"/>
      <c r="L521" s="260"/>
    </row>
    <row r="522" spans="1:12" ht="12.6" customHeight="1" x14ac:dyDescent="0.25">
      <c r="A522" s="179" t="s">
        <v>538</v>
      </c>
      <c r="B522" s="239">
        <v>3133277.0399999996</v>
      </c>
      <c r="C522" s="239">
        <f>AC71</f>
        <v>3081223.32</v>
      </c>
      <c r="D522" s="239">
        <v>0</v>
      </c>
      <c r="E522" s="179">
        <f>AC59</f>
        <v>0</v>
      </c>
      <c r="F522" s="262" t="str">
        <f t="shared" si="18"/>
        <v/>
      </c>
      <c r="G522" s="262" t="str">
        <f t="shared" si="18"/>
        <v/>
      </c>
      <c r="H522" s="264" t="str">
        <f t="shared" si="17"/>
        <v/>
      </c>
      <c r="I522" s="266"/>
      <c r="K522" s="260"/>
      <c r="L522" s="260"/>
    </row>
    <row r="523" spans="1:12" ht="12.6" customHeight="1" x14ac:dyDescent="0.25">
      <c r="A523" s="179" t="s">
        <v>539</v>
      </c>
      <c r="B523" s="239">
        <v>0</v>
      </c>
      <c r="C523" s="239">
        <f>AD71</f>
        <v>0</v>
      </c>
      <c r="D523" s="239">
        <v>0</v>
      </c>
      <c r="E523" s="179">
        <f>AD59</f>
        <v>0</v>
      </c>
      <c r="F523" s="262" t="str">
        <f t="shared" si="18"/>
        <v/>
      </c>
      <c r="G523" s="262" t="str">
        <f t="shared" si="18"/>
        <v/>
      </c>
      <c r="H523" s="264" t="str">
        <f t="shared" si="17"/>
        <v/>
      </c>
      <c r="I523" s="266"/>
      <c r="K523" s="260"/>
      <c r="L523" s="260"/>
    </row>
    <row r="524" spans="1:12" ht="12.6" customHeight="1" x14ac:dyDescent="0.25">
      <c r="A524" s="179" t="s">
        <v>540</v>
      </c>
      <c r="B524" s="239">
        <v>6356609.9999999991</v>
      </c>
      <c r="C524" s="239">
        <f>AE71</f>
        <v>6170661.5799999991</v>
      </c>
      <c r="D524" s="239">
        <v>0</v>
      </c>
      <c r="E524" s="179">
        <f>AE59</f>
        <v>71743</v>
      </c>
      <c r="F524" s="262" t="str">
        <f t="shared" si="18"/>
        <v/>
      </c>
      <c r="G524" s="262">
        <f t="shared" si="18"/>
        <v>86.010643268332785</v>
      </c>
      <c r="H524" s="264" t="str">
        <f t="shared" si="17"/>
        <v/>
      </c>
      <c r="I524" s="266"/>
      <c r="K524" s="260"/>
      <c r="L524" s="260"/>
    </row>
    <row r="525" spans="1:12" ht="12.6" customHeight="1" x14ac:dyDescent="0.25">
      <c r="A525" s="179" t="s">
        <v>541</v>
      </c>
      <c r="B525" s="239">
        <v>0</v>
      </c>
      <c r="C525" s="239">
        <f>AF71</f>
        <v>0</v>
      </c>
      <c r="D525" s="239">
        <v>0</v>
      </c>
      <c r="E525" s="179">
        <f>AF59</f>
        <v>0</v>
      </c>
      <c r="F525" s="262" t="str">
        <f t="shared" si="18"/>
        <v/>
      </c>
      <c r="G525" s="262" t="str">
        <f t="shared" si="18"/>
        <v/>
      </c>
      <c r="H525" s="264" t="str">
        <f t="shared" si="17"/>
        <v/>
      </c>
      <c r="I525" s="266"/>
      <c r="K525" s="260"/>
      <c r="L525" s="260"/>
    </row>
    <row r="526" spans="1:12" ht="12.6" customHeight="1" x14ac:dyDescent="0.25">
      <c r="A526" s="179" t="s">
        <v>542</v>
      </c>
      <c r="B526" s="239">
        <v>16404993.110000001</v>
      </c>
      <c r="C526" s="239">
        <f>AG71</f>
        <v>15746664.174000001</v>
      </c>
      <c r="D526" s="239">
        <v>56660</v>
      </c>
      <c r="E526" s="179">
        <f>AG59</f>
        <v>57669</v>
      </c>
      <c r="F526" s="262">
        <f t="shared" si="18"/>
        <v>289.53394122837983</v>
      </c>
      <c r="G526" s="262">
        <f t="shared" si="18"/>
        <v>273.05249222285806</v>
      </c>
      <c r="H526" s="264" t="str">
        <f t="shared" si="17"/>
        <v/>
      </c>
      <c r="I526" s="266"/>
      <c r="K526" s="260"/>
      <c r="L526" s="260"/>
    </row>
    <row r="527" spans="1:12" ht="12.6" customHeight="1" x14ac:dyDescent="0.25">
      <c r="A527" s="179" t="s">
        <v>543</v>
      </c>
      <c r="B527" s="239">
        <v>0</v>
      </c>
      <c r="C527" s="239">
        <f>AH71</f>
        <v>0</v>
      </c>
      <c r="D527" s="239">
        <v>0</v>
      </c>
      <c r="E527" s="179">
        <f>AH59</f>
        <v>0</v>
      </c>
      <c r="F527" s="262" t="str">
        <f t="shared" si="18"/>
        <v/>
      </c>
      <c r="G527" s="262" t="str">
        <f t="shared" si="18"/>
        <v/>
      </c>
      <c r="H527" s="264" t="str">
        <f t="shared" si="17"/>
        <v/>
      </c>
      <c r="I527" s="266"/>
      <c r="K527" s="260"/>
      <c r="L527" s="260"/>
    </row>
    <row r="528" spans="1:12" ht="12.6" customHeight="1" x14ac:dyDescent="0.25">
      <c r="A528" s="179" t="s">
        <v>544</v>
      </c>
      <c r="B528" s="239">
        <v>0</v>
      </c>
      <c r="C528" s="239">
        <f>AI71</f>
        <v>0</v>
      </c>
      <c r="D528" s="239">
        <v>0</v>
      </c>
      <c r="E528" s="179">
        <f>AI59</f>
        <v>0</v>
      </c>
      <c r="F528" s="262" t="str">
        <f t="shared" ref="F528:G540" si="19">IF(B528=0,"",IF(D528=0,"",B528/D528))</f>
        <v/>
      </c>
      <c r="G528" s="262" t="str">
        <f t="shared" si="19"/>
        <v/>
      </c>
      <c r="H528" s="264" t="str">
        <f t="shared" si="17"/>
        <v/>
      </c>
      <c r="I528" s="266"/>
      <c r="K528" s="260"/>
      <c r="L528" s="260"/>
    </row>
    <row r="529" spans="1:12" ht="12.6" customHeight="1" x14ac:dyDescent="0.25">
      <c r="A529" s="179" t="s">
        <v>545</v>
      </c>
      <c r="B529" s="239">
        <v>53041669.249999985</v>
      </c>
      <c r="C529" s="239">
        <f>AJ71</f>
        <v>65975960.94000002</v>
      </c>
      <c r="D529" s="239">
        <v>59758</v>
      </c>
      <c r="E529" s="179">
        <f>AJ59</f>
        <v>193513</v>
      </c>
      <c r="F529" s="262">
        <f t="shared" si="19"/>
        <v>887.6078391177748</v>
      </c>
      <c r="G529" s="262">
        <f t="shared" si="19"/>
        <v>340.93813304532523</v>
      </c>
      <c r="H529" s="264">
        <f t="shared" si="17"/>
        <v>-0.61589102977707377</v>
      </c>
      <c r="I529" s="266" t="s">
        <v>1276</v>
      </c>
      <c r="K529" s="260"/>
      <c r="L529" s="260"/>
    </row>
    <row r="530" spans="1:12" ht="12.6" customHeight="1" x14ac:dyDescent="0.25">
      <c r="A530" s="179" t="s">
        <v>546</v>
      </c>
      <c r="B530" s="239">
        <v>0</v>
      </c>
      <c r="C530" s="239">
        <f>AK71</f>
        <v>0</v>
      </c>
      <c r="D530" s="239">
        <v>0</v>
      </c>
      <c r="E530" s="179">
        <f>AK59</f>
        <v>0</v>
      </c>
      <c r="F530" s="262" t="str">
        <f t="shared" si="19"/>
        <v/>
      </c>
      <c r="G530" s="262" t="str">
        <f t="shared" si="19"/>
        <v/>
      </c>
      <c r="H530" s="264" t="str">
        <f t="shared" si="17"/>
        <v/>
      </c>
      <c r="I530" s="266"/>
      <c r="K530" s="260"/>
      <c r="L530" s="260"/>
    </row>
    <row r="531" spans="1:12" ht="12.6" customHeight="1" x14ac:dyDescent="0.25">
      <c r="A531" s="179" t="s">
        <v>547</v>
      </c>
      <c r="B531" s="239">
        <v>0</v>
      </c>
      <c r="C531" s="239">
        <f>AL71</f>
        <v>0</v>
      </c>
      <c r="D531" s="239">
        <v>0</v>
      </c>
      <c r="E531" s="179">
        <f>AL59</f>
        <v>0</v>
      </c>
      <c r="F531" s="262" t="str">
        <f t="shared" si="19"/>
        <v/>
      </c>
      <c r="G531" s="262" t="str">
        <f t="shared" si="19"/>
        <v/>
      </c>
      <c r="H531" s="264" t="str">
        <f t="shared" si="17"/>
        <v/>
      </c>
      <c r="I531" s="266"/>
      <c r="K531" s="260"/>
      <c r="L531" s="260"/>
    </row>
    <row r="532" spans="1:12" ht="12.6" customHeight="1" x14ac:dyDescent="0.25">
      <c r="A532" s="179" t="s">
        <v>548</v>
      </c>
      <c r="B532" s="239">
        <v>0</v>
      </c>
      <c r="C532" s="239">
        <f>AM71</f>
        <v>0</v>
      </c>
      <c r="D532" s="239">
        <v>0</v>
      </c>
      <c r="E532" s="179">
        <f>AM59</f>
        <v>0</v>
      </c>
      <c r="F532" s="262" t="str">
        <f t="shared" si="19"/>
        <v/>
      </c>
      <c r="G532" s="262" t="str">
        <f t="shared" si="19"/>
        <v/>
      </c>
      <c r="H532" s="264" t="str">
        <f t="shared" si="17"/>
        <v/>
      </c>
      <c r="I532" s="266"/>
      <c r="K532" s="260"/>
      <c r="L532" s="260"/>
    </row>
    <row r="533" spans="1:12" ht="12.6" customHeight="1" x14ac:dyDescent="0.25">
      <c r="A533" s="179" t="s">
        <v>1247</v>
      </c>
      <c r="B533" s="239">
        <v>0</v>
      </c>
      <c r="C533" s="239">
        <f>AN71</f>
        <v>0</v>
      </c>
      <c r="D533" s="239">
        <v>0</v>
      </c>
      <c r="E533" s="179">
        <f>AN59</f>
        <v>0</v>
      </c>
      <c r="F533" s="262" t="str">
        <f t="shared" si="19"/>
        <v/>
      </c>
      <c r="G533" s="262" t="str">
        <f t="shared" si="19"/>
        <v/>
      </c>
      <c r="H533" s="264" t="str">
        <f t="shared" si="17"/>
        <v/>
      </c>
      <c r="I533" s="266"/>
      <c r="K533" s="260"/>
      <c r="L533" s="260"/>
    </row>
    <row r="534" spans="1:12" ht="12.6" customHeight="1" x14ac:dyDescent="0.25">
      <c r="A534" s="179" t="s">
        <v>549</v>
      </c>
      <c r="B534" s="239">
        <v>0</v>
      </c>
      <c r="C534" s="239">
        <f>AO71</f>
        <v>0</v>
      </c>
      <c r="D534" s="239">
        <v>0</v>
      </c>
      <c r="E534" s="179">
        <f>AO59</f>
        <v>0</v>
      </c>
      <c r="F534" s="262" t="str">
        <f t="shared" si="19"/>
        <v/>
      </c>
      <c r="G534" s="262" t="str">
        <f t="shared" si="19"/>
        <v/>
      </c>
      <c r="H534" s="264" t="str">
        <f t="shared" si="17"/>
        <v/>
      </c>
      <c r="I534" s="266"/>
      <c r="K534" s="260"/>
      <c r="L534" s="260"/>
    </row>
    <row r="535" spans="1:12" ht="12.6" customHeight="1" x14ac:dyDescent="0.25">
      <c r="A535" s="179" t="s">
        <v>550</v>
      </c>
      <c r="B535" s="239">
        <v>75707878.459999979</v>
      </c>
      <c r="C535" s="239">
        <f>AP71</f>
        <v>82822906.059999987</v>
      </c>
      <c r="D535" s="239">
        <v>483286</v>
      </c>
      <c r="E535" s="179">
        <f>AP59</f>
        <v>388380</v>
      </c>
      <c r="F535" s="262">
        <f t="shared" si="19"/>
        <v>156.65233104207442</v>
      </c>
      <c r="G535" s="262">
        <f t="shared" si="19"/>
        <v>213.25224280343988</v>
      </c>
      <c r="H535" s="264">
        <f t="shared" si="17"/>
        <v>0.36130909374188369</v>
      </c>
      <c r="I535" s="266" t="s">
        <v>1276</v>
      </c>
      <c r="K535" s="260"/>
      <c r="L535" s="260"/>
    </row>
    <row r="536" spans="1:12" ht="12.6" customHeight="1" x14ac:dyDescent="0.25">
      <c r="A536" s="179" t="s">
        <v>551</v>
      </c>
      <c r="B536" s="239">
        <v>0</v>
      </c>
      <c r="C536" s="239">
        <f>AQ71</f>
        <v>1821558.6800000002</v>
      </c>
      <c r="D536" s="239">
        <v>0</v>
      </c>
      <c r="E536" s="179">
        <f>AQ59</f>
        <v>0</v>
      </c>
      <c r="F536" s="262" t="str">
        <f t="shared" si="19"/>
        <v/>
      </c>
      <c r="G536" s="262" t="str">
        <f t="shared" si="19"/>
        <v/>
      </c>
      <c r="H536" s="264" t="str">
        <f t="shared" si="17"/>
        <v/>
      </c>
      <c r="I536" s="266"/>
      <c r="K536" s="260"/>
      <c r="L536" s="260"/>
    </row>
    <row r="537" spans="1:12" ht="12.6" customHeight="1" x14ac:dyDescent="0.25">
      <c r="A537" s="179" t="s">
        <v>552</v>
      </c>
      <c r="B537" s="239">
        <v>62076584.700000003</v>
      </c>
      <c r="C537" s="239">
        <f>AR71</f>
        <v>62415741.377999999</v>
      </c>
      <c r="D537" s="239">
        <v>0</v>
      </c>
      <c r="E537" s="179">
        <f>AR59</f>
        <v>0</v>
      </c>
      <c r="F537" s="262" t="str">
        <f t="shared" si="19"/>
        <v/>
      </c>
      <c r="G537" s="262" t="str">
        <f t="shared" si="19"/>
        <v/>
      </c>
      <c r="H537" s="264" t="str">
        <f t="shared" si="17"/>
        <v/>
      </c>
      <c r="I537" s="266"/>
      <c r="K537" s="260"/>
      <c r="L537" s="260"/>
    </row>
    <row r="538" spans="1:12" ht="12.6" customHeight="1" x14ac:dyDescent="0.25">
      <c r="A538" s="179" t="s">
        <v>553</v>
      </c>
      <c r="B538" s="239">
        <v>0</v>
      </c>
      <c r="C538" s="239">
        <f>AS71</f>
        <v>0</v>
      </c>
      <c r="D538" s="239">
        <v>0</v>
      </c>
      <c r="E538" s="179">
        <f>AS59</f>
        <v>0</v>
      </c>
      <c r="F538" s="262" t="str">
        <f t="shared" si="19"/>
        <v/>
      </c>
      <c r="G538" s="262" t="str">
        <f t="shared" si="19"/>
        <v/>
      </c>
      <c r="H538" s="264" t="str">
        <f t="shared" si="17"/>
        <v/>
      </c>
      <c r="I538" s="266"/>
      <c r="K538" s="260"/>
      <c r="L538" s="260"/>
    </row>
    <row r="539" spans="1:12" ht="12.6" customHeight="1" x14ac:dyDescent="0.25">
      <c r="A539" s="179" t="s">
        <v>554</v>
      </c>
      <c r="B539" s="239">
        <v>0</v>
      </c>
      <c r="C539" s="239">
        <f>AT71</f>
        <v>0</v>
      </c>
      <c r="D539" s="239">
        <v>0</v>
      </c>
      <c r="E539" s="179">
        <f>AT59</f>
        <v>0</v>
      </c>
      <c r="F539" s="262" t="str">
        <f t="shared" si="19"/>
        <v/>
      </c>
      <c r="G539" s="262" t="str">
        <f t="shared" si="19"/>
        <v/>
      </c>
      <c r="H539" s="264" t="str">
        <f t="shared" si="17"/>
        <v/>
      </c>
      <c r="I539" s="266"/>
      <c r="K539" s="260"/>
      <c r="L539" s="260"/>
    </row>
    <row r="540" spans="1:12" ht="12.6" customHeight="1" x14ac:dyDescent="0.25">
      <c r="A540" s="179" t="s">
        <v>555</v>
      </c>
      <c r="B540" s="239">
        <v>0</v>
      </c>
      <c r="C540" s="239">
        <f>AU71</f>
        <v>0</v>
      </c>
      <c r="D540" s="239">
        <v>0</v>
      </c>
      <c r="E540" s="179">
        <f>AU59</f>
        <v>0</v>
      </c>
      <c r="F540" s="262" t="str">
        <f t="shared" si="19"/>
        <v/>
      </c>
      <c r="G540" s="262" t="str">
        <f t="shared" si="19"/>
        <v/>
      </c>
      <c r="H540" s="264" t="str">
        <f t="shared" si="17"/>
        <v/>
      </c>
      <c r="I540" s="266"/>
      <c r="K540" s="260"/>
      <c r="L540" s="260"/>
    </row>
    <row r="541" spans="1:12" ht="12.6" customHeight="1" x14ac:dyDescent="0.25">
      <c r="A541" s="179" t="s">
        <v>556</v>
      </c>
      <c r="B541" s="239">
        <v>3126405.9499999993</v>
      </c>
      <c r="C541" s="239">
        <f>AV71</f>
        <v>3012754.5700000003</v>
      </c>
      <c r="D541" s="180" t="s">
        <v>529</v>
      </c>
      <c r="E541" s="180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79" t="s">
        <v>1248</v>
      </c>
      <c r="B542" s="239">
        <v>-13178.469999999972</v>
      </c>
      <c r="C542" s="239">
        <f>AW71</f>
        <v>276931.1660000002</v>
      </c>
      <c r="D542" s="180" t="s">
        <v>529</v>
      </c>
      <c r="E542" s="180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79" t="s">
        <v>557</v>
      </c>
      <c r="B543" s="239">
        <v>3655532.8</v>
      </c>
      <c r="C543" s="239">
        <f>AX71</f>
        <v>4069485.3380000005</v>
      </c>
      <c r="D543" s="180" t="s">
        <v>529</v>
      </c>
      <c r="E543" s="180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79" t="s">
        <v>558</v>
      </c>
      <c r="B544" s="239">
        <v>0</v>
      </c>
      <c r="C544" s="239">
        <f>AY71</f>
        <v>0</v>
      </c>
      <c r="D544" s="239">
        <v>0</v>
      </c>
      <c r="E544" s="179">
        <f>AY59</f>
        <v>0</v>
      </c>
      <c r="F544" s="262" t="str">
        <f t="shared" ref="F544:G550" si="20">IF(B544=0,"",IF(D544=0,"",B544/D544))</f>
        <v/>
      </c>
      <c r="G544" s="262" t="str">
        <f t="shared" si="20"/>
        <v/>
      </c>
      <c r="H544" s="264" t="str">
        <f t="shared" si="17"/>
        <v/>
      </c>
      <c r="I544" s="266"/>
      <c r="K544" s="260"/>
      <c r="L544" s="260"/>
    </row>
    <row r="545" spans="1:13" ht="12.6" customHeight="1" x14ac:dyDescent="0.25">
      <c r="A545" s="179" t="s">
        <v>559</v>
      </c>
      <c r="B545" s="239">
        <v>4055864.0800000005</v>
      </c>
      <c r="C545" s="239">
        <f>AZ71</f>
        <v>4313833.1999999993</v>
      </c>
      <c r="D545" s="239">
        <v>909503.65</v>
      </c>
      <c r="E545" s="179">
        <f>AZ59</f>
        <v>834538.1</v>
      </c>
      <c r="F545" s="262">
        <f t="shared" si="20"/>
        <v>4.4594258417764463</v>
      </c>
      <c r="G545" s="262">
        <f t="shared" si="20"/>
        <v>5.1691267301037538</v>
      </c>
      <c r="H545" s="264" t="str">
        <f t="shared" si="17"/>
        <v/>
      </c>
      <c r="I545" s="266"/>
      <c r="K545" s="260"/>
      <c r="L545" s="260"/>
    </row>
    <row r="546" spans="1:13" ht="12.6" customHeight="1" x14ac:dyDescent="0.25">
      <c r="A546" s="179" t="s">
        <v>560</v>
      </c>
      <c r="B546" s="239">
        <v>335046.53000000003</v>
      </c>
      <c r="C546" s="239">
        <f>BA71</f>
        <v>292834.86</v>
      </c>
      <c r="D546" s="239">
        <v>0</v>
      </c>
      <c r="E546" s="179">
        <f>BA59</f>
        <v>0</v>
      </c>
      <c r="F546" s="262" t="str">
        <f t="shared" si="20"/>
        <v/>
      </c>
      <c r="G546" s="262" t="str">
        <f t="shared" si="20"/>
        <v/>
      </c>
      <c r="H546" s="264" t="str">
        <f t="shared" si="17"/>
        <v/>
      </c>
      <c r="I546" s="266"/>
      <c r="K546" s="260"/>
      <c r="L546" s="260"/>
    </row>
    <row r="547" spans="1:13" ht="12.6" customHeight="1" x14ac:dyDescent="0.25">
      <c r="A547" s="179" t="s">
        <v>561</v>
      </c>
      <c r="B547" s="239">
        <v>171614.91</v>
      </c>
      <c r="C547" s="239">
        <f>BB71</f>
        <v>202982.11000000002</v>
      </c>
      <c r="D547" s="180" t="s">
        <v>529</v>
      </c>
      <c r="E547" s="180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79" t="s">
        <v>562</v>
      </c>
      <c r="B548" s="239">
        <v>973407.86</v>
      </c>
      <c r="C548" s="239">
        <f>BC71</f>
        <v>581033.25999999989</v>
      </c>
      <c r="D548" s="180" t="s">
        <v>529</v>
      </c>
      <c r="E548" s="180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79" t="s">
        <v>563</v>
      </c>
      <c r="B549" s="239">
        <v>2497872.5300000003</v>
      </c>
      <c r="C549" s="239">
        <f>BD71</f>
        <v>2721682.2699999996</v>
      </c>
      <c r="D549" s="180" t="s">
        <v>529</v>
      </c>
      <c r="E549" s="180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79" t="s">
        <v>564</v>
      </c>
      <c r="B550" s="239">
        <v>17402259.700000003</v>
      </c>
      <c r="C550" s="239">
        <f>BE71</f>
        <v>16018587.35</v>
      </c>
      <c r="D550" s="239">
        <v>810752</v>
      </c>
      <c r="E550" s="179">
        <f>BE59</f>
        <v>789998</v>
      </c>
      <c r="F550" s="262">
        <f t="shared" si="20"/>
        <v>21.464343843740135</v>
      </c>
      <c r="G550" s="262">
        <f t="shared" si="20"/>
        <v>20.276744181630839</v>
      </c>
      <c r="H550" s="264" t="str">
        <f t="shared" si="17"/>
        <v/>
      </c>
      <c r="I550" s="266"/>
      <c r="K550" s="260"/>
      <c r="L550" s="260"/>
    </row>
    <row r="551" spans="1:13" ht="12.6" customHeight="1" x14ac:dyDescent="0.25">
      <c r="A551" s="179" t="s">
        <v>565</v>
      </c>
      <c r="B551" s="239">
        <v>6158008.96</v>
      </c>
      <c r="C551" s="239">
        <f>BF71</f>
        <v>6021031.0099999998</v>
      </c>
      <c r="D551" s="180" t="s">
        <v>529</v>
      </c>
      <c r="E551" s="180" t="s">
        <v>529</v>
      </c>
      <c r="F551" s="262"/>
      <c r="G551" s="262"/>
      <c r="H551" s="264"/>
      <c r="I551" s="266"/>
      <c r="J551" s="198"/>
      <c r="M551" s="264"/>
    </row>
    <row r="552" spans="1:13" ht="12.6" customHeight="1" x14ac:dyDescent="0.25">
      <c r="A552" s="179" t="s">
        <v>566</v>
      </c>
      <c r="B552" s="239">
        <v>1977554.8299999996</v>
      </c>
      <c r="C552" s="239">
        <f>BG71</f>
        <v>1985297.8999999997</v>
      </c>
      <c r="D552" s="180" t="s">
        <v>529</v>
      </c>
      <c r="E552" s="180" t="s">
        <v>529</v>
      </c>
      <c r="F552" s="262"/>
      <c r="G552" s="262"/>
      <c r="H552" s="264"/>
      <c r="J552" s="198"/>
      <c r="M552" s="264"/>
    </row>
    <row r="553" spans="1:13" ht="12.6" customHeight="1" x14ac:dyDescent="0.25">
      <c r="A553" s="179" t="s">
        <v>567</v>
      </c>
      <c r="B553" s="239">
        <v>25456154.719999999</v>
      </c>
      <c r="C553" s="239">
        <f>BH71</f>
        <v>25983263.009999998</v>
      </c>
      <c r="D553" s="180" t="s">
        <v>529</v>
      </c>
      <c r="E553" s="180" t="s">
        <v>529</v>
      </c>
      <c r="F553" s="262"/>
      <c r="G553" s="262"/>
      <c r="H553" s="264"/>
      <c r="J553" s="198"/>
      <c r="M553" s="264"/>
    </row>
    <row r="554" spans="1:13" ht="12.6" customHeight="1" x14ac:dyDescent="0.25">
      <c r="A554" s="179" t="s">
        <v>568</v>
      </c>
      <c r="B554" s="239">
        <v>988553.71999999986</v>
      </c>
      <c r="C554" s="239">
        <f>BI71</f>
        <v>2565564.7899999996</v>
      </c>
      <c r="D554" s="180" t="s">
        <v>529</v>
      </c>
      <c r="E554" s="180" t="s">
        <v>529</v>
      </c>
      <c r="F554" s="262"/>
      <c r="G554" s="262"/>
      <c r="H554" s="264"/>
      <c r="J554" s="198"/>
      <c r="M554" s="264"/>
    </row>
    <row r="555" spans="1:13" ht="12.6" customHeight="1" x14ac:dyDescent="0.25">
      <c r="A555" s="179" t="s">
        <v>569</v>
      </c>
      <c r="B555" s="239">
        <v>2280238.9499999997</v>
      </c>
      <c r="C555" s="239">
        <f>BJ71</f>
        <v>2029277.8099999996</v>
      </c>
      <c r="D555" s="180" t="s">
        <v>529</v>
      </c>
      <c r="E555" s="180" t="s">
        <v>529</v>
      </c>
      <c r="F555" s="262"/>
      <c r="G555" s="262"/>
      <c r="H555" s="264"/>
      <c r="J555" s="198"/>
      <c r="M555" s="264"/>
    </row>
    <row r="556" spans="1:13" ht="12.6" customHeight="1" x14ac:dyDescent="0.25">
      <c r="A556" s="179" t="s">
        <v>570</v>
      </c>
      <c r="B556" s="239">
        <v>4667465.13</v>
      </c>
      <c r="C556" s="239">
        <f>BK71</f>
        <v>9871896.8400000017</v>
      </c>
      <c r="D556" s="180" t="s">
        <v>529</v>
      </c>
      <c r="E556" s="180" t="s">
        <v>529</v>
      </c>
      <c r="F556" s="262"/>
      <c r="G556" s="262"/>
      <c r="H556" s="264"/>
      <c r="J556" s="198"/>
      <c r="M556" s="264"/>
    </row>
    <row r="557" spans="1:13" ht="12.6" customHeight="1" x14ac:dyDescent="0.25">
      <c r="A557" s="179" t="s">
        <v>571</v>
      </c>
      <c r="B557" s="239">
        <v>3755046.2800000007</v>
      </c>
      <c r="C557" s="239">
        <f>BL71</f>
        <v>4078645.0099999988</v>
      </c>
      <c r="D557" s="180" t="s">
        <v>529</v>
      </c>
      <c r="E557" s="180" t="s">
        <v>529</v>
      </c>
      <c r="F557" s="262"/>
      <c r="G557" s="262"/>
      <c r="H557" s="264"/>
      <c r="J557" s="198"/>
      <c r="M557" s="264"/>
    </row>
    <row r="558" spans="1:13" ht="12.6" customHeight="1" x14ac:dyDescent="0.25">
      <c r="A558" s="179" t="s">
        <v>572</v>
      </c>
      <c r="B558" s="239">
        <v>2417457.58</v>
      </c>
      <c r="C558" s="239">
        <f>BM71</f>
        <v>2543740.3800000004</v>
      </c>
      <c r="D558" s="180" t="s">
        <v>529</v>
      </c>
      <c r="E558" s="180" t="s">
        <v>529</v>
      </c>
      <c r="F558" s="262"/>
      <c r="G558" s="262"/>
      <c r="H558" s="264"/>
      <c r="J558" s="198"/>
      <c r="M558" s="264"/>
    </row>
    <row r="559" spans="1:13" ht="12.6" customHeight="1" x14ac:dyDescent="0.25">
      <c r="A559" s="179" t="s">
        <v>573</v>
      </c>
      <c r="B559" s="239">
        <v>10052438.6</v>
      </c>
      <c r="C559" s="239">
        <f>BN71</f>
        <v>9780987.2800000012</v>
      </c>
      <c r="D559" s="180" t="s">
        <v>529</v>
      </c>
      <c r="E559" s="180" t="s">
        <v>529</v>
      </c>
      <c r="F559" s="262"/>
      <c r="G559" s="262"/>
      <c r="H559" s="264"/>
      <c r="J559" s="198"/>
      <c r="M559" s="264"/>
    </row>
    <row r="560" spans="1:13" ht="12.6" customHeight="1" x14ac:dyDescent="0.25">
      <c r="A560" s="179" t="s">
        <v>574</v>
      </c>
      <c r="B560" s="239">
        <v>1305836.71</v>
      </c>
      <c r="C560" s="239">
        <f>BO71</f>
        <v>1063181.5020000001</v>
      </c>
      <c r="D560" s="180" t="s">
        <v>529</v>
      </c>
      <c r="E560" s="180" t="s">
        <v>529</v>
      </c>
      <c r="F560" s="262"/>
      <c r="G560" s="262"/>
      <c r="H560" s="264"/>
      <c r="J560" s="198"/>
      <c r="M560" s="264"/>
    </row>
    <row r="561" spans="1:13" ht="12.6" customHeight="1" x14ac:dyDescent="0.25">
      <c r="A561" s="179" t="s">
        <v>575</v>
      </c>
      <c r="B561" s="239">
        <v>4312330.57</v>
      </c>
      <c r="C561" s="239">
        <f>BP71</f>
        <v>4194350.6490000002</v>
      </c>
      <c r="D561" s="180" t="s">
        <v>529</v>
      </c>
      <c r="E561" s="180" t="s">
        <v>529</v>
      </c>
      <c r="F561" s="262"/>
      <c r="G561" s="262"/>
      <c r="H561" s="264"/>
      <c r="J561" s="198"/>
      <c r="M561" s="264"/>
    </row>
    <row r="562" spans="1:13" ht="12.6" customHeight="1" x14ac:dyDescent="0.25">
      <c r="A562" s="179" t="s">
        <v>576</v>
      </c>
      <c r="B562" s="239">
        <v>610411.17000000004</v>
      </c>
      <c r="C562" s="239">
        <f>BQ71</f>
        <v>527386.78999999992</v>
      </c>
      <c r="D562" s="180" t="s">
        <v>529</v>
      </c>
      <c r="E562" s="180" t="s">
        <v>529</v>
      </c>
      <c r="F562" s="262"/>
      <c r="G562" s="262"/>
      <c r="H562" s="264"/>
      <c r="J562" s="198"/>
      <c r="M562" s="264"/>
    </row>
    <row r="563" spans="1:13" ht="12.6" customHeight="1" x14ac:dyDescent="0.25">
      <c r="A563" s="179" t="s">
        <v>577</v>
      </c>
      <c r="B563" s="239">
        <v>5789823.7000000002</v>
      </c>
      <c r="C563" s="239">
        <f>BR71</f>
        <v>4555734.4300000006</v>
      </c>
      <c r="D563" s="180" t="s">
        <v>529</v>
      </c>
      <c r="E563" s="180" t="s">
        <v>529</v>
      </c>
      <c r="F563" s="262"/>
      <c r="G563" s="262"/>
      <c r="H563" s="264"/>
      <c r="J563" s="198"/>
      <c r="M563" s="264"/>
    </row>
    <row r="564" spans="1:13" ht="12.6" customHeight="1" x14ac:dyDescent="0.25">
      <c r="A564" s="179" t="s">
        <v>1249</v>
      </c>
      <c r="B564" s="239">
        <v>520259.20999999985</v>
      </c>
      <c r="C564" s="239">
        <f>BS71</f>
        <v>458068.66999999981</v>
      </c>
      <c r="D564" s="180" t="s">
        <v>529</v>
      </c>
      <c r="E564" s="180" t="s">
        <v>529</v>
      </c>
      <c r="F564" s="262"/>
      <c r="G564" s="262"/>
      <c r="H564" s="264"/>
      <c r="J564" s="198"/>
      <c r="M564" s="264"/>
    </row>
    <row r="565" spans="1:13" ht="12.6" customHeight="1" x14ac:dyDescent="0.25">
      <c r="A565" s="179" t="s">
        <v>578</v>
      </c>
      <c r="B565" s="239">
        <v>458469.01</v>
      </c>
      <c r="C565" s="239">
        <f>BT71</f>
        <v>338222.60000000003</v>
      </c>
      <c r="D565" s="180" t="s">
        <v>529</v>
      </c>
      <c r="E565" s="180" t="s">
        <v>529</v>
      </c>
      <c r="F565" s="262"/>
      <c r="G565" s="262"/>
      <c r="H565" s="264"/>
      <c r="J565" s="198"/>
      <c r="M565" s="264"/>
    </row>
    <row r="566" spans="1:13" ht="12.6" customHeight="1" x14ac:dyDescent="0.25">
      <c r="A566" s="179" t="s">
        <v>579</v>
      </c>
      <c r="B566" s="239">
        <v>286933.2</v>
      </c>
      <c r="C566" s="239">
        <f>BU71</f>
        <v>281472.7</v>
      </c>
      <c r="D566" s="180" t="s">
        <v>529</v>
      </c>
      <c r="E566" s="180" t="s">
        <v>529</v>
      </c>
      <c r="F566" s="262"/>
      <c r="G566" s="262"/>
      <c r="H566" s="264"/>
      <c r="J566" s="198"/>
      <c r="M566" s="264"/>
    </row>
    <row r="567" spans="1:13" ht="12.6" customHeight="1" x14ac:dyDescent="0.25">
      <c r="A567" s="179" t="s">
        <v>580</v>
      </c>
      <c r="B567" s="239">
        <v>8681197.7700000014</v>
      </c>
      <c r="C567" s="239">
        <f>BV71</f>
        <v>6774752.0100000007</v>
      </c>
      <c r="D567" s="180" t="s">
        <v>529</v>
      </c>
      <c r="E567" s="180" t="s">
        <v>529</v>
      </c>
      <c r="F567" s="262"/>
      <c r="G567" s="262"/>
      <c r="H567" s="264"/>
      <c r="J567" s="198"/>
      <c r="M567" s="264"/>
    </row>
    <row r="568" spans="1:13" ht="12.6" customHeight="1" x14ac:dyDescent="0.25">
      <c r="A568" s="179" t="s">
        <v>581</v>
      </c>
      <c r="B568" s="239">
        <v>2611326.52</v>
      </c>
      <c r="C568" s="239">
        <f>BW71</f>
        <v>2672734.5830000001</v>
      </c>
      <c r="D568" s="180" t="s">
        <v>529</v>
      </c>
      <c r="E568" s="180" t="s">
        <v>529</v>
      </c>
      <c r="F568" s="262"/>
      <c r="G568" s="262"/>
      <c r="H568" s="264"/>
      <c r="J568" s="198"/>
      <c r="M568" s="264"/>
    </row>
    <row r="569" spans="1:13" ht="12.6" customHeight="1" x14ac:dyDescent="0.25">
      <c r="A569" s="179" t="s">
        <v>582</v>
      </c>
      <c r="B569" s="239">
        <v>6977915.2400000012</v>
      </c>
      <c r="C569" s="239">
        <f>BX71</f>
        <v>6515576.5499999998</v>
      </c>
      <c r="D569" s="180" t="s">
        <v>529</v>
      </c>
      <c r="E569" s="180" t="s">
        <v>529</v>
      </c>
      <c r="F569" s="262"/>
      <c r="G569" s="262"/>
      <c r="H569" s="264"/>
      <c r="J569" s="198"/>
      <c r="M569" s="264"/>
    </row>
    <row r="570" spans="1:13" ht="12.6" customHeight="1" x14ac:dyDescent="0.25">
      <c r="A570" s="179" t="s">
        <v>583</v>
      </c>
      <c r="B570" s="239">
        <v>2531668.2599999998</v>
      </c>
      <c r="C570" s="239">
        <f>BY71</f>
        <v>2420065.11</v>
      </c>
      <c r="D570" s="180" t="s">
        <v>529</v>
      </c>
      <c r="E570" s="180" t="s">
        <v>529</v>
      </c>
      <c r="F570" s="262"/>
      <c r="G570" s="262"/>
      <c r="H570" s="264"/>
      <c r="J570" s="198"/>
      <c r="M570" s="264"/>
    </row>
    <row r="571" spans="1:13" ht="12.6" customHeight="1" x14ac:dyDescent="0.25">
      <c r="A571" s="179" t="s">
        <v>584</v>
      </c>
      <c r="B571" s="239">
        <v>2801285.2599999993</v>
      </c>
      <c r="C571" s="239">
        <f>BZ71</f>
        <v>3512821.2799999989</v>
      </c>
      <c r="D571" s="180" t="s">
        <v>529</v>
      </c>
      <c r="E571" s="180" t="s">
        <v>529</v>
      </c>
      <c r="F571" s="262"/>
      <c r="G571" s="262"/>
      <c r="H571" s="264"/>
      <c r="J571" s="198"/>
      <c r="M571" s="264"/>
    </row>
    <row r="572" spans="1:13" ht="12.6" customHeight="1" x14ac:dyDescent="0.25">
      <c r="A572" s="179" t="s">
        <v>585</v>
      </c>
      <c r="B572" s="239">
        <v>1879381.1199999999</v>
      </c>
      <c r="C572" s="239">
        <f>CA71</f>
        <v>1391892.71</v>
      </c>
      <c r="D572" s="180" t="s">
        <v>529</v>
      </c>
      <c r="E572" s="180" t="s">
        <v>529</v>
      </c>
      <c r="F572" s="262"/>
      <c r="G572" s="262"/>
      <c r="H572" s="264"/>
      <c r="J572" s="198"/>
      <c r="M572" s="264"/>
    </row>
    <row r="573" spans="1:13" ht="12.6" customHeight="1" x14ac:dyDescent="0.25">
      <c r="A573" s="179" t="s">
        <v>586</v>
      </c>
      <c r="B573" s="239">
        <v>-128366.0700000003</v>
      </c>
      <c r="C573" s="239">
        <f>CB71</f>
        <v>5008579.2499999991</v>
      </c>
      <c r="D573" s="180" t="s">
        <v>529</v>
      </c>
      <c r="E573" s="180" t="s">
        <v>529</v>
      </c>
      <c r="F573" s="262"/>
      <c r="G573" s="262"/>
      <c r="H573" s="264"/>
      <c r="J573" s="198"/>
      <c r="M573" s="264"/>
    </row>
    <row r="574" spans="1:13" ht="12.6" customHeight="1" x14ac:dyDescent="0.25">
      <c r="A574" s="179" t="s">
        <v>587</v>
      </c>
      <c r="B574" s="239">
        <v>1608073.4400000004</v>
      </c>
      <c r="C574" s="239">
        <f>CC71</f>
        <v>-1307896.2599999998</v>
      </c>
      <c r="D574" s="180" t="s">
        <v>529</v>
      </c>
      <c r="E574" s="180" t="s">
        <v>529</v>
      </c>
      <c r="F574" s="262"/>
      <c r="G574" s="262"/>
      <c r="H574" s="264"/>
      <c r="J574" s="198"/>
      <c r="M574" s="264"/>
    </row>
    <row r="575" spans="1:13" ht="12.6" customHeight="1" x14ac:dyDescent="0.25">
      <c r="A575" s="179" t="s">
        <v>588</v>
      </c>
      <c r="B575" s="239">
        <v>18559224.5</v>
      </c>
      <c r="C575" s="239">
        <f>CD71</f>
        <v>9350547.9300000016</v>
      </c>
      <c r="D575" s="180" t="s">
        <v>529</v>
      </c>
      <c r="E575" s="180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5"/>
      <c r="C612" s="180" t="s">
        <v>589</v>
      </c>
      <c r="D612" s="179">
        <f>CE76-(BE76+CD76)</f>
        <v>1110643</v>
      </c>
      <c r="E612" s="179">
        <f>SUM(C624:D647)+SUM(C668:D713)</f>
        <v>604537880.20688939</v>
      </c>
      <c r="F612" s="179">
        <f>CE64-(AX64+BD64+BE64+BG64+BJ64+BN64+BP64+BQ64+CB64+CC64+CD64)</f>
        <v>95039718.385999992</v>
      </c>
      <c r="G612" s="179">
        <f>CE77-(AX77+AY77+BD77+BE77+BG77+BJ77+BN77+BP77+BQ77+CB77+CC77+CD77)</f>
        <v>192079</v>
      </c>
      <c r="H612" s="196">
        <f>CE60-(AX60+AY60+AZ60+BD60+BE60+BG60+BJ60+BN60+BO60+BP60+BQ60+BR60+CB60+CC60+CD60)</f>
        <v>3401.3056826923093</v>
      </c>
      <c r="I612" s="179">
        <f>CE78-(AX78+AY78+AZ78+BD78+BE78+BF78+BG78+BJ78+BN78+BO78+BP78+BQ78+BR78+CB78+CC78+CD78)</f>
        <v>114074</v>
      </c>
      <c r="J612" s="179">
        <f>CE79-(AX79+AY79+AZ79+BA79+BD79+BE79+BF79+BG79+BJ79+BN79+BO79+BP79+BQ79+BR79+CB79+CC79+CD79)</f>
        <v>2241679.61</v>
      </c>
      <c r="K612" s="179">
        <f>CE75-(AW75+AX75+AY75+AZ75+BA75+BB75+BC75+BD75+BE75+BF75+BG75+BH75+BI75+BJ75+BK75+BL75+BM75+BN75+BO75+BP75+BQ75+BR75+BS75+BT75+BU75+BV75+BW75+BX75+CB75+CC75+CD75)</f>
        <v>1804111321.6100004</v>
      </c>
      <c r="L612" s="196">
        <f>CE80-(AW80+AX80+AY80+AZ80+BA80+BB80+BC80+BD80+BE80+BF80+BG80+BH80+BI80+BJ80+BK80+BL80+BM80+BN80+BO80+BP80+BQ80+BR80+BS80+BT80+BU80+BV80+BW80+BX80+BY80+BZ80+CA80+CB80+CC80+CD80)</f>
        <v>935.83274519230781</v>
      </c>
    </row>
    <row r="613" spans="1:14" ht="12.6" customHeight="1" x14ac:dyDescent="0.25">
      <c r="A613" s="195"/>
      <c r="C613" s="180" t="s">
        <v>590</v>
      </c>
      <c r="D613" s="180" t="s">
        <v>591</v>
      </c>
      <c r="E613" s="197" t="s">
        <v>592</v>
      </c>
      <c r="F613" s="180" t="s">
        <v>593</v>
      </c>
      <c r="G613" s="180" t="s">
        <v>594</v>
      </c>
      <c r="H613" s="180" t="s">
        <v>595</v>
      </c>
      <c r="I613" s="180" t="s">
        <v>596</v>
      </c>
      <c r="J613" s="180" t="s">
        <v>597</v>
      </c>
      <c r="K613" s="180" t="s">
        <v>598</v>
      </c>
      <c r="L613" s="197" t="s">
        <v>599</v>
      </c>
    </row>
    <row r="614" spans="1:14" ht="12.6" customHeight="1" x14ac:dyDescent="0.25">
      <c r="A614" s="195">
        <v>8430</v>
      </c>
      <c r="B614" s="197" t="s">
        <v>140</v>
      </c>
      <c r="C614" s="179">
        <f>BE71</f>
        <v>16018587.35</v>
      </c>
      <c r="N614" s="198" t="s">
        <v>600</v>
      </c>
    </row>
    <row r="615" spans="1:14" ht="12.6" customHeight="1" x14ac:dyDescent="0.25">
      <c r="A615" s="195"/>
      <c r="B615" s="197" t="s">
        <v>601</v>
      </c>
      <c r="C615" s="272">
        <f>CD69-CD70</f>
        <v>9350547.9300000016</v>
      </c>
      <c r="D615" s="265">
        <f>SUM(C614:C615)</f>
        <v>25369135.280000001</v>
      </c>
      <c r="N615" s="198" t="s">
        <v>602</v>
      </c>
    </row>
    <row r="616" spans="1:14" ht="12.6" customHeight="1" x14ac:dyDescent="0.25">
      <c r="A616" s="195">
        <v>8310</v>
      </c>
      <c r="B616" s="199" t="s">
        <v>603</v>
      </c>
      <c r="C616" s="179">
        <f>AX71</f>
        <v>4069485.3380000005</v>
      </c>
      <c r="D616" s="179">
        <f>(D615/D612)*AX76</f>
        <v>0</v>
      </c>
      <c r="N616" s="198" t="s">
        <v>604</v>
      </c>
    </row>
    <row r="617" spans="1:14" ht="12.6" customHeight="1" x14ac:dyDescent="0.25">
      <c r="A617" s="195">
        <v>8510</v>
      </c>
      <c r="B617" s="199" t="s">
        <v>145</v>
      </c>
      <c r="C617" s="179">
        <f>BJ71</f>
        <v>2029277.8099999996</v>
      </c>
      <c r="D617" s="179">
        <f>(D615/D612)*BJ76</f>
        <v>97397.627170855092</v>
      </c>
      <c r="N617" s="198" t="s">
        <v>605</v>
      </c>
    </row>
    <row r="618" spans="1:14" ht="12.6" customHeight="1" x14ac:dyDescent="0.25">
      <c r="A618" s="195">
        <v>8470</v>
      </c>
      <c r="B618" s="199" t="s">
        <v>606</v>
      </c>
      <c r="C618" s="179">
        <f>BG71</f>
        <v>1985297.8999999997</v>
      </c>
      <c r="D618" s="179">
        <f>(D615/D612)*BG76</f>
        <v>113798.07189615385</v>
      </c>
      <c r="N618" s="198" t="s">
        <v>607</v>
      </c>
    </row>
    <row r="619" spans="1:14" ht="12.6" customHeight="1" x14ac:dyDescent="0.25">
      <c r="A619" s="195">
        <v>8610</v>
      </c>
      <c r="B619" s="199" t="s">
        <v>608</v>
      </c>
      <c r="C619" s="179">
        <f>BN71</f>
        <v>9780987.2800000012</v>
      </c>
      <c r="D619" s="179">
        <f>(D615/D612)*BN76</f>
        <v>279903.96889110183</v>
      </c>
      <c r="N619" s="198" t="s">
        <v>609</v>
      </c>
    </row>
    <row r="620" spans="1:14" ht="12.6" customHeight="1" x14ac:dyDescent="0.25">
      <c r="A620" s="195">
        <v>8790</v>
      </c>
      <c r="B620" s="199" t="s">
        <v>610</v>
      </c>
      <c r="C620" s="179">
        <f>CC71</f>
        <v>-1307896.2599999998</v>
      </c>
      <c r="D620" s="179">
        <f>(D615/D612)*CC76</f>
        <v>146804.53795194317</v>
      </c>
      <c r="N620" s="198" t="s">
        <v>611</v>
      </c>
    </row>
    <row r="621" spans="1:14" ht="12.6" customHeight="1" x14ac:dyDescent="0.25">
      <c r="A621" s="195">
        <v>8630</v>
      </c>
      <c r="B621" s="199" t="s">
        <v>612</v>
      </c>
      <c r="C621" s="179">
        <f>BP71</f>
        <v>4194350.6490000002</v>
      </c>
      <c r="D621" s="179">
        <f>(D615/D612)*BP76</f>
        <v>43262.454470356366</v>
      </c>
      <c r="N621" s="198" t="s">
        <v>613</v>
      </c>
    </row>
    <row r="622" spans="1:14" ht="12.6" customHeight="1" x14ac:dyDescent="0.25">
      <c r="A622" s="195">
        <v>8770</v>
      </c>
      <c r="B622" s="197" t="s">
        <v>614</v>
      </c>
      <c r="C622" s="179">
        <f>CB71</f>
        <v>5008579.2499999991</v>
      </c>
      <c r="D622" s="179">
        <f>(D615/D612)*CB76</f>
        <v>165717.58562958575</v>
      </c>
      <c r="N622" s="198" t="s">
        <v>615</v>
      </c>
    </row>
    <row r="623" spans="1:14" ht="12.6" customHeight="1" x14ac:dyDescent="0.25">
      <c r="A623" s="195">
        <v>8640</v>
      </c>
      <c r="B623" s="199" t="s">
        <v>616</v>
      </c>
      <c r="C623" s="179">
        <f>BQ71</f>
        <v>527386.78999999992</v>
      </c>
      <c r="D623" s="179">
        <f>(D615/D612)*BQ76</f>
        <v>38305.77410073264</v>
      </c>
      <c r="E623" s="179">
        <f>SUM(C616:D623)</f>
        <v>27172658.777110729</v>
      </c>
      <c r="N623" s="198" t="s">
        <v>617</v>
      </c>
    </row>
    <row r="624" spans="1:14" ht="12.6" customHeight="1" x14ac:dyDescent="0.25">
      <c r="A624" s="195">
        <v>8420</v>
      </c>
      <c r="B624" s="199" t="s">
        <v>139</v>
      </c>
      <c r="C624" s="179">
        <f>BD71</f>
        <v>2721682.2699999996</v>
      </c>
      <c r="D624" s="179">
        <f>(D615/D612)*BD76</f>
        <v>220720.74844089415</v>
      </c>
      <c r="E624" s="179">
        <f>(E623/E612)*SUM(C624:D624)</f>
        <v>132254.596151151</v>
      </c>
      <c r="F624" s="179">
        <f>SUM(C624:E624)</f>
        <v>3074657.6145920446</v>
      </c>
      <c r="N624" s="198" t="s">
        <v>618</v>
      </c>
    </row>
    <row r="625" spans="1:14" ht="12.6" customHeight="1" x14ac:dyDescent="0.25">
      <c r="A625" s="195">
        <v>8320</v>
      </c>
      <c r="B625" s="199" t="s">
        <v>135</v>
      </c>
      <c r="C625" s="179">
        <f>AY71</f>
        <v>0</v>
      </c>
      <c r="D625" s="179">
        <f>(D615/D612)*AY76</f>
        <v>0</v>
      </c>
      <c r="E625" s="179">
        <f>(E623/E612)*SUM(C625:D625)</f>
        <v>0</v>
      </c>
      <c r="F625" s="179">
        <f>(F624/F612)*AY64</f>
        <v>0</v>
      </c>
      <c r="G625" s="179">
        <f>SUM(C625:F625)</f>
        <v>0</v>
      </c>
      <c r="N625" s="198" t="s">
        <v>619</v>
      </c>
    </row>
    <row r="626" spans="1:14" ht="12.6" customHeight="1" x14ac:dyDescent="0.25">
      <c r="A626" s="195">
        <v>8650</v>
      </c>
      <c r="B626" s="199" t="s">
        <v>152</v>
      </c>
      <c r="C626" s="179">
        <f>BR71</f>
        <v>4555734.4300000006</v>
      </c>
      <c r="D626" s="179">
        <f>(D615/D612)*BR76</f>
        <v>79398.253294064794</v>
      </c>
      <c r="E626" s="179">
        <f>(E623/E612)*SUM(C626:D626)</f>
        <v>208339.10150788259</v>
      </c>
      <c r="F626" s="179">
        <f>(F624/F612)*BR64</f>
        <v>1504.1186153193203</v>
      </c>
      <c r="G626" s="179">
        <f>(G625/G612)*BR77</f>
        <v>0</v>
      </c>
      <c r="N626" s="198" t="s">
        <v>620</v>
      </c>
    </row>
    <row r="627" spans="1:14" ht="12.6" customHeight="1" x14ac:dyDescent="0.25">
      <c r="A627" s="195">
        <v>8620</v>
      </c>
      <c r="B627" s="197" t="s">
        <v>621</v>
      </c>
      <c r="C627" s="179">
        <f>BO71</f>
        <v>1063181.5020000001</v>
      </c>
      <c r="D627" s="179">
        <f>(D615/D612)*BO76</f>
        <v>37826.095355285186</v>
      </c>
      <c r="E627" s="179">
        <f>(E623/E612)*SUM(C627:D627)</f>
        <v>49487.889400252585</v>
      </c>
      <c r="F627" s="179">
        <f>(F624/F612)*BO64</f>
        <v>5749.887527473149</v>
      </c>
      <c r="G627" s="179">
        <f>(G625/G612)*BO77</f>
        <v>0</v>
      </c>
      <c r="N627" s="198" t="s">
        <v>622</v>
      </c>
    </row>
    <row r="628" spans="1:14" ht="12.6" customHeight="1" x14ac:dyDescent="0.25">
      <c r="A628" s="195">
        <v>8330</v>
      </c>
      <c r="B628" s="199" t="s">
        <v>136</v>
      </c>
      <c r="C628" s="179">
        <f>AZ71</f>
        <v>4313833.1999999993</v>
      </c>
      <c r="D628" s="179">
        <f>(D615/D612)*AZ76</f>
        <v>521547.84737151366</v>
      </c>
      <c r="E628" s="179">
        <f>(E623/E612)*SUM(C628:D628)</f>
        <v>217339.82858538016</v>
      </c>
      <c r="F628" s="179">
        <f>(F624/F612)*AZ64</f>
        <v>57915.284920701684</v>
      </c>
      <c r="G628" s="179">
        <f>(G625/G612)*AZ77</f>
        <v>0</v>
      </c>
      <c r="H628" s="179">
        <f>SUM(C626:G628)</f>
        <v>11111857.438577874</v>
      </c>
      <c r="N628" s="198" t="s">
        <v>623</v>
      </c>
    </row>
    <row r="629" spans="1:14" ht="12.6" customHeight="1" x14ac:dyDescent="0.25">
      <c r="A629" s="195">
        <v>8460</v>
      </c>
      <c r="B629" s="199" t="s">
        <v>141</v>
      </c>
      <c r="C629" s="179">
        <f>BF71</f>
        <v>6021031.0099999998</v>
      </c>
      <c r="D629" s="179">
        <f>(D615/D612)*BF76</f>
        <v>216357.95604182442</v>
      </c>
      <c r="E629" s="179">
        <f>(E623/E612)*SUM(C629:D629)</f>
        <v>280357.02572743181</v>
      </c>
      <c r="F629" s="179">
        <f>(F624/F612)*BF64</f>
        <v>12586.444900818859</v>
      </c>
      <c r="G629" s="179">
        <f>(G625/G612)*BF77</f>
        <v>0</v>
      </c>
      <c r="H629" s="179">
        <f>(H628/H612)*BF60</f>
        <v>332307.59401559818</v>
      </c>
      <c r="I629" s="179">
        <f>SUM(C629:H629)</f>
        <v>6862640.0306856735</v>
      </c>
      <c r="N629" s="198" t="s">
        <v>624</v>
      </c>
    </row>
    <row r="630" spans="1:14" ht="12.6" customHeight="1" x14ac:dyDescent="0.25">
      <c r="A630" s="195">
        <v>8350</v>
      </c>
      <c r="B630" s="199" t="s">
        <v>625</v>
      </c>
      <c r="C630" s="179">
        <f>BA71</f>
        <v>292834.86</v>
      </c>
      <c r="D630" s="179">
        <f>(D615/D612)*BA76</f>
        <v>81979.381781472533</v>
      </c>
      <c r="E630" s="179">
        <f>(E623/E612)*SUM(C630:D630)</f>
        <v>16847.082424750537</v>
      </c>
      <c r="F630" s="179">
        <f>(F624/F612)*BA64</f>
        <v>1093.3342118803976</v>
      </c>
      <c r="G630" s="179">
        <f>(G625/G612)*BA77</f>
        <v>0</v>
      </c>
      <c r="H630" s="179">
        <f>(H628/H612)*BA60</f>
        <v>17688.651548912887</v>
      </c>
      <c r="I630" s="179">
        <f>(I629/I612)*BA78</f>
        <v>24063.818330857772</v>
      </c>
      <c r="J630" s="179">
        <f>SUM(C630:I630)</f>
        <v>434507.12829787412</v>
      </c>
      <c r="N630" s="198" t="s">
        <v>626</v>
      </c>
    </row>
    <row r="631" spans="1:14" ht="12.6" customHeight="1" x14ac:dyDescent="0.25">
      <c r="A631" s="195">
        <v>8200</v>
      </c>
      <c r="B631" s="199" t="s">
        <v>627</v>
      </c>
      <c r="C631" s="179">
        <f>AW71</f>
        <v>276931.1660000002</v>
      </c>
      <c r="D631" s="179">
        <f>(D615/D612)*AW76</f>
        <v>84788.928719093354</v>
      </c>
      <c r="E631" s="179">
        <f>(E623/E612)*SUM(C631:D631)</f>
        <v>16258.529082184865</v>
      </c>
      <c r="F631" s="179">
        <f>(F624/F612)*AW64</f>
        <v>669.98683149087765</v>
      </c>
      <c r="G631" s="179">
        <f>(G625/G612)*AW77</f>
        <v>0</v>
      </c>
      <c r="H631" s="179">
        <f>(H628/H612)*AW60</f>
        <v>32486.062277224988</v>
      </c>
      <c r="I631" s="179">
        <f>(I629/I612)*AW78</f>
        <v>24845.892426610648</v>
      </c>
      <c r="J631" s="179">
        <f>(J630/J612)*AW79</f>
        <v>0</v>
      </c>
      <c r="N631" s="198" t="s">
        <v>628</v>
      </c>
    </row>
    <row r="632" spans="1:14" ht="12.6" customHeight="1" x14ac:dyDescent="0.25">
      <c r="A632" s="195">
        <v>8360</v>
      </c>
      <c r="B632" s="199" t="s">
        <v>629</v>
      </c>
      <c r="C632" s="179">
        <f>BB71</f>
        <v>202982.11000000002</v>
      </c>
      <c r="D632" s="179">
        <f>(D615/D612)*BB76</f>
        <v>0</v>
      </c>
      <c r="E632" s="179">
        <f>(E623/E612)*SUM(C632:D632)</f>
        <v>9123.6029924218801</v>
      </c>
      <c r="F632" s="179">
        <f>(F624/F612)*BB64</f>
        <v>0</v>
      </c>
      <c r="G632" s="179">
        <f>(G625/G612)*BB77</f>
        <v>0</v>
      </c>
      <c r="H632" s="179">
        <f>(H628/H612)*BB60</f>
        <v>0</v>
      </c>
      <c r="I632" s="179">
        <f>(I629/I612)*BB78</f>
        <v>0</v>
      </c>
      <c r="J632" s="179">
        <f>(J630/J612)*BB79</f>
        <v>0</v>
      </c>
      <c r="N632" s="198" t="s">
        <v>630</v>
      </c>
    </row>
    <row r="633" spans="1:14" ht="12.6" customHeight="1" x14ac:dyDescent="0.25">
      <c r="A633" s="195">
        <v>8370</v>
      </c>
      <c r="B633" s="199" t="s">
        <v>631</v>
      </c>
      <c r="C633" s="179">
        <f>BC71</f>
        <v>581033.25999999989</v>
      </c>
      <c r="D633" s="179">
        <f>(D615/D612)*BC76</f>
        <v>0</v>
      </c>
      <c r="E633" s="179">
        <f>(E623/E612)*SUM(C633:D633)</f>
        <v>26116.177379536744</v>
      </c>
      <c r="F633" s="179">
        <f>(F624/F612)*BC64</f>
        <v>12.409308316920967</v>
      </c>
      <c r="G633" s="179">
        <f>(G625/G612)*BC77</f>
        <v>0</v>
      </c>
      <c r="H633" s="179">
        <f>(H628/H612)*BC60</f>
        <v>27041.630267606379</v>
      </c>
      <c r="I633" s="179">
        <f>(I629/I612)*BC78</f>
        <v>0</v>
      </c>
      <c r="J633" s="179">
        <f>(J630/J612)*BC79</f>
        <v>0</v>
      </c>
      <c r="N633" s="198" t="s">
        <v>632</v>
      </c>
    </row>
    <row r="634" spans="1:14" ht="12.6" customHeight="1" x14ac:dyDescent="0.25">
      <c r="A634" s="195">
        <v>8490</v>
      </c>
      <c r="B634" s="199" t="s">
        <v>633</v>
      </c>
      <c r="C634" s="179">
        <f>BI71</f>
        <v>2565564.7899999996</v>
      </c>
      <c r="D634" s="179">
        <f>(D615/D612)*BI76</f>
        <v>1632118.3523074833</v>
      </c>
      <c r="E634" s="179">
        <f>(E623/E612)*SUM(C634:D634)</f>
        <v>188676.69903714876</v>
      </c>
      <c r="F634" s="179">
        <f>(F624/F612)*BI64</f>
        <v>2211.3844868012152</v>
      </c>
      <c r="G634" s="179">
        <f>(G625/G612)*BI77</f>
        <v>0</v>
      </c>
      <c r="H634" s="179">
        <f>(H628/H612)*BI60</f>
        <v>58027.036781231407</v>
      </c>
      <c r="I634" s="179">
        <f>(I629/I612)*BI78</f>
        <v>478509.02750910679</v>
      </c>
      <c r="J634" s="179">
        <f>(J630/J612)*BI79</f>
        <v>0</v>
      </c>
      <c r="N634" s="198" t="s">
        <v>634</v>
      </c>
    </row>
    <row r="635" spans="1:14" ht="12.6" customHeight="1" x14ac:dyDescent="0.25">
      <c r="A635" s="195">
        <v>8530</v>
      </c>
      <c r="B635" s="199" t="s">
        <v>635</v>
      </c>
      <c r="C635" s="179">
        <f>BK71</f>
        <v>9871896.8400000017</v>
      </c>
      <c r="D635" s="179">
        <f>(D615/D612)*BK76</f>
        <v>372390.59938237583</v>
      </c>
      <c r="E635" s="179">
        <f>(E623/E612)*SUM(C635:D635)</f>
        <v>460458.3701350771</v>
      </c>
      <c r="F635" s="179">
        <f>(F624/F612)*BK64</f>
        <v>3769.7743343540565</v>
      </c>
      <c r="G635" s="179">
        <f>(G625/G612)*BK77</f>
        <v>0</v>
      </c>
      <c r="H635" s="179">
        <f>(H628/H612)*BK60</f>
        <v>319923.46154046123</v>
      </c>
      <c r="I635" s="179">
        <f>(I629/I612)*BK78</f>
        <v>109189.57567626714</v>
      </c>
      <c r="J635" s="179">
        <f>(J630/J612)*BK79</f>
        <v>0</v>
      </c>
      <c r="N635" s="198" t="s">
        <v>636</v>
      </c>
    </row>
    <row r="636" spans="1:14" ht="12.6" customHeight="1" x14ac:dyDescent="0.25">
      <c r="A636" s="195">
        <v>8480</v>
      </c>
      <c r="B636" s="199" t="s">
        <v>637</v>
      </c>
      <c r="C636" s="179">
        <f>BH71</f>
        <v>25983263.009999998</v>
      </c>
      <c r="D636" s="179">
        <f>(D615/D612)*BH76</f>
        <v>386232.75746528816</v>
      </c>
      <c r="E636" s="179">
        <f>(E623/E612)*SUM(C636:D636)</f>
        <v>1185251.3036380515</v>
      </c>
      <c r="F636" s="179">
        <f>(F624/F612)*BH64</f>
        <v>28386.148164684608</v>
      </c>
      <c r="G636" s="179">
        <f>(G625/G612)*BH77</f>
        <v>0</v>
      </c>
      <c r="H636" s="179">
        <f>(H628/H612)*BH60</f>
        <v>281692.07905066106</v>
      </c>
      <c r="I636" s="179">
        <f>(I629/I612)*BH78</f>
        <v>113220.26524668581</v>
      </c>
      <c r="J636" s="179">
        <f>(J630/J612)*BH79</f>
        <v>0</v>
      </c>
      <c r="N636" s="198" t="s">
        <v>638</v>
      </c>
    </row>
    <row r="637" spans="1:14" ht="12.6" customHeight="1" x14ac:dyDescent="0.25">
      <c r="A637" s="195">
        <v>8560</v>
      </c>
      <c r="B637" s="199" t="s">
        <v>147</v>
      </c>
      <c r="C637" s="179">
        <f>BL71</f>
        <v>4078645.0099999988</v>
      </c>
      <c r="D637" s="179">
        <f>(D615/D612)*BL76</f>
        <v>130838.08828204923</v>
      </c>
      <c r="E637" s="179">
        <f>(E623/E612)*SUM(C637:D637)</f>
        <v>189207.08131389227</v>
      </c>
      <c r="F637" s="179">
        <f>(F624/F612)*BL64</f>
        <v>1310.5608394703759</v>
      </c>
      <c r="G637" s="179">
        <f>(G625/G612)*BL77</f>
        <v>0</v>
      </c>
      <c r="H637" s="179">
        <f>(H628/H612)*BL60</f>
        <v>215513.10333273149</v>
      </c>
      <c r="I637" s="179">
        <f>(I629/I612)*BL78</f>
        <v>38381.790237718145</v>
      </c>
      <c r="J637" s="179">
        <f>(J630/J612)*BL79</f>
        <v>0</v>
      </c>
      <c r="N637" s="198" t="s">
        <v>639</v>
      </c>
    </row>
    <row r="638" spans="1:14" ht="12.6" customHeight="1" x14ac:dyDescent="0.25">
      <c r="A638" s="195">
        <v>8590</v>
      </c>
      <c r="B638" s="199" t="s">
        <v>640</v>
      </c>
      <c r="C638" s="179">
        <f>BM71</f>
        <v>2543740.3800000004</v>
      </c>
      <c r="D638" s="179">
        <f>(D615/D612)*BM76</f>
        <v>110828.63204338388</v>
      </c>
      <c r="E638" s="179">
        <f>(E623/E612)*SUM(C638:D638)</f>
        <v>119317.08553955525</v>
      </c>
      <c r="F638" s="179">
        <f>(F624/F612)*BM64</f>
        <v>195.55385052216533</v>
      </c>
      <c r="G638" s="179">
        <f>(G625/G612)*BM77</f>
        <v>0</v>
      </c>
      <c r="H638" s="179">
        <f>(H628/H612)*BM60</f>
        <v>56088.689753248123</v>
      </c>
      <c r="I638" s="179">
        <f>(I629/I612)*BM78</f>
        <v>32486.15474665799</v>
      </c>
      <c r="J638" s="179">
        <f>(J630/J612)*BM79</f>
        <v>0</v>
      </c>
      <c r="N638" s="198" t="s">
        <v>641</v>
      </c>
    </row>
    <row r="639" spans="1:14" ht="12.6" customHeight="1" x14ac:dyDescent="0.25">
      <c r="A639" s="195">
        <v>8660</v>
      </c>
      <c r="B639" s="199" t="s">
        <v>642</v>
      </c>
      <c r="C639" s="179">
        <f>BS71</f>
        <v>458068.66999999981</v>
      </c>
      <c r="D639" s="179">
        <f>(D615/D612)*BS76</f>
        <v>86205.123110414424</v>
      </c>
      <c r="E639" s="179">
        <f>(E623/E612)*SUM(C639:D639)</f>
        <v>24463.919542066942</v>
      </c>
      <c r="F639" s="179">
        <f>(F624/F612)*BS64</f>
        <v>16910.541141904101</v>
      </c>
      <c r="G639" s="179">
        <f>(G625/G612)*BS77</f>
        <v>0</v>
      </c>
      <c r="H639" s="179">
        <f>(H628/H612)*BS60</f>
        <v>25866.160564141792</v>
      </c>
      <c r="I639" s="179">
        <f>(I629/I612)*BS78</f>
        <v>25267.00924740066</v>
      </c>
      <c r="J639" s="179">
        <f>(J630/J612)*BS79</f>
        <v>0</v>
      </c>
      <c r="N639" s="198" t="s">
        <v>643</v>
      </c>
    </row>
    <row r="640" spans="1:14" ht="12.6" customHeight="1" x14ac:dyDescent="0.25">
      <c r="A640" s="195">
        <v>8670</v>
      </c>
      <c r="B640" s="199" t="s">
        <v>644</v>
      </c>
      <c r="C640" s="179">
        <f>BT71</f>
        <v>338222.60000000003</v>
      </c>
      <c r="D640" s="179">
        <f>(D615/D612)*BT76</f>
        <v>21539.859855092953</v>
      </c>
      <c r="E640" s="179">
        <f>(E623/E612)*SUM(C640:D640)</f>
        <v>16170.537666077975</v>
      </c>
      <c r="F640" s="179">
        <f>(F624/F612)*BT64</f>
        <v>72.893606044640393</v>
      </c>
      <c r="G640" s="179">
        <f>(G625/G612)*BT77</f>
        <v>0</v>
      </c>
      <c r="H640" s="179">
        <f>(H628/H612)*BT60</f>
        <v>11197.950982017548</v>
      </c>
      <c r="I640" s="179">
        <f>(I629/I612)*BT78</f>
        <v>6316.7523118501649</v>
      </c>
      <c r="J640" s="179">
        <f>(J630/J612)*BT79</f>
        <v>0</v>
      </c>
      <c r="N640" s="198" t="s">
        <v>645</v>
      </c>
    </row>
    <row r="641" spans="1:14" ht="12.6" customHeight="1" x14ac:dyDescent="0.25">
      <c r="A641" s="195">
        <v>8680</v>
      </c>
      <c r="B641" s="199" t="s">
        <v>646</v>
      </c>
      <c r="C641" s="179">
        <f>BU71</f>
        <v>281472.7</v>
      </c>
      <c r="D641" s="179">
        <f>(D615/D612)*BU76</f>
        <v>9547.891218906525</v>
      </c>
      <c r="E641" s="179">
        <f>(E623/E612)*SUM(C641:D641)</f>
        <v>13080.740647051112</v>
      </c>
      <c r="F641" s="179">
        <f>(F624/F612)*BU64</f>
        <v>0</v>
      </c>
      <c r="G641" s="179">
        <f>(G625/G612)*BU77</f>
        <v>0</v>
      </c>
      <c r="H641" s="179">
        <f>(H628/H612)*BU60</f>
        <v>1043.6927016999241</v>
      </c>
      <c r="I641" s="179">
        <f>(I629/I612)*BU78</f>
        <v>2827.498653875788</v>
      </c>
      <c r="J641" s="179">
        <f>(J630/J612)*BU79</f>
        <v>0</v>
      </c>
      <c r="N641" s="198" t="s">
        <v>647</v>
      </c>
    </row>
    <row r="642" spans="1:14" ht="12.6" customHeight="1" x14ac:dyDescent="0.25">
      <c r="A642" s="195">
        <v>8690</v>
      </c>
      <c r="B642" s="199" t="s">
        <v>648</v>
      </c>
      <c r="C642" s="179">
        <f>BV71</f>
        <v>6774752.0100000007</v>
      </c>
      <c r="D642" s="179">
        <f>(D615/D612)*BV76</f>
        <v>174900.00732815135</v>
      </c>
      <c r="E642" s="179">
        <f>(E623/E612)*SUM(C642:D642)</f>
        <v>312371.69591736869</v>
      </c>
      <c r="F642" s="179">
        <f>(F624/F612)*BV64</f>
        <v>1278.7058169787456</v>
      </c>
      <c r="G642" s="179">
        <f>(G625/G612)*BV77</f>
        <v>0</v>
      </c>
      <c r="H642" s="179">
        <f>(H628/H612)*BV60</f>
        <v>202962.52975059813</v>
      </c>
      <c r="I642" s="179">
        <f>(I629/I612)*BV78</f>
        <v>51255.933044727055</v>
      </c>
      <c r="J642" s="179">
        <f>(J630/J612)*BV79</f>
        <v>0</v>
      </c>
      <c r="N642" s="198" t="s">
        <v>649</v>
      </c>
    </row>
    <row r="643" spans="1:14" ht="12.6" customHeight="1" x14ac:dyDescent="0.25">
      <c r="A643" s="195">
        <v>8700</v>
      </c>
      <c r="B643" s="199" t="s">
        <v>650</v>
      </c>
      <c r="C643" s="179">
        <f>BW71</f>
        <v>2672734.5830000001</v>
      </c>
      <c r="D643" s="179">
        <f>(D615/D612)*BW76</f>
        <v>78256.161042999418</v>
      </c>
      <c r="E643" s="179">
        <f>(E623/E612)*SUM(C643:D643)</f>
        <v>123651.03202679096</v>
      </c>
      <c r="F643" s="179">
        <f>(F624/F612)*BW64</f>
        <v>67.698959200571338</v>
      </c>
      <c r="G643" s="179">
        <f>(G625/G612)*BW77</f>
        <v>0</v>
      </c>
      <c r="H643" s="179">
        <f>(H628/H612)*BW60</f>
        <v>23543.806871540572</v>
      </c>
      <c r="I643" s="179">
        <f>(I629/I612)*BW78</f>
        <v>22920.786960142028</v>
      </c>
      <c r="J643" s="179">
        <f>(J630/J612)*BW79</f>
        <v>0</v>
      </c>
      <c r="N643" s="198" t="s">
        <v>651</v>
      </c>
    </row>
    <row r="644" spans="1:14" ht="12.6" customHeight="1" x14ac:dyDescent="0.25">
      <c r="A644" s="195">
        <v>8710</v>
      </c>
      <c r="B644" s="199" t="s">
        <v>652</v>
      </c>
      <c r="C644" s="179">
        <f>BX71</f>
        <v>6515576.5499999998</v>
      </c>
      <c r="D644" s="179">
        <f>(D615/D612)*BX76</f>
        <v>79306.885913979568</v>
      </c>
      <c r="E644" s="179">
        <f>(E623/E612)*SUM(C644:D644)</f>
        <v>296425.62219191762</v>
      </c>
      <c r="F644" s="179">
        <f>(F624/F612)*BX64</f>
        <v>561.94775311646663</v>
      </c>
      <c r="G644" s="179">
        <f>(G625/G612)*BX77</f>
        <v>0</v>
      </c>
      <c r="H644" s="179">
        <f>(H628/H612)*BX60</f>
        <v>166318.4397278227</v>
      </c>
      <c r="I644" s="179">
        <f>(I629/I612)*BX78</f>
        <v>23221.584689277748</v>
      </c>
      <c r="J644" s="179">
        <f>(J630/J612)*BX79</f>
        <v>0</v>
      </c>
      <c r="K644" s="179">
        <f>SUM(C631:J644)</f>
        <v>71698003.882222533</v>
      </c>
      <c r="N644" s="198" t="s">
        <v>653</v>
      </c>
    </row>
    <row r="645" spans="1:14" ht="12.6" customHeight="1" x14ac:dyDescent="0.25">
      <c r="A645" s="195">
        <v>8720</v>
      </c>
      <c r="B645" s="199" t="s">
        <v>654</v>
      </c>
      <c r="C645" s="179">
        <f>BY71</f>
        <v>2420065.11</v>
      </c>
      <c r="D645" s="179">
        <f>(D615/D612)*BY76</f>
        <v>71860.444437033322</v>
      </c>
      <c r="E645" s="179">
        <f>(E623/E612)*SUM(C645:D645)</f>
        <v>112006.61696419585</v>
      </c>
      <c r="F645" s="179">
        <f>(F624/F612)*BY64</f>
        <v>76.850492483564736</v>
      </c>
      <c r="G645" s="179">
        <f>(G625/G612)*BY77</f>
        <v>0</v>
      </c>
      <c r="H645" s="179">
        <f>(H628/H612)*BY60</f>
        <v>53262.819121127031</v>
      </c>
      <c r="I645" s="179">
        <f>(I629/I612)*BY78</f>
        <v>21055.841039500549</v>
      </c>
      <c r="J645" s="179">
        <f>(J630/J612)*BY79</f>
        <v>0</v>
      </c>
      <c r="K645" s="179">
        <v>0</v>
      </c>
      <c r="N645" s="198" t="s">
        <v>655</v>
      </c>
    </row>
    <row r="646" spans="1:14" ht="12.6" customHeight="1" x14ac:dyDescent="0.25">
      <c r="A646" s="195">
        <v>8730</v>
      </c>
      <c r="B646" s="199" t="s">
        <v>656</v>
      </c>
      <c r="C646" s="179">
        <f>BZ71</f>
        <v>3512821.2799999989</v>
      </c>
      <c r="D646" s="179">
        <f>(D615/D612)*BZ76</f>
        <v>0</v>
      </c>
      <c r="E646" s="179">
        <f>(E623/E612)*SUM(C646:D646)</f>
        <v>157893.65250982586</v>
      </c>
      <c r="F646" s="179">
        <f>(F624/F612)*BZ64</f>
        <v>118.6493313821293</v>
      </c>
      <c r="G646" s="179">
        <f>(G625/G612)*BZ77</f>
        <v>0</v>
      </c>
      <c r="H646" s="179">
        <f>(H628/H612)*BZ60</f>
        <v>99208.21368669541</v>
      </c>
      <c r="I646" s="179">
        <f>(I629/I612)*BZ78</f>
        <v>0</v>
      </c>
      <c r="J646" s="179">
        <f>(J630/J612)*BZ79</f>
        <v>0</v>
      </c>
      <c r="K646" s="179">
        <v>0</v>
      </c>
      <c r="N646" s="198" t="s">
        <v>657</v>
      </c>
    </row>
    <row r="647" spans="1:14" ht="12.6" customHeight="1" x14ac:dyDescent="0.25">
      <c r="A647" s="195">
        <v>8740</v>
      </c>
      <c r="B647" s="199" t="s">
        <v>658</v>
      </c>
      <c r="C647" s="179">
        <f>CA71</f>
        <v>1391892.71</v>
      </c>
      <c r="D647" s="179">
        <f>(D615/D612)*CA76</f>
        <v>81248.442740790691</v>
      </c>
      <c r="E647" s="179">
        <f>(E623/E612)*SUM(C647:D647)</f>
        <v>66214.480820037264</v>
      </c>
      <c r="F647" s="179">
        <f>(F624/F612)*CA64</f>
        <v>1677.5681225477283</v>
      </c>
      <c r="G647" s="179">
        <f>(G625/G612)*CA77</f>
        <v>0</v>
      </c>
      <c r="H647" s="179">
        <f>(H628/H612)*CA60</f>
        <v>30201.812399436778</v>
      </c>
      <c r="I647" s="179">
        <f>(I629/I612)*CA78</f>
        <v>23823.180147549192</v>
      </c>
      <c r="J647" s="179">
        <f>(J630/J612)*CA79</f>
        <v>0</v>
      </c>
      <c r="K647" s="179">
        <v>0</v>
      </c>
      <c r="L647" s="179">
        <f>SUM(C645:K647)</f>
        <v>8043427.6718126051</v>
      </c>
      <c r="N647" s="198" t="s">
        <v>659</v>
      </c>
    </row>
    <row r="648" spans="1:14" ht="12.6" customHeight="1" x14ac:dyDescent="0.25">
      <c r="A648" s="195"/>
      <c r="B648" s="195"/>
      <c r="C648" s="179">
        <f>SUM(C614:C647)</f>
        <v>141094564.08800003</v>
      </c>
      <c r="L648" s="265"/>
    </row>
    <row r="666" spans="1:14" ht="12.6" customHeight="1" x14ac:dyDescent="0.25">
      <c r="C666" s="180" t="s">
        <v>660</v>
      </c>
      <c r="M666" s="180" t="s">
        <v>661</v>
      </c>
    </row>
    <row r="667" spans="1:14" ht="12.6" customHeight="1" x14ac:dyDescent="0.25">
      <c r="C667" s="180" t="s">
        <v>590</v>
      </c>
      <c r="D667" s="180" t="s">
        <v>591</v>
      </c>
      <c r="E667" s="197" t="s">
        <v>592</v>
      </c>
      <c r="F667" s="180" t="s">
        <v>593</v>
      </c>
      <c r="G667" s="180" t="s">
        <v>594</v>
      </c>
      <c r="H667" s="180" t="s">
        <v>595</v>
      </c>
      <c r="I667" s="180" t="s">
        <v>596</v>
      </c>
      <c r="J667" s="180" t="s">
        <v>597</v>
      </c>
      <c r="K667" s="180" t="s">
        <v>598</v>
      </c>
      <c r="L667" s="197" t="s">
        <v>599</v>
      </c>
      <c r="M667" s="180" t="s">
        <v>662</v>
      </c>
    </row>
    <row r="668" spans="1:14" ht="12.6" customHeight="1" x14ac:dyDescent="0.25">
      <c r="A668" s="195">
        <v>6010</v>
      </c>
      <c r="B668" s="197" t="s">
        <v>283</v>
      </c>
      <c r="C668" s="179">
        <f>C71</f>
        <v>20158120.219000004</v>
      </c>
      <c r="D668" s="179">
        <f>(D615/D612)*C76</f>
        <v>730550.72931647708</v>
      </c>
      <c r="E668" s="179">
        <f>(E623/E612)*SUM(C668:D668)</f>
        <v>938900.18569506553</v>
      </c>
      <c r="F668" s="179">
        <f>(F624/F612)*C64</f>
        <v>51632.423780113422</v>
      </c>
      <c r="G668" s="179">
        <f>(G625/G612)*C77</f>
        <v>0</v>
      </c>
      <c r="H668" s="179">
        <f>(H628/H612)*C60</f>
        <v>466596.41621569317</v>
      </c>
      <c r="I668" s="179">
        <f>(I629/I612)*C78</f>
        <v>214167.98314463417</v>
      </c>
      <c r="J668" s="179">
        <f>(J630/J612)*C79</f>
        <v>33018.298719021172</v>
      </c>
      <c r="K668" s="179">
        <f>(K644/K612)*C75</f>
        <v>3087581.2482963339</v>
      </c>
      <c r="L668" s="179">
        <f>(L647/L612)*C80</f>
        <v>877421.12894292828</v>
      </c>
      <c r="M668" s="179">
        <f t="shared" ref="M668:M713" si="21">ROUND(SUM(D668:L668),0)</f>
        <v>6399868</v>
      </c>
      <c r="N668" s="197" t="s">
        <v>663</v>
      </c>
    </row>
    <row r="669" spans="1:14" ht="12.6" customHeight="1" x14ac:dyDescent="0.25">
      <c r="A669" s="195">
        <v>6030</v>
      </c>
      <c r="B669" s="197" t="s">
        <v>284</v>
      </c>
      <c r="C669" s="179">
        <f>D71</f>
        <v>11662919.589000002</v>
      </c>
      <c r="D669" s="179">
        <f>(D615/D612)*D76</f>
        <v>560767.29527309863</v>
      </c>
      <c r="E669" s="179">
        <f>(E623/E612)*SUM(C669:D669)</f>
        <v>549428.05666855141</v>
      </c>
      <c r="F669" s="179">
        <f>(F624/F612)*D64</f>
        <v>28381.814709214948</v>
      </c>
      <c r="G669" s="179">
        <f>(G625/G612)*D77</f>
        <v>0</v>
      </c>
      <c r="H669" s="179">
        <f>(H628/H612)*D60</f>
        <v>269563.36464497558</v>
      </c>
      <c r="I669" s="179">
        <f>(I629/I612)*D78</f>
        <v>164416.03874558571</v>
      </c>
      <c r="J669" s="179">
        <f>(J630/J612)*D79</f>
        <v>41991.538870564713</v>
      </c>
      <c r="K669" s="179">
        <f>(K644/K612)*D75</f>
        <v>1973100.337317436</v>
      </c>
      <c r="L669" s="179">
        <f>(L647/L612)*D80</f>
        <v>432313.49002864398</v>
      </c>
      <c r="M669" s="179">
        <f t="shared" si="21"/>
        <v>4019962</v>
      </c>
      <c r="N669" s="197" t="s">
        <v>664</v>
      </c>
    </row>
    <row r="670" spans="1:14" ht="12.6" customHeight="1" x14ac:dyDescent="0.25">
      <c r="A670" s="195">
        <v>6070</v>
      </c>
      <c r="B670" s="197" t="s">
        <v>665</v>
      </c>
      <c r="C670" s="179">
        <f>E71</f>
        <v>27575751.002</v>
      </c>
      <c r="D670" s="179">
        <f>(D615/D612)*E76</f>
        <v>2606779.8793666731</v>
      </c>
      <c r="E670" s="179">
        <f>(E623/E612)*SUM(C670:D670)</f>
        <v>1356638.9129963364</v>
      </c>
      <c r="F670" s="179">
        <f>(F624/F612)*E64</f>
        <v>63027.041286201398</v>
      </c>
      <c r="G670" s="179">
        <f>(G625/G612)*E77</f>
        <v>0</v>
      </c>
      <c r="H670" s="179">
        <f>(H628/H612)*E60</f>
        <v>782222.76951589307</v>
      </c>
      <c r="I670" s="179">
        <f>(I629/I612)*E78</f>
        <v>764266.87018804275</v>
      </c>
      <c r="J670" s="179">
        <f>(J630/J612)*E79</f>
        <v>99472.144643638778</v>
      </c>
      <c r="K670" s="179">
        <f>(K644/K612)*E75</f>
        <v>4517511.4050931074</v>
      </c>
      <c r="L670" s="179">
        <f>(L647/L612)*E80</f>
        <v>1253127.7559362052</v>
      </c>
      <c r="M670" s="179">
        <f t="shared" si="21"/>
        <v>11443047</v>
      </c>
      <c r="N670" s="197" t="s">
        <v>666</v>
      </c>
    </row>
    <row r="671" spans="1:14" ht="12.6" customHeight="1" x14ac:dyDescent="0.25">
      <c r="A671" s="195">
        <v>6100</v>
      </c>
      <c r="B671" s="197" t="s">
        <v>667</v>
      </c>
      <c r="C671" s="179">
        <f>F71</f>
        <v>1650496.7399999995</v>
      </c>
      <c r="D671" s="179">
        <f>(D615/D612)*F76</f>
        <v>3449.1185982174293</v>
      </c>
      <c r="E671" s="179">
        <f>(E623/E612)*SUM(C671:D671)</f>
        <v>74341.257881349578</v>
      </c>
      <c r="F671" s="179">
        <f>(F624/F612)*F64</f>
        <v>3.4457360363818972</v>
      </c>
      <c r="G671" s="179">
        <f>(G625/G612)*F77</f>
        <v>0</v>
      </c>
      <c r="H671" s="179">
        <f>(H628/H612)*F60</f>
        <v>14897.507847768635</v>
      </c>
      <c r="I671" s="179">
        <f>(I629/I612)*F78</f>
        <v>3642.0589043753234</v>
      </c>
      <c r="J671" s="179">
        <f>(J630/J612)*F79</f>
        <v>0</v>
      </c>
      <c r="K671" s="179">
        <f>(K644/K612)*F75</f>
        <v>25615.323220488932</v>
      </c>
      <c r="L671" s="179">
        <f>(L647/L612)*F80</f>
        <v>0</v>
      </c>
      <c r="M671" s="179">
        <f t="shared" si="21"/>
        <v>121949</v>
      </c>
      <c r="N671" s="197" t="s">
        <v>668</v>
      </c>
    </row>
    <row r="672" spans="1:14" ht="12.6" customHeight="1" x14ac:dyDescent="0.25">
      <c r="A672" s="195">
        <v>6120</v>
      </c>
      <c r="B672" s="197" t="s">
        <v>669</v>
      </c>
      <c r="C672" s="179">
        <f>G71</f>
        <v>2220227.642</v>
      </c>
      <c r="D672" s="179">
        <f>(D615/D612)*G76</f>
        <v>204982.7172212133</v>
      </c>
      <c r="E672" s="179">
        <f>(E623/E612)*SUM(C672:D672)</f>
        <v>109007.91449376107</v>
      </c>
      <c r="F672" s="179">
        <f>(F624/F612)*G64</f>
        <v>2402.1665218566045</v>
      </c>
      <c r="G672" s="179">
        <f>(G625/G612)*G77</f>
        <v>0</v>
      </c>
      <c r="H672" s="179">
        <f>(H628/H612)*G60</f>
        <v>57267.332156874392</v>
      </c>
      <c r="I672" s="179">
        <f>(I629/I612)*G78</f>
        <v>60099.386281317282</v>
      </c>
      <c r="J672" s="179">
        <f>(J630/J612)*G79</f>
        <v>6578.0019391248907</v>
      </c>
      <c r="K672" s="179">
        <f>(K644/K612)*G75</f>
        <v>522168.18575828418</v>
      </c>
      <c r="L672" s="179">
        <f>(L647/L612)*G80</f>
        <v>90611.550633205203</v>
      </c>
      <c r="M672" s="179">
        <f t="shared" si="21"/>
        <v>1053117</v>
      </c>
      <c r="N672" s="197" t="s">
        <v>670</v>
      </c>
    </row>
    <row r="673" spans="1:14" ht="12.6" customHeight="1" x14ac:dyDescent="0.25">
      <c r="A673" s="195">
        <v>6140</v>
      </c>
      <c r="B673" s="197" t="s">
        <v>671</v>
      </c>
      <c r="C673" s="179">
        <f>H71</f>
        <v>0</v>
      </c>
      <c r="D673" s="179">
        <f>(D615/D612)*H76</f>
        <v>0</v>
      </c>
      <c r="E673" s="179">
        <f>(E623/E612)*SUM(C673:D673)</f>
        <v>0</v>
      </c>
      <c r="F673" s="179">
        <f>(F624/F612)*H64</f>
        <v>0</v>
      </c>
      <c r="G673" s="179">
        <f>(G625/G612)*H77</f>
        <v>0</v>
      </c>
      <c r="H673" s="179">
        <f>(H628/H612)*H60</f>
        <v>0</v>
      </c>
      <c r="I673" s="179">
        <f>(I629/I612)*H78</f>
        <v>0</v>
      </c>
      <c r="J673" s="179">
        <f>(J630/J612)*H79</f>
        <v>0</v>
      </c>
      <c r="K673" s="179">
        <f>(K644/K612)*H75</f>
        <v>0</v>
      </c>
      <c r="L673" s="179">
        <f>(L647/L612)*H80</f>
        <v>0</v>
      </c>
      <c r="M673" s="179">
        <f t="shared" si="21"/>
        <v>0</v>
      </c>
      <c r="N673" s="197" t="s">
        <v>672</v>
      </c>
    </row>
    <row r="674" spans="1:14" ht="12.6" customHeight="1" x14ac:dyDescent="0.25">
      <c r="A674" s="195">
        <v>6150</v>
      </c>
      <c r="B674" s="197" t="s">
        <v>673</v>
      </c>
      <c r="C674" s="179">
        <f>I71</f>
        <v>0</v>
      </c>
      <c r="D674" s="179">
        <f>(D615/D612)*I76</f>
        <v>0</v>
      </c>
      <c r="E674" s="179">
        <f>(E623/E612)*SUM(C674:D674)</f>
        <v>0</v>
      </c>
      <c r="F674" s="179">
        <f>(F624/F612)*I64</f>
        <v>0</v>
      </c>
      <c r="G674" s="179">
        <f>(G625/G612)*I77</f>
        <v>0</v>
      </c>
      <c r="H674" s="179">
        <f>(H628/H612)*I60</f>
        <v>0</v>
      </c>
      <c r="I674" s="179">
        <f>(I629/I612)*I78</f>
        <v>0</v>
      </c>
      <c r="J674" s="179">
        <f>(J630/J612)*I79</f>
        <v>0</v>
      </c>
      <c r="K674" s="179">
        <f>(K644/K612)*I75</f>
        <v>0</v>
      </c>
      <c r="L674" s="179">
        <f>(L647/L612)*I80</f>
        <v>0</v>
      </c>
      <c r="M674" s="179">
        <f t="shared" si="21"/>
        <v>0</v>
      </c>
      <c r="N674" s="197" t="s">
        <v>674</v>
      </c>
    </row>
    <row r="675" spans="1:14" ht="12.6" customHeight="1" x14ac:dyDescent="0.25">
      <c r="A675" s="195">
        <v>6170</v>
      </c>
      <c r="B675" s="197" t="s">
        <v>99</v>
      </c>
      <c r="C675" s="179">
        <f>J71</f>
        <v>0</v>
      </c>
      <c r="D675" s="179">
        <f>(D615/D612)*J76</f>
        <v>0</v>
      </c>
      <c r="E675" s="179">
        <f>(E623/E612)*SUM(C675:D675)</f>
        <v>0</v>
      </c>
      <c r="F675" s="179">
        <f>(F624/F612)*J64</f>
        <v>0</v>
      </c>
      <c r="G675" s="179">
        <f>(G625/G612)*J77</f>
        <v>0</v>
      </c>
      <c r="H675" s="179">
        <f>(H628/H612)*J60</f>
        <v>0</v>
      </c>
      <c r="I675" s="179">
        <f>(I629/I612)*J78</f>
        <v>0</v>
      </c>
      <c r="J675" s="179">
        <f>(J630/J612)*J79</f>
        <v>0</v>
      </c>
      <c r="K675" s="179">
        <f>(K644/K612)*J75</f>
        <v>0</v>
      </c>
      <c r="L675" s="179">
        <f>(L647/L612)*J80</f>
        <v>0</v>
      </c>
      <c r="M675" s="179">
        <f t="shared" si="21"/>
        <v>0</v>
      </c>
      <c r="N675" s="197" t="s">
        <v>675</v>
      </c>
    </row>
    <row r="676" spans="1:14" ht="12.6" customHeight="1" x14ac:dyDescent="0.25">
      <c r="A676" s="195">
        <v>6200</v>
      </c>
      <c r="B676" s="197" t="s">
        <v>288</v>
      </c>
      <c r="C676" s="179">
        <f>K71</f>
        <v>0</v>
      </c>
      <c r="D676" s="179">
        <f>(D615/D612)*K76</f>
        <v>0</v>
      </c>
      <c r="E676" s="179">
        <f>(E623/E612)*SUM(C676:D676)</f>
        <v>0</v>
      </c>
      <c r="F676" s="179">
        <f>(F624/F612)*K64</f>
        <v>0</v>
      </c>
      <c r="G676" s="179">
        <f>(G625/G612)*K77</f>
        <v>0</v>
      </c>
      <c r="H676" s="179">
        <f>(H628/H612)*K60</f>
        <v>0</v>
      </c>
      <c r="I676" s="179">
        <f>(I629/I612)*K78</f>
        <v>0</v>
      </c>
      <c r="J676" s="179">
        <f>(J630/J612)*K79</f>
        <v>0</v>
      </c>
      <c r="K676" s="179">
        <f>(K644/K612)*K75</f>
        <v>0</v>
      </c>
      <c r="L676" s="179">
        <f>(L647/L612)*K80</f>
        <v>0</v>
      </c>
      <c r="M676" s="179">
        <f t="shared" si="21"/>
        <v>0</v>
      </c>
      <c r="N676" s="197" t="s">
        <v>676</v>
      </c>
    </row>
    <row r="677" spans="1:14" ht="12.6" customHeight="1" x14ac:dyDescent="0.25">
      <c r="A677" s="195">
        <v>6210</v>
      </c>
      <c r="B677" s="197" t="s">
        <v>289</v>
      </c>
      <c r="C677" s="179">
        <f>L71</f>
        <v>0</v>
      </c>
      <c r="D677" s="179">
        <f>(D615/D612)*L76</f>
        <v>0</v>
      </c>
      <c r="E677" s="179">
        <f>(E623/E612)*SUM(C677:D677)</f>
        <v>0</v>
      </c>
      <c r="F677" s="179">
        <f>(F624/F612)*L64</f>
        <v>0</v>
      </c>
      <c r="G677" s="179">
        <f>(G625/G612)*L77</f>
        <v>0</v>
      </c>
      <c r="H677" s="179">
        <f>(H628/H612)*L60</f>
        <v>0</v>
      </c>
      <c r="I677" s="179">
        <f>(I629/I612)*L78</f>
        <v>0</v>
      </c>
      <c r="J677" s="179">
        <f>(J630/J612)*L79</f>
        <v>0</v>
      </c>
      <c r="K677" s="179">
        <f>(K644/K612)*L75</f>
        <v>0</v>
      </c>
      <c r="L677" s="179">
        <f>(L647/L612)*L80</f>
        <v>0</v>
      </c>
      <c r="M677" s="179">
        <f t="shared" si="21"/>
        <v>0</v>
      </c>
      <c r="N677" s="197" t="s">
        <v>677</v>
      </c>
    </row>
    <row r="678" spans="1:14" ht="12.6" customHeight="1" x14ac:dyDescent="0.25">
      <c r="A678" s="195">
        <v>6330</v>
      </c>
      <c r="B678" s="197" t="s">
        <v>678</v>
      </c>
      <c r="C678" s="179">
        <f>M71</f>
        <v>5456566.5599999996</v>
      </c>
      <c r="D678" s="179">
        <f>(D615/D612)*M76</f>
        <v>468714.65983722947</v>
      </c>
      <c r="E678" s="179">
        <f>(E623/E612)*SUM(C678:D678)</f>
        <v>266328.46347024426</v>
      </c>
      <c r="F678" s="179">
        <f>(F624/F612)*M64</f>
        <v>5499.1973711880955</v>
      </c>
      <c r="G678" s="179">
        <f>(G625/G612)*M77</f>
        <v>0</v>
      </c>
      <c r="H678" s="179">
        <f>(H628/H612)*M60</f>
        <v>146234.69797913675</v>
      </c>
      <c r="I678" s="179">
        <f>(I629/I612)*M78</f>
        <v>137404.40266919788</v>
      </c>
      <c r="J678" s="179">
        <f>(J630/J612)*M79</f>
        <v>7604.3606457523028</v>
      </c>
      <c r="K678" s="179">
        <f>(K644/K612)*M75</f>
        <v>304131.66432527697</v>
      </c>
      <c r="L678" s="179">
        <f>(L647/L612)*M80</f>
        <v>154894.81209192181</v>
      </c>
      <c r="M678" s="179">
        <f t="shared" si="21"/>
        <v>1490812</v>
      </c>
      <c r="N678" s="197" t="s">
        <v>679</v>
      </c>
    </row>
    <row r="679" spans="1:14" ht="12.6" customHeight="1" x14ac:dyDescent="0.25">
      <c r="A679" s="195">
        <v>6400</v>
      </c>
      <c r="B679" s="197" t="s">
        <v>680</v>
      </c>
      <c r="C679" s="179">
        <f>N71</f>
        <v>14971301.550000003</v>
      </c>
      <c r="D679" s="179">
        <f>(D615/D612)*N76</f>
        <v>116790.35359394514</v>
      </c>
      <c r="E679" s="179">
        <f>(E623/E612)*SUM(C679:D679)</f>
        <v>678176.8129297999</v>
      </c>
      <c r="F679" s="179">
        <f>(F624/F612)*N64</f>
        <v>163.85152612547228</v>
      </c>
      <c r="G679" s="179">
        <f>(G625/G612)*N77</f>
        <v>0</v>
      </c>
      <c r="H679" s="179">
        <f>(H628/H612)*N60</f>
        <v>133349.5144750016</v>
      </c>
      <c r="I679" s="179">
        <f>(I629/I612)*N78</f>
        <v>34230.781575645182</v>
      </c>
      <c r="J679" s="179">
        <f>(J630/J612)*N79</f>
        <v>0</v>
      </c>
      <c r="K679" s="179">
        <f>(K644/K612)*N75</f>
        <v>607844.81857071631</v>
      </c>
      <c r="L679" s="179">
        <f>(L647/L612)*N80</f>
        <v>0</v>
      </c>
      <c r="M679" s="179">
        <f t="shared" si="21"/>
        <v>1570556</v>
      </c>
      <c r="N679" s="197" t="s">
        <v>681</v>
      </c>
    </row>
    <row r="680" spans="1:14" ht="12.6" customHeight="1" x14ac:dyDescent="0.25">
      <c r="A680" s="195">
        <v>7010</v>
      </c>
      <c r="B680" s="197" t="s">
        <v>682</v>
      </c>
      <c r="C680" s="179">
        <f>O71</f>
        <v>23824663.800000004</v>
      </c>
      <c r="D680" s="179">
        <f>(D615/D612)*O76</f>
        <v>1238895.9902656749</v>
      </c>
      <c r="E680" s="179">
        <f>(E623/E612)*SUM(C680:D680)</f>
        <v>1126552.3306621094</v>
      </c>
      <c r="F680" s="179">
        <f>(F624/F612)*O64</f>
        <v>57212.392620290659</v>
      </c>
      <c r="G680" s="179">
        <f>(G625/G612)*O77</f>
        <v>0</v>
      </c>
      <c r="H680" s="179">
        <f>(H628/H612)*O60</f>
        <v>600626.69476548466</v>
      </c>
      <c r="I680" s="179">
        <f>(I629/I612)*O78</f>
        <v>360563.83153315703</v>
      </c>
      <c r="J680" s="179">
        <f>(J630/J612)*O79</f>
        <v>65351.451170943903</v>
      </c>
      <c r="K680" s="179">
        <f>(K644/K612)*O75</f>
        <v>4291338.8804283356</v>
      </c>
      <c r="L680" s="179">
        <f>(L647/L612)*O80</f>
        <v>1159966.2349270806</v>
      </c>
      <c r="M680" s="179">
        <f t="shared" si="21"/>
        <v>8900508</v>
      </c>
      <c r="N680" s="197" t="s">
        <v>683</v>
      </c>
    </row>
    <row r="681" spans="1:14" ht="12.6" customHeight="1" x14ac:dyDescent="0.25">
      <c r="A681" s="195">
        <v>7020</v>
      </c>
      <c r="B681" s="197" t="s">
        <v>684</v>
      </c>
      <c r="C681" s="179">
        <f>P71</f>
        <v>56719518.371000029</v>
      </c>
      <c r="D681" s="179">
        <f>(D615/D612)*P76</f>
        <v>1727323.1623562928</v>
      </c>
      <c r="E681" s="179">
        <f>(E623/E612)*SUM(C681:D681)</f>
        <v>2627058.0117200334</v>
      </c>
      <c r="F681" s="179">
        <f>(F624/F612)*P64</f>
        <v>1155449.5901220646</v>
      </c>
      <c r="G681" s="179">
        <f>(G625/G612)*P77</f>
        <v>0</v>
      </c>
      <c r="H681" s="179">
        <f>(H628/H612)*P60</f>
        <v>473977.01205862954</v>
      </c>
      <c r="I681" s="179">
        <f>(I629/I612)*P78</f>
        <v>506423.05677290179</v>
      </c>
      <c r="J681" s="179">
        <f>(J630/J612)*P79</f>
        <v>30087.074991120295</v>
      </c>
      <c r="K681" s="179">
        <f>(K644/K612)*P75</f>
        <v>11412457.580892557</v>
      </c>
      <c r="L681" s="179">
        <f>(L647/L612)*P80</f>
        <v>537754.16590631125</v>
      </c>
      <c r="M681" s="179">
        <f t="shared" si="21"/>
        <v>18470530</v>
      </c>
      <c r="N681" s="197" t="s">
        <v>685</v>
      </c>
    </row>
    <row r="682" spans="1:14" ht="12.6" customHeight="1" x14ac:dyDescent="0.25">
      <c r="A682" s="195">
        <v>7030</v>
      </c>
      <c r="B682" s="197" t="s">
        <v>686</v>
      </c>
      <c r="C682" s="179">
        <f>Q71</f>
        <v>4634506.1199999992</v>
      </c>
      <c r="D682" s="179">
        <f>(D615/D612)*Q76</f>
        <v>116927.40466407298</v>
      </c>
      <c r="E682" s="179">
        <f>(E623/E612)*SUM(C682:D682)</f>
        <v>213566.57059047601</v>
      </c>
      <c r="F682" s="179">
        <f>(F624/F612)*Q64</f>
        <v>8303.8029573798303</v>
      </c>
      <c r="G682" s="179">
        <f>(G625/G612)*Q77</f>
        <v>0</v>
      </c>
      <c r="H682" s="179">
        <f>(H628/H612)*Q60</f>
        <v>106221.64016488157</v>
      </c>
      <c r="I682" s="179">
        <f>(I629/I612)*Q78</f>
        <v>34290.941121472322</v>
      </c>
      <c r="J682" s="179">
        <f>(J630/J612)*Q79</f>
        <v>0</v>
      </c>
      <c r="K682" s="179">
        <f>(K644/K612)*Q75</f>
        <v>684301.53223273705</v>
      </c>
      <c r="L682" s="179">
        <f>(L647/L612)*Q80</f>
        <v>217631.93448799427</v>
      </c>
      <c r="M682" s="179">
        <f t="shared" si="21"/>
        <v>1381244</v>
      </c>
      <c r="N682" s="197" t="s">
        <v>687</v>
      </c>
    </row>
    <row r="683" spans="1:14" ht="12.6" customHeight="1" x14ac:dyDescent="0.25">
      <c r="A683" s="195">
        <v>7040</v>
      </c>
      <c r="B683" s="197" t="s">
        <v>107</v>
      </c>
      <c r="C683" s="179">
        <f>R71</f>
        <v>974590.36999999988</v>
      </c>
      <c r="D683" s="179">
        <f>(D615/D612)*R76</f>
        <v>14870.041108871168</v>
      </c>
      <c r="E683" s="179">
        <f>(E623/E612)*SUM(C683:D683)</f>
        <v>44474.086744274551</v>
      </c>
      <c r="F683" s="179">
        <f>(F624/F612)*R64</f>
        <v>12825.238840267009</v>
      </c>
      <c r="G683" s="179">
        <f>(G625/G612)*R77</f>
        <v>0</v>
      </c>
      <c r="H683" s="179">
        <f>(H628/H612)*R60</f>
        <v>14307.84110435444</v>
      </c>
      <c r="I683" s="179">
        <f>(I629/I612)*R78</f>
        <v>4331.4872995543992</v>
      </c>
      <c r="J683" s="179">
        <f>(J630/J612)*R79</f>
        <v>0</v>
      </c>
      <c r="K683" s="179">
        <f>(K644/K612)*R75</f>
        <v>1140567.7561971659</v>
      </c>
      <c r="L683" s="179">
        <f>(L647/L612)*R80</f>
        <v>0</v>
      </c>
      <c r="M683" s="179">
        <f t="shared" si="21"/>
        <v>1231376</v>
      </c>
      <c r="N683" s="197" t="s">
        <v>688</v>
      </c>
    </row>
    <row r="684" spans="1:14" ht="12.6" customHeight="1" x14ac:dyDescent="0.25">
      <c r="A684" s="195">
        <v>7050</v>
      </c>
      <c r="B684" s="197" t="s">
        <v>689</v>
      </c>
      <c r="C684" s="179">
        <f>S71</f>
        <v>2653519.0399999996</v>
      </c>
      <c r="D684" s="179">
        <f>(D615/D612)*S76</f>
        <v>234585.7483688278</v>
      </c>
      <c r="E684" s="179">
        <f>(E623/E612)*SUM(C684:D684)</f>
        <v>129814.00917346751</v>
      </c>
      <c r="F684" s="179">
        <f>(F624/F612)*S64</f>
        <v>18234.040556817072</v>
      </c>
      <c r="G684" s="179">
        <f>(G625/G612)*S77</f>
        <v>0</v>
      </c>
      <c r="H684" s="179">
        <f>(H628/H612)*S60</f>
        <v>67071.54108816589</v>
      </c>
      <c r="I684" s="179">
        <f>(I629/I612)*S78</f>
        <v>68762.360880426088</v>
      </c>
      <c r="J684" s="179">
        <f>(J630/J612)*S79</f>
        <v>3777.4184053423369</v>
      </c>
      <c r="K684" s="179">
        <f>(K644/K612)*S75</f>
        <v>0</v>
      </c>
      <c r="L684" s="179">
        <f>(L647/L612)*S80</f>
        <v>0</v>
      </c>
      <c r="M684" s="179">
        <f t="shared" si="21"/>
        <v>522245</v>
      </c>
      <c r="N684" s="197" t="s">
        <v>690</v>
      </c>
    </row>
    <row r="685" spans="1:14" ht="12.6" customHeight="1" x14ac:dyDescent="0.25">
      <c r="A685" s="195">
        <v>7060</v>
      </c>
      <c r="B685" s="197" t="s">
        <v>691</v>
      </c>
      <c r="C685" s="179">
        <f>T71</f>
        <v>0</v>
      </c>
      <c r="D685" s="179">
        <f>(D615/D612)*T76</f>
        <v>0</v>
      </c>
      <c r="E685" s="179">
        <f>(E623/E612)*SUM(C685:D685)</f>
        <v>0</v>
      </c>
      <c r="F685" s="179">
        <f>(F624/F612)*T64</f>
        <v>0</v>
      </c>
      <c r="G685" s="179">
        <f>(G625/G612)*T77</f>
        <v>0</v>
      </c>
      <c r="H685" s="179">
        <f>(H628/H612)*T60</f>
        <v>0</v>
      </c>
      <c r="I685" s="179">
        <f>(I629/I612)*T78</f>
        <v>0</v>
      </c>
      <c r="J685" s="179">
        <f>(J630/J612)*T79</f>
        <v>0</v>
      </c>
      <c r="K685" s="179">
        <f>(K644/K612)*T75</f>
        <v>0</v>
      </c>
      <c r="L685" s="179">
        <f>(L647/L612)*T80</f>
        <v>0</v>
      </c>
      <c r="M685" s="179">
        <f t="shared" si="21"/>
        <v>0</v>
      </c>
      <c r="N685" s="197" t="s">
        <v>692</v>
      </c>
    </row>
    <row r="686" spans="1:14" ht="12.6" customHeight="1" x14ac:dyDescent="0.25">
      <c r="A686" s="195">
        <v>7070</v>
      </c>
      <c r="B686" s="197" t="s">
        <v>109</v>
      </c>
      <c r="C686" s="179">
        <f>U71</f>
        <v>14830735.217</v>
      </c>
      <c r="D686" s="179">
        <f>(D615/D612)*U76</f>
        <v>526436.00220607349</v>
      </c>
      <c r="E686" s="179">
        <f>(E623/E612)*SUM(C686:D686)</f>
        <v>690271.34110825683</v>
      </c>
      <c r="F686" s="179">
        <f>(F624/F612)*U64</f>
        <v>145142.44761853921</v>
      </c>
      <c r="G686" s="179">
        <f>(G625/G612)*U77</f>
        <v>0</v>
      </c>
      <c r="H686" s="179">
        <f>(H628/H612)*U60</f>
        <v>384752.40622028825</v>
      </c>
      <c r="I686" s="179">
        <f>(I629/I612)*U78</f>
        <v>154369.39459245259</v>
      </c>
      <c r="J686" s="179">
        <f>(J630/J612)*U79</f>
        <v>503.86383271350888</v>
      </c>
      <c r="K686" s="179">
        <f>(K644/K612)*U75</f>
        <v>3691654.8860107805</v>
      </c>
      <c r="L686" s="179">
        <f>(L647/L612)*U80</f>
        <v>0</v>
      </c>
      <c r="M686" s="179">
        <f t="shared" si="21"/>
        <v>5593130</v>
      </c>
      <c r="N686" s="197" t="s">
        <v>693</v>
      </c>
    </row>
    <row r="687" spans="1:14" ht="12.6" customHeight="1" x14ac:dyDescent="0.25">
      <c r="A687" s="195">
        <v>7110</v>
      </c>
      <c r="B687" s="197" t="s">
        <v>694</v>
      </c>
      <c r="C687" s="179">
        <f>V71</f>
        <v>205661.50999999998</v>
      </c>
      <c r="D687" s="179">
        <f>(D615/D612)*V76</f>
        <v>7172.3393366905484</v>
      </c>
      <c r="E687" s="179">
        <f>(E623/E612)*SUM(C687:D687)</f>
        <v>9566.4171817747738</v>
      </c>
      <c r="F687" s="179">
        <f>(F624/F612)*V64</f>
        <v>377.26975970359399</v>
      </c>
      <c r="G687" s="179">
        <f>(G625/G612)*V77</f>
        <v>0</v>
      </c>
      <c r="H687" s="179">
        <f>(H628/H612)*V60</f>
        <v>8422.8906717926002</v>
      </c>
      <c r="I687" s="179">
        <f>(I629/I612)*V78</f>
        <v>2105.5841039500551</v>
      </c>
      <c r="J687" s="179">
        <f>(J630/J612)*V79</f>
        <v>347.47318267059006</v>
      </c>
      <c r="K687" s="179">
        <f>(K644/K612)*V75</f>
        <v>71823.971504502508</v>
      </c>
      <c r="L687" s="179">
        <f>(L647/L612)*V80</f>
        <v>0</v>
      </c>
      <c r="M687" s="179">
        <f t="shared" si="21"/>
        <v>99816</v>
      </c>
      <c r="N687" s="197" t="s">
        <v>695</v>
      </c>
    </row>
    <row r="688" spans="1:14" ht="12.6" customHeight="1" x14ac:dyDescent="0.25">
      <c r="A688" s="195">
        <v>7120</v>
      </c>
      <c r="B688" s="197" t="s">
        <v>696</v>
      </c>
      <c r="C688" s="179">
        <f>W71</f>
        <v>1421067.7400000002</v>
      </c>
      <c r="D688" s="179">
        <f>(D615/D612)*W76</f>
        <v>72020.337352182483</v>
      </c>
      <c r="E688" s="179">
        <f>(E623/E612)*SUM(C688:D688)</f>
        <v>67111.05156252344</v>
      </c>
      <c r="F688" s="179">
        <f>(F624/F612)*W64</f>
        <v>5296.5990269853173</v>
      </c>
      <c r="G688" s="179">
        <f>(G625/G612)*W77</f>
        <v>0</v>
      </c>
      <c r="H688" s="179">
        <f>(H628/H612)*W60</f>
        <v>24672.031614181789</v>
      </c>
      <c r="I688" s="179">
        <f>(I629/I612)*W78</f>
        <v>21116.000585327693</v>
      </c>
      <c r="J688" s="179">
        <f>(J630/J612)*W79</f>
        <v>3329.9497186676799</v>
      </c>
      <c r="K688" s="179">
        <f>(K644/K612)*W75</f>
        <v>606582.01167130237</v>
      </c>
      <c r="L688" s="179">
        <f>(L647/L612)*W80</f>
        <v>0</v>
      </c>
      <c r="M688" s="179">
        <f t="shared" si="21"/>
        <v>800128</v>
      </c>
      <c r="N688" s="197" t="s">
        <v>697</v>
      </c>
    </row>
    <row r="689" spans="1:14" ht="12.6" customHeight="1" x14ac:dyDescent="0.25">
      <c r="A689" s="195">
        <v>7130</v>
      </c>
      <c r="B689" s="197" t="s">
        <v>698</v>
      </c>
      <c r="C689" s="179">
        <f>X71</f>
        <v>2393829.3000000003</v>
      </c>
      <c r="D689" s="179">
        <f>(D615/D612)*X76</f>
        <v>72271.597647416856</v>
      </c>
      <c r="E689" s="179">
        <f>(E623/E612)*SUM(C689:D689)</f>
        <v>110845.85498392078</v>
      </c>
      <c r="F689" s="179">
        <f>(F624/F612)*X64</f>
        <v>15392.465208979145</v>
      </c>
      <c r="G689" s="179">
        <f>(G625/G612)*X77</f>
        <v>0</v>
      </c>
      <c r="H689" s="179">
        <f>(H628/H612)*X60</f>
        <v>45895.730813532631</v>
      </c>
      <c r="I689" s="179">
        <f>(I629/I612)*X78</f>
        <v>21176.160131154837</v>
      </c>
      <c r="J689" s="179">
        <f>(J630/J612)*X79</f>
        <v>0</v>
      </c>
      <c r="K689" s="179">
        <f>(K644/K612)*X75</f>
        <v>2268797.2619146323</v>
      </c>
      <c r="L689" s="179">
        <f>(L647/L612)*X80</f>
        <v>33.05746719713801</v>
      </c>
      <c r="M689" s="179">
        <f t="shared" si="21"/>
        <v>2534412</v>
      </c>
      <c r="N689" s="197" t="s">
        <v>699</v>
      </c>
    </row>
    <row r="690" spans="1:14" ht="12.6" customHeight="1" x14ac:dyDescent="0.25">
      <c r="A690" s="195">
        <v>7140</v>
      </c>
      <c r="B690" s="197" t="s">
        <v>1250</v>
      </c>
      <c r="C690" s="179">
        <f>Y71</f>
        <v>28261158.403999995</v>
      </c>
      <c r="D690" s="179">
        <f>(D615/D612)*Y76</f>
        <v>1040034.8875101721</v>
      </c>
      <c r="E690" s="179">
        <f>(E623/E612)*SUM(C690:D690)</f>
        <v>1317024.7111725959</v>
      </c>
      <c r="F690" s="179">
        <f>(F624/F612)*Y64</f>
        <v>220732.39956754149</v>
      </c>
      <c r="G690" s="179">
        <f>(G625/G612)*Y77</f>
        <v>0</v>
      </c>
      <c r="H690" s="179">
        <f>(H628/H612)*Y60</f>
        <v>426199.97999427788</v>
      </c>
      <c r="I690" s="179">
        <f>(I629/I612)*Y78</f>
        <v>304888.57825196796</v>
      </c>
      <c r="J690" s="179">
        <f>(J630/J612)*Y79</f>
        <v>49456.09886644411</v>
      </c>
      <c r="K690" s="179">
        <f>(K644/K612)*Y75</f>
        <v>6379302.1224943558</v>
      </c>
      <c r="L690" s="179">
        <f>(L647/L612)*Y80</f>
        <v>171936.84551239436</v>
      </c>
      <c r="M690" s="179">
        <f t="shared" si="21"/>
        <v>9909576</v>
      </c>
      <c r="N690" s="197" t="s">
        <v>700</v>
      </c>
    </row>
    <row r="691" spans="1:14" ht="12.6" customHeight="1" x14ac:dyDescent="0.25">
      <c r="A691" s="195">
        <v>7150</v>
      </c>
      <c r="B691" s="197" t="s">
        <v>701</v>
      </c>
      <c r="C691" s="179">
        <f>Z71</f>
        <v>7949927.5199999986</v>
      </c>
      <c r="D691" s="179">
        <f>(D615/D612)*Z76</f>
        <v>376730.54993642424</v>
      </c>
      <c r="E691" s="179">
        <f>(E623/E612)*SUM(C691:D691)</f>
        <v>374265.11372724292</v>
      </c>
      <c r="F691" s="179">
        <f>(F624/F612)*Z64</f>
        <v>6072.6450378230338</v>
      </c>
      <c r="G691" s="179">
        <f>(G625/G612)*Z77</f>
        <v>0</v>
      </c>
      <c r="H691" s="179">
        <f>(H628/H612)*Z60</f>
        <v>62276.271803211828</v>
      </c>
      <c r="I691" s="179">
        <f>(I629/I612)*Z78</f>
        <v>110452.92613863717</v>
      </c>
      <c r="J691" s="179">
        <f>(J630/J612)*Z79</f>
        <v>9348.2916170063909</v>
      </c>
      <c r="K691" s="179">
        <f>(K644/K612)*Z75</f>
        <v>1217231.0443381537</v>
      </c>
      <c r="L691" s="179">
        <f>(L647/L612)*Z80</f>
        <v>29550.441824027635</v>
      </c>
      <c r="M691" s="179">
        <f t="shared" si="21"/>
        <v>2185927</v>
      </c>
      <c r="N691" s="197" t="s">
        <v>702</v>
      </c>
    </row>
    <row r="692" spans="1:14" ht="12.6" customHeight="1" x14ac:dyDescent="0.25">
      <c r="A692" s="195">
        <v>7160</v>
      </c>
      <c r="B692" s="197" t="s">
        <v>703</v>
      </c>
      <c r="C692" s="179">
        <f>AA71</f>
        <v>1105185.7000000002</v>
      </c>
      <c r="D692" s="179">
        <f>(D615/D612)*AA76</f>
        <v>26016.861479269217</v>
      </c>
      <c r="E692" s="179">
        <f>(E623/E612)*SUM(C692:D692)</f>
        <v>50845.0871603786</v>
      </c>
      <c r="F692" s="179">
        <f>(F624/F612)*AA64</f>
        <v>12880.929323649872</v>
      </c>
      <c r="G692" s="179">
        <f>(G625/G612)*AA77</f>
        <v>0</v>
      </c>
      <c r="H692" s="179">
        <f>(H628/H612)*AA60</f>
        <v>10076.260116937008</v>
      </c>
      <c r="I692" s="179">
        <f>(I629/I612)*AA78</f>
        <v>7640.2623200473427</v>
      </c>
      <c r="J692" s="179">
        <f>(J630/J612)*AA79</f>
        <v>0</v>
      </c>
      <c r="K692" s="179">
        <f>(K644/K612)*AA75</f>
        <v>156803.15852193322</v>
      </c>
      <c r="L692" s="179">
        <f>(L647/L612)*AA80</f>
        <v>0</v>
      </c>
      <c r="M692" s="179">
        <f t="shared" si="21"/>
        <v>264263</v>
      </c>
      <c r="N692" s="197" t="s">
        <v>704</v>
      </c>
    </row>
    <row r="693" spans="1:14" ht="12.6" customHeight="1" x14ac:dyDescent="0.25">
      <c r="A693" s="195">
        <v>7170</v>
      </c>
      <c r="B693" s="197" t="s">
        <v>115</v>
      </c>
      <c r="C693" s="179">
        <f>AB71</f>
        <v>20898757.799999997</v>
      </c>
      <c r="D693" s="179">
        <f>(D615/D612)*AB76</f>
        <v>148471.9926384986</v>
      </c>
      <c r="E693" s="179">
        <f>(E623/E612)*SUM(C693:D693)</f>
        <v>946027.05981481576</v>
      </c>
      <c r="F693" s="179">
        <f>(F624/F612)*AB64</f>
        <v>450804.98987912934</v>
      </c>
      <c r="G693" s="179">
        <f>(G625/G612)*AB77</f>
        <v>0</v>
      </c>
      <c r="H693" s="179">
        <f>(H628/H612)*AB60</f>
        <v>176828.70009657872</v>
      </c>
      <c r="I693" s="179">
        <f>(I629/I612)*AB78</f>
        <v>43555.511178852568</v>
      </c>
      <c r="J693" s="179">
        <f>(J630/J612)*AB79</f>
        <v>0</v>
      </c>
      <c r="K693" s="179">
        <f>(K644/K612)*AB75</f>
        <v>4434746.5545655265</v>
      </c>
      <c r="L693" s="179">
        <f>(L647/L612)*AB80</f>
        <v>0</v>
      </c>
      <c r="M693" s="179">
        <f t="shared" si="21"/>
        <v>6200435</v>
      </c>
      <c r="N693" s="197" t="s">
        <v>705</v>
      </c>
    </row>
    <row r="694" spans="1:14" ht="12.6" customHeight="1" x14ac:dyDescent="0.25">
      <c r="A694" s="195">
        <v>7180</v>
      </c>
      <c r="B694" s="197" t="s">
        <v>706</v>
      </c>
      <c r="C694" s="179">
        <f>AC71</f>
        <v>3081223.32</v>
      </c>
      <c r="D694" s="179">
        <f>(D615/D612)*AC76</f>
        <v>60211.103476166514</v>
      </c>
      <c r="E694" s="179">
        <f>(E623/E612)*SUM(C694:D694)</f>
        <v>141200.62357477835</v>
      </c>
      <c r="F694" s="179">
        <f>(F624/F612)*AC64</f>
        <v>10604.621618441641</v>
      </c>
      <c r="G694" s="179">
        <f>(G625/G612)*AC77</f>
        <v>0</v>
      </c>
      <c r="H694" s="179">
        <f>(H628/H612)*AC60</f>
        <v>76314.166384404249</v>
      </c>
      <c r="I694" s="179">
        <f>(I629/I612)*AC78</f>
        <v>17626.746927353317</v>
      </c>
      <c r="J694" s="179">
        <f>(J630/J612)*AC79</f>
        <v>0</v>
      </c>
      <c r="K694" s="179">
        <f>(K644/K612)*AC75</f>
        <v>640608.00719640951</v>
      </c>
      <c r="L694" s="179">
        <f>(L647/L612)*AC80</f>
        <v>0</v>
      </c>
      <c r="M694" s="179">
        <f t="shared" si="21"/>
        <v>946565</v>
      </c>
      <c r="N694" s="197" t="s">
        <v>707</v>
      </c>
    </row>
    <row r="695" spans="1:14" ht="12.6" customHeight="1" x14ac:dyDescent="0.25">
      <c r="A695" s="195">
        <v>7190</v>
      </c>
      <c r="B695" s="197" t="s">
        <v>117</v>
      </c>
      <c r="C695" s="179">
        <f>AD71</f>
        <v>0</v>
      </c>
      <c r="D695" s="179">
        <f>(D615/D612)*AD76</f>
        <v>0</v>
      </c>
      <c r="E695" s="179">
        <f>(E623/E612)*SUM(C695:D695)</f>
        <v>0</v>
      </c>
      <c r="F695" s="179">
        <f>(F624/F612)*AD64</f>
        <v>0</v>
      </c>
      <c r="G695" s="179">
        <f>(G625/G612)*AD77</f>
        <v>0</v>
      </c>
      <c r="H695" s="179">
        <f>(H628/H612)*AD60</f>
        <v>0</v>
      </c>
      <c r="I695" s="179">
        <f>(I629/I612)*AD78</f>
        <v>0</v>
      </c>
      <c r="J695" s="179">
        <f>(J630/J612)*AD79</f>
        <v>0</v>
      </c>
      <c r="K695" s="179">
        <f>(K644/K612)*AD75</f>
        <v>0</v>
      </c>
      <c r="L695" s="179">
        <f>(L647/L612)*AD80</f>
        <v>0</v>
      </c>
      <c r="M695" s="179">
        <f t="shared" si="21"/>
        <v>0</v>
      </c>
      <c r="N695" s="197" t="s">
        <v>708</v>
      </c>
    </row>
    <row r="696" spans="1:14" ht="12.6" customHeight="1" x14ac:dyDescent="0.25">
      <c r="A696" s="195">
        <v>7200</v>
      </c>
      <c r="B696" s="197" t="s">
        <v>709</v>
      </c>
      <c r="C696" s="179">
        <f>AE71</f>
        <v>6170661.5799999991</v>
      </c>
      <c r="D696" s="179">
        <f>(D615/D612)*AE76</f>
        <v>400029.23185815784</v>
      </c>
      <c r="E696" s="179">
        <f>(E623/E612)*SUM(C696:D696)</f>
        <v>295338.2165223725</v>
      </c>
      <c r="F696" s="179">
        <f>(F624/F612)*AE64</f>
        <v>3792.0320227685766</v>
      </c>
      <c r="G696" s="179">
        <f>(G625/G612)*AE77</f>
        <v>0</v>
      </c>
      <c r="H696" s="179">
        <f>(H628/H612)*AE60</f>
        <v>187962.34892779475</v>
      </c>
      <c r="I696" s="179">
        <f>(I629/I612)*AE78</f>
        <v>117250.95481710449</v>
      </c>
      <c r="J696" s="179">
        <f>(J630/J612)*AE79</f>
        <v>0</v>
      </c>
      <c r="K696" s="179">
        <f>(K644/K612)*AE75</f>
        <v>1188621.6024921099</v>
      </c>
      <c r="L696" s="179">
        <f>(L647/L612)*AE80</f>
        <v>0</v>
      </c>
      <c r="M696" s="179">
        <f t="shared" si="21"/>
        <v>2192994</v>
      </c>
      <c r="N696" s="197" t="s">
        <v>710</v>
      </c>
    </row>
    <row r="697" spans="1:14" ht="12.6" customHeight="1" x14ac:dyDescent="0.25">
      <c r="A697" s="195">
        <v>7220</v>
      </c>
      <c r="B697" s="197" t="s">
        <v>711</v>
      </c>
      <c r="C697" s="179">
        <f>AF71</f>
        <v>0</v>
      </c>
      <c r="D697" s="179">
        <f>(D615/D612)*AF76</f>
        <v>0</v>
      </c>
      <c r="E697" s="179">
        <f>(E623/E612)*SUM(C697:D697)</f>
        <v>0</v>
      </c>
      <c r="F697" s="179">
        <f>(F624/F612)*AF64</f>
        <v>0</v>
      </c>
      <c r="G697" s="179">
        <f>(G625/G612)*AF77</f>
        <v>0</v>
      </c>
      <c r="H697" s="179">
        <f>(H628/H612)*AF60</f>
        <v>0</v>
      </c>
      <c r="I697" s="179">
        <f>(I629/I612)*AF78</f>
        <v>0</v>
      </c>
      <c r="J697" s="179">
        <f>(J630/J612)*AF79</f>
        <v>0</v>
      </c>
      <c r="K697" s="179">
        <f>(K644/K612)*AF75</f>
        <v>0</v>
      </c>
      <c r="L697" s="179">
        <f>(L647/L612)*AF80</f>
        <v>0</v>
      </c>
      <c r="M697" s="179">
        <f t="shared" si="21"/>
        <v>0</v>
      </c>
      <c r="N697" s="197" t="s">
        <v>712</v>
      </c>
    </row>
    <row r="698" spans="1:14" ht="12.6" customHeight="1" x14ac:dyDescent="0.25">
      <c r="A698" s="195">
        <v>7230</v>
      </c>
      <c r="B698" s="197" t="s">
        <v>713</v>
      </c>
      <c r="C698" s="179">
        <f>AG71</f>
        <v>15746664.174000001</v>
      </c>
      <c r="D698" s="179">
        <f>(D615/D612)*AG76</f>
        <v>1255045.1746957393</v>
      </c>
      <c r="E698" s="179">
        <f>(E623/E612)*SUM(C698:D698)</f>
        <v>764189.7420912981</v>
      </c>
      <c r="F698" s="179">
        <f>(F624/F612)*AG64</f>
        <v>41457.6738269778</v>
      </c>
      <c r="G698" s="179">
        <f>(G625/G612)*AG77</f>
        <v>0</v>
      </c>
      <c r="H698" s="179">
        <f>(H628/H612)*AG60</f>
        <v>382399.62916029512</v>
      </c>
      <c r="I698" s="179">
        <f>(I629/I612)*AG78</f>
        <v>367935.78227881534</v>
      </c>
      <c r="J698" s="179">
        <f>(J630/J612)*AG79</f>
        <v>58344.272381994968</v>
      </c>
      <c r="K698" s="179">
        <f>(K644/K612)*AG75</f>
        <v>6683177.799408637</v>
      </c>
      <c r="L698" s="179">
        <f>(L647/L612)*AG80</f>
        <v>578043.98709867313</v>
      </c>
      <c r="M698" s="179">
        <f t="shared" si="21"/>
        <v>10130594</v>
      </c>
      <c r="N698" s="197" t="s">
        <v>714</v>
      </c>
    </row>
    <row r="699" spans="1:14" ht="12.6" customHeight="1" x14ac:dyDescent="0.25">
      <c r="A699" s="195">
        <v>7240</v>
      </c>
      <c r="B699" s="197" t="s">
        <v>119</v>
      </c>
      <c r="C699" s="179">
        <f>AH71</f>
        <v>0</v>
      </c>
      <c r="D699" s="179">
        <f>(D615/D612)*AH76</f>
        <v>0</v>
      </c>
      <c r="E699" s="179">
        <f>(E623/E612)*SUM(C699:D699)</f>
        <v>0</v>
      </c>
      <c r="F699" s="179">
        <f>(F624/F612)*AH64</f>
        <v>0</v>
      </c>
      <c r="G699" s="179">
        <f>(G625/G612)*AH77</f>
        <v>0</v>
      </c>
      <c r="H699" s="179">
        <f>(H628/H612)*AH60</f>
        <v>0</v>
      </c>
      <c r="I699" s="179">
        <f>(I629/I612)*AH78</f>
        <v>0</v>
      </c>
      <c r="J699" s="179">
        <f>(J630/J612)*AH79</f>
        <v>0</v>
      </c>
      <c r="K699" s="179">
        <f>(K644/K612)*AH75</f>
        <v>0</v>
      </c>
      <c r="L699" s="179">
        <f>(L647/L612)*AH80</f>
        <v>0</v>
      </c>
      <c r="M699" s="179">
        <f t="shared" si="21"/>
        <v>0</v>
      </c>
      <c r="N699" s="197" t="s">
        <v>715</v>
      </c>
    </row>
    <row r="700" spans="1:14" ht="12.6" customHeight="1" x14ac:dyDescent="0.25">
      <c r="A700" s="195">
        <v>7250</v>
      </c>
      <c r="B700" s="197" t="s">
        <v>716</v>
      </c>
      <c r="C700" s="179">
        <f>AI71</f>
        <v>0</v>
      </c>
      <c r="D700" s="179">
        <f>(D615/D612)*AI76</f>
        <v>0</v>
      </c>
      <c r="E700" s="179">
        <f>(E623/E612)*SUM(C700:D700)</f>
        <v>0</v>
      </c>
      <c r="F700" s="179">
        <f>(F624/F612)*AI64</f>
        <v>0</v>
      </c>
      <c r="G700" s="179">
        <f>(G625/G612)*AI77</f>
        <v>0</v>
      </c>
      <c r="H700" s="179">
        <f>(H628/H612)*AI60</f>
        <v>0</v>
      </c>
      <c r="I700" s="179">
        <f>(I629/I612)*AI78</f>
        <v>0</v>
      </c>
      <c r="J700" s="179">
        <f>(J630/J612)*AI79</f>
        <v>0</v>
      </c>
      <c r="K700" s="179">
        <f>(K644/K612)*AI75</f>
        <v>0</v>
      </c>
      <c r="L700" s="179">
        <f>(L647/L612)*AI80</f>
        <v>0</v>
      </c>
      <c r="M700" s="179">
        <f t="shared" si="21"/>
        <v>0</v>
      </c>
      <c r="N700" s="197" t="s">
        <v>717</v>
      </c>
    </row>
    <row r="701" spans="1:14" ht="12.6" customHeight="1" x14ac:dyDescent="0.25">
      <c r="A701" s="195">
        <v>7260</v>
      </c>
      <c r="B701" s="197" t="s">
        <v>121</v>
      </c>
      <c r="C701" s="179">
        <f>AJ71</f>
        <v>65975960.94000002</v>
      </c>
      <c r="D701" s="179">
        <f>(D615/D612)*AJ76</f>
        <v>3293999.62867773</v>
      </c>
      <c r="E701" s="179">
        <f>(E623/E612)*SUM(C701:D701)</f>
        <v>3113533.5992385433</v>
      </c>
      <c r="F701" s="179">
        <f>(F624/F612)*AJ64</f>
        <v>125462.13061417002</v>
      </c>
      <c r="G701" s="179">
        <f>(G625/G612)*AJ77</f>
        <v>0</v>
      </c>
      <c r="H701" s="179">
        <f>(H628/H612)*AJ60</f>
        <v>1175953.9800194707</v>
      </c>
      <c r="I701" s="179">
        <f>(I629/I612)*AJ78</f>
        <v>965741.18916314945</v>
      </c>
      <c r="J701" s="179">
        <f>(J630/J612)*AJ79</f>
        <v>11477.428862800403</v>
      </c>
      <c r="K701" s="179">
        <f>(K644/K612)*AJ75</f>
        <v>4964135.0261799749</v>
      </c>
      <c r="L701" s="179">
        <f>(L647/L612)*AJ80</f>
        <v>362177.28003717208</v>
      </c>
      <c r="M701" s="179">
        <f t="shared" si="21"/>
        <v>14012480</v>
      </c>
      <c r="N701" s="197" t="s">
        <v>718</v>
      </c>
    </row>
    <row r="702" spans="1:14" ht="12.6" customHeight="1" x14ac:dyDescent="0.25">
      <c r="A702" s="195">
        <v>7310</v>
      </c>
      <c r="B702" s="197" t="s">
        <v>719</v>
      </c>
      <c r="C702" s="179">
        <f>AK71</f>
        <v>0</v>
      </c>
      <c r="D702" s="179">
        <f>(D615/D612)*AK76</f>
        <v>0</v>
      </c>
      <c r="E702" s="179">
        <f>(E623/E612)*SUM(C702:D702)</f>
        <v>0</v>
      </c>
      <c r="F702" s="179">
        <f>(F624/F612)*AK64</f>
        <v>0</v>
      </c>
      <c r="G702" s="179">
        <f>(G625/G612)*AK77</f>
        <v>0</v>
      </c>
      <c r="H702" s="179">
        <f>(H628/H612)*AK60</f>
        <v>0</v>
      </c>
      <c r="I702" s="179">
        <f>(I629/I612)*AK78</f>
        <v>0</v>
      </c>
      <c r="J702" s="179">
        <f>(J630/J612)*AK79</f>
        <v>0</v>
      </c>
      <c r="K702" s="179">
        <f>(K644/K612)*AK75</f>
        <v>0</v>
      </c>
      <c r="L702" s="179">
        <f>(L647/L612)*AK80</f>
        <v>0</v>
      </c>
      <c r="M702" s="179">
        <f t="shared" si="21"/>
        <v>0</v>
      </c>
      <c r="N702" s="197" t="s">
        <v>720</v>
      </c>
    </row>
    <row r="703" spans="1:14" ht="12.6" customHeight="1" x14ac:dyDescent="0.25">
      <c r="A703" s="195">
        <v>7320</v>
      </c>
      <c r="B703" s="197" t="s">
        <v>721</v>
      </c>
      <c r="C703" s="179">
        <f>AL71</f>
        <v>0</v>
      </c>
      <c r="D703" s="179">
        <f>(D615/D612)*AL76</f>
        <v>0</v>
      </c>
      <c r="E703" s="179">
        <f>(E623/E612)*SUM(C703:D703)</f>
        <v>0</v>
      </c>
      <c r="F703" s="179">
        <f>(F624/F612)*AL64</f>
        <v>0</v>
      </c>
      <c r="G703" s="179">
        <f>(G625/G612)*AL77</f>
        <v>0</v>
      </c>
      <c r="H703" s="179">
        <f>(H628/H612)*AL60</f>
        <v>0</v>
      </c>
      <c r="I703" s="179">
        <f>(I629/I612)*AL78</f>
        <v>0</v>
      </c>
      <c r="J703" s="179">
        <f>(J630/J612)*AL79</f>
        <v>0</v>
      </c>
      <c r="K703" s="179">
        <f>(K644/K612)*AL75</f>
        <v>0</v>
      </c>
      <c r="L703" s="179">
        <f>(L647/L612)*AL80</f>
        <v>0</v>
      </c>
      <c r="M703" s="179">
        <f t="shared" si="21"/>
        <v>0</v>
      </c>
      <c r="N703" s="197" t="s">
        <v>722</v>
      </c>
    </row>
    <row r="704" spans="1:14" ht="12.6" customHeight="1" x14ac:dyDescent="0.25">
      <c r="A704" s="195">
        <v>7330</v>
      </c>
      <c r="B704" s="197" t="s">
        <v>723</v>
      </c>
      <c r="C704" s="179">
        <f>AM71</f>
        <v>0</v>
      </c>
      <c r="D704" s="179">
        <f>(D615/D612)*AM76</f>
        <v>0</v>
      </c>
      <c r="E704" s="179">
        <f>(E623/E612)*SUM(C704:D704)</f>
        <v>0</v>
      </c>
      <c r="F704" s="179">
        <f>(F624/F612)*AM64</f>
        <v>0</v>
      </c>
      <c r="G704" s="179">
        <f>(G625/G612)*AM77</f>
        <v>0</v>
      </c>
      <c r="H704" s="179">
        <f>(H628/H612)*AM60</f>
        <v>0</v>
      </c>
      <c r="I704" s="179">
        <f>(I629/I612)*AM78</f>
        <v>0</v>
      </c>
      <c r="J704" s="179">
        <f>(J630/J612)*AM79</f>
        <v>0</v>
      </c>
      <c r="K704" s="179">
        <f>(K644/K612)*AM75</f>
        <v>0</v>
      </c>
      <c r="L704" s="179">
        <f>(L647/L612)*AM80</f>
        <v>0</v>
      </c>
      <c r="M704" s="179">
        <f t="shared" si="21"/>
        <v>0</v>
      </c>
      <c r="N704" s="197" t="s">
        <v>724</v>
      </c>
    </row>
    <row r="705" spans="1:83" ht="12.6" customHeight="1" x14ac:dyDescent="0.25">
      <c r="A705" s="195">
        <v>7340</v>
      </c>
      <c r="B705" s="197" t="s">
        <v>725</v>
      </c>
      <c r="C705" s="179">
        <f>AN71</f>
        <v>0</v>
      </c>
      <c r="D705" s="179">
        <f>(D615/D612)*AN76</f>
        <v>0</v>
      </c>
      <c r="E705" s="179">
        <f>(E623/E612)*SUM(C705:D705)</f>
        <v>0</v>
      </c>
      <c r="F705" s="179">
        <f>(F624/F612)*AN64</f>
        <v>0</v>
      </c>
      <c r="G705" s="179">
        <f>(G625/G612)*AN77</f>
        <v>0</v>
      </c>
      <c r="H705" s="179">
        <f>(H628/H612)*AN60</f>
        <v>0</v>
      </c>
      <c r="I705" s="179">
        <f>(I629/I612)*AN78</f>
        <v>0</v>
      </c>
      <c r="J705" s="179">
        <f>(J630/J612)*AN79</f>
        <v>0</v>
      </c>
      <c r="K705" s="179">
        <f>(K644/K612)*AN75</f>
        <v>0</v>
      </c>
      <c r="L705" s="179">
        <f>(L647/L612)*AN80</f>
        <v>0</v>
      </c>
      <c r="M705" s="179">
        <f t="shared" si="21"/>
        <v>0</v>
      </c>
      <c r="N705" s="197" t="s">
        <v>726</v>
      </c>
    </row>
    <row r="706" spans="1:83" ht="12.6" customHeight="1" x14ac:dyDescent="0.25">
      <c r="A706" s="195">
        <v>7350</v>
      </c>
      <c r="B706" s="197" t="s">
        <v>727</v>
      </c>
      <c r="C706" s="179">
        <f>AO71</f>
        <v>0</v>
      </c>
      <c r="D706" s="179">
        <f>(D615/D612)*AO76</f>
        <v>0</v>
      </c>
      <c r="E706" s="179">
        <f>(E623/E612)*SUM(C706:D706)</f>
        <v>0</v>
      </c>
      <c r="F706" s="179">
        <f>(F624/F612)*AO64</f>
        <v>0</v>
      </c>
      <c r="G706" s="179">
        <f>(G625/G612)*AO77</f>
        <v>0</v>
      </c>
      <c r="H706" s="179">
        <f>(H628/H612)*AO60</f>
        <v>0</v>
      </c>
      <c r="I706" s="179">
        <f>(I629/I612)*AO78</f>
        <v>0</v>
      </c>
      <c r="J706" s="179">
        <f>(J630/J612)*AO79</f>
        <v>0</v>
      </c>
      <c r="K706" s="179">
        <f>(K644/K612)*AO75</f>
        <v>0</v>
      </c>
      <c r="L706" s="179">
        <f>(L647/L612)*AO80</f>
        <v>0</v>
      </c>
      <c r="M706" s="179">
        <f t="shared" si="21"/>
        <v>0</v>
      </c>
      <c r="N706" s="197" t="s">
        <v>728</v>
      </c>
    </row>
    <row r="707" spans="1:83" ht="12.6" customHeight="1" x14ac:dyDescent="0.25">
      <c r="A707" s="195">
        <v>7380</v>
      </c>
      <c r="B707" s="197" t="s">
        <v>729</v>
      </c>
      <c r="C707" s="179">
        <f>AP71</f>
        <v>82822906.059999987</v>
      </c>
      <c r="D707" s="179">
        <f>(D615/D612)*AP76</f>
        <v>3963242.845957018</v>
      </c>
      <c r="E707" s="179">
        <f>(E623/E612)*SUM(C707:D707)</f>
        <v>3900848.049412631</v>
      </c>
      <c r="F707" s="179">
        <f>(F624/F612)*AP64</f>
        <v>210776.71085137417</v>
      </c>
      <c r="G707" s="179">
        <f>(G625/G612)*AP77</f>
        <v>0</v>
      </c>
      <c r="H707" s="179">
        <f>(H628/H612)*AP60</f>
        <v>1521969.9946989771</v>
      </c>
      <c r="I707" s="179">
        <f>(I629/I612)*AP78</f>
        <v>1161921.4681054675</v>
      </c>
      <c r="J707" s="179">
        <f>(J630/J612)*AP79</f>
        <v>4229.4459984780142</v>
      </c>
      <c r="K707" s="179">
        <f>(K644/K612)*AP75</f>
        <v>5323611.7412778428</v>
      </c>
      <c r="L707" s="179">
        <f>(L647/L612)*AP80</f>
        <v>209772.27373087074</v>
      </c>
      <c r="M707" s="179">
        <f t="shared" si="21"/>
        <v>16296373</v>
      </c>
      <c r="N707" s="197" t="s">
        <v>730</v>
      </c>
    </row>
    <row r="708" spans="1:83" ht="12.6" customHeight="1" x14ac:dyDescent="0.25">
      <c r="A708" s="195">
        <v>7390</v>
      </c>
      <c r="B708" s="197" t="s">
        <v>731</v>
      </c>
      <c r="C708" s="179">
        <f>AQ71</f>
        <v>1821558.6800000002</v>
      </c>
      <c r="D708" s="179">
        <f>(D615/D612)*AQ76</f>
        <v>0</v>
      </c>
      <c r="E708" s="179">
        <f>(E623/E612)*SUM(C708:D708)</f>
        <v>81875.088517505559</v>
      </c>
      <c r="F708" s="179">
        <f>(F624/F612)*AQ64</f>
        <v>0</v>
      </c>
      <c r="G708" s="179">
        <f>(G625/G612)*AQ77</f>
        <v>0</v>
      </c>
      <c r="H708" s="179">
        <f>(H628/H612)*AQ60</f>
        <v>0</v>
      </c>
      <c r="I708" s="179">
        <f>(I629/I612)*AQ78</f>
        <v>0</v>
      </c>
      <c r="J708" s="179">
        <f>(J630/J612)*AQ79</f>
        <v>0</v>
      </c>
      <c r="K708" s="179">
        <f>(K644/K612)*AQ75</f>
        <v>0</v>
      </c>
      <c r="L708" s="179">
        <f>(L647/L612)*AQ80</f>
        <v>0</v>
      </c>
      <c r="M708" s="179">
        <f t="shared" si="21"/>
        <v>81875</v>
      </c>
      <c r="N708" s="197" t="s">
        <v>732</v>
      </c>
    </row>
    <row r="709" spans="1:83" ht="12.6" customHeight="1" x14ac:dyDescent="0.25">
      <c r="A709" s="195">
        <v>7400</v>
      </c>
      <c r="B709" s="197" t="s">
        <v>733</v>
      </c>
      <c r="C709" s="179">
        <f>AR71</f>
        <v>62415741.377999999</v>
      </c>
      <c r="D709" s="179">
        <f>(D615/D612)*AR76</f>
        <v>443862.7324540469</v>
      </c>
      <c r="E709" s="179">
        <f>(E623/E612)*SUM(C709:D709)</f>
        <v>2825402.062105834</v>
      </c>
      <c r="F709" s="179">
        <f>(F624/F612)*AR64</f>
        <v>121202.30079557579</v>
      </c>
      <c r="G709" s="179">
        <f>(G625/G612)*AR77</f>
        <v>0</v>
      </c>
      <c r="H709" s="179">
        <f>(H628/H612)*AR60</f>
        <v>1460677.6526067941</v>
      </c>
      <c r="I709" s="179">
        <f>(I629/I612)*AR78</f>
        <v>130125.09762411339</v>
      </c>
      <c r="J709" s="179">
        <f>(J630/J612)*AR79</f>
        <v>0</v>
      </c>
      <c r="K709" s="179">
        <f>(K644/K612)*AR75</f>
        <v>4890041.8177538719</v>
      </c>
      <c r="L709" s="179">
        <f>(L647/L612)*AR80</f>
        <v>1455263.7960663708</v>
      </c>
      <c r="M709" s="179">
        <f t="shared" si="21"/>
        <v>11326575</v>
      </c>
      <c r="N709" s="197" t="s">
        <v>734</v>
      </c>
    </row>
    <row r="710" spans="1:83" ht="12.6" customHeight="1" x14ac:dyDescent="0.25">
      <c r="A710" s="195">
        <v>7410</v>
      </c>
      <c r="B710" s="197" t="s">
        <v>129</v>
      </c>
      <c r="C710" s="179">
        <f>AS71</f>
        <v>0</v>
      </c>
      <c r="D710" s="179">
        <f>(D615/D612)*AS76</f>
        <v>0</v>
      </c>
      <c r="E710" s="179">
        <f>(E623/E612)*SUM(C710:D710)</f>
        <v>0</v>
      </c>
      <c r="F710" s="179">
        <f>(F624/F612)*AS64</f>
        <v>0</v>
      </c>
      <c r="G710" s="179">
        <f>(G625/G612)*AS77</f>
        <v>0</v>
      </c>
      <c r="H710" s="179">
        <f>(H628/H612)*AS60</f>
        <v>0</v>
      </c>
      <c r="I710" s="179">
        <f>(I629/I612)*AS78</f>
        <v>0</v>
      </c>
      <c r="J710" s="179">
        <f>(J630/J612)*AS79</f>
        <v>0</v>
      </c>
      <c r="K710" s="179">
        <f>(K644/K612)*AS75</f>
        <v>0</v>
      </c>
      <c r="L710" s="179">
        <f>(L647/L612)*AS80</f>
        <v>0</v>
      </c>
      <c r="M710" s="179">
        <f t="shared" si="21"/>
        <v>0</v>
      </c>
      <c r="N710" s="197" t="s">
        <v>735</v>
      </c>
    </row>
    <row r="711" spans="1:83" ht="12.6" customHeight="1" x14ac:dyDescent="0.25">
      <c r="A711" s="195">
        <v>7420</v>
      </c>
      <c r="B711" s="197" t="s">
        <v>736</v>
      </c>
      <c r="C711" s="179">
        <f>AT71</f>
        <v>0</v>
      </c>
      <c r="D711" s="179">
        <f>(D615/D612)*AT76</f>
        <v>0</v>
      </c>
      <c r="E711" s="179">
        <f>(E623/E612)*SUM(C711:D711)</f>
        <v>0</v>
      </c>
      <c r="F711" s="179">
        <f>(F624/F612)*AT64</f>
        <v>0</v>
      </c>
      <c r="G711" s="179">
        <f>(G625/G612)*AT77</f>
        <v>0</v>
      </c>
      <c r="H711" s="179">
        <f>(H628/H612)*AT60</f>
        <v>0</v>
      </c>
      <c r="I711" s="179">
        <f>(I629/I612)*AT78</f>
        <v>0</v>
      </c>
      <c r="J711" s="179">
        <f>(J630/J612)*AT79</f>
        <v>0</v>
      </c>
      <c r="K711" s="179">
        <f>(K644/K612)*AT75</f>
        <v>0</v>
      </c>
      <c r="L711" s="179">
        <f>(L647/L612)*AT80</f>
        <v>0</v>
      </c>
      <c r="M711" s="179">
        <f t="shared" si="21"/>
        <v>0</v>
      </c>
      <c r="N711" s="197" t="s">
        <v>737</v>
      </c>
    </row>
    <row r="712" spans="1:83" ht="12.6" customHeight="1" x14ac:dyDescent="0.25">
      <c r="A712" s="195">
        <v>7430</v>
      </c>
      <c r="B712" s="197" t="s">
        <v>738</v>
      </c>
      <c r="C712" s="179">
        <f>AU71</f>
        <v>0</v>
      </c>
      <c r="D712" s="179">
        <f>(D615/D612)*AU76</f>
        <v>0</v>
      </c>
      <c r="E712" s="179">
        <f>(E623/E612)*SUM(C712:D712)</f>
        <v>0</v>
      </c>
      <c r="F712" s="179">
        <f>(F624/F612)*AU64</f>
        <v>0</v>
      </c>
      <c r="G712" s="179">
        <f>(G625/G612)*AU77</f>
        <v>0</v>
      </c>
      <c r="H712" s="179">
        <f>(H628/H612)*AU60</f>
        <v>0</v>
      </c>
      <c r="I712" s="179">
        <f>(I629/I612)*AU78</f>
        <v>0</v>
      </c>
      <c r="J712" s="179">
        <f>(J630/J612)*AU79</f>
        <v>0</v>
      </c>
      <c r="K712" s="179">
        <f>(K644/K612)*AU75</f>
        <v>0</v>
      </c>
      <c r="L712" s="179">
        <f>(L647/L612)*AU80</f>
        <v>0</v>
      </c>
      <c r="M712" s="179">
        <f t="shared" si="21"/>
        <v>0</v>
      </c>
      <c r="N712" s="197" t="s">
        <v>739</v>
      </c>
    </row>
    <row r="713" spans="1:83" ht="12.6" customHeight="1" x14ac:dyDescent="0.25">
      <c r="A713" s="195">
        <v>7490</v>
      </c>
      <c r="B713" s="197" t="s">
        <v>740</v>
      </c>
      <c r="C713" s="179">
        <f>AV71</f>
        <v>3012754.5700000003</v>
      </c>
      <c r="D713" s="179">
        <f>(D615/D612)*AV76</f>
        <v>295870.41856099578</v>
      </c>
      <c r="E713" s="179">
        <f>(E623/E612)*SUM(C713:D713)</f>
        <v>148715.47471073637</v>
      </c>
      <c r="F713" s="179">
        <f>(F624/F612)*AV64</f>
        <v>165357.65019733924</v>
      </c>
      <c r="G713" s="179">
        <f>(G625/G612)*AV77</f>
        <v>0</v>
      </c>
      <c r="H713" s="179">
        <f>(H628/H612)*AV60</f>
        <v>80745.329059714844</v>
      </c>
      <c r="I713" s="179">
        <f>(I629/I612)*AV78</f>
        <v>86750.065082742265</v>
      </c>
      <c r="J713" s="179">
        <f>(J630/J612)*AV79</f>
        <v>9590.0144515901029</v>
      </c>
      <c r="K713" s="179">
        <f>(K644/K612)*AV75</f>
        <v>614248.14456004172</v>
      </c>
      <c r="L713" s="179">
        <f>(L647/L612)*AV80</f>
        <v>512928.91712160863</v>
      </c>
      <c r="M713" s="179">
        <f t="shared" si="21"/>
        <v>1914206</v>
      </c>
      <c r="N713" s="198" t="s">
        <v>741</v>
      </c>
    </row>
    <row r="715" spans="1:83" ht="12.6" customHeight="1" x14ac:dyDescent="0.25">
      <c r="C715" s="179">
        <f>SUM(C614:C647)+SUM(C668:C713)</f>
        <v>631710538.98400009</v>
      </c>
      <c r="D715" s="179">
        <f>SUM(D616:D647)+SUM(D668:D713)</f>
        <v>25369135.280000005</v>
      </c>
      <c r="E715" s="179">
        <f>SUM(E624:E647)+SUM(E668:E713)</f>
        <v>27172658.777110726</v>
      </c>
      <c r="F715" s="179">
        <f>SUM(F625:F648)+SUM(F668:F713)</f>
        <v>3074657.6145920446</v>
      </c>
      <c r="G715" s="179">
        <f>SUM(G626:G647)+SUM(G668:G713)</f>
        <v>0</v>
      </c>
      <c r="H715" s="179">
        <f>SUM(H629:H647)+SUM(H668:H713)</f>
        <v>11111857.438577866</v>
      </c>
      <c r="I715" s="179">
        <f>SUM(I630:I647)+SUM(I668:I713)</f>
        <v>6862640.0306856744</v>
      </c>
      <c r="J715" s="179">
        <f>SUM(J631:J647)+SUM(J668:J713)</f>
        <v>434507.12829787418</v>
      </c>
      <c r="K715" s="179">
        <f>SUM(K668:K713)</f>
        <v>71698003.882222503</v>
      </c>
      <c r="L715" s="179">
        <f>SUM(L668:L713)</f>
        <v>8043427.6718126051</v>
      </c>
      <c r="M715" s="179">
        <f>SUM(M668:M713)</f>
        <v>141094563</v>
      </c>
      <c r="N715" s="197" t="s">
        <v>742</v>
      </c>
    </row>
    <row r="716" spans="1:83" ht="12.6" customHeight="1" x14ac:dyDescent="0.25">
      <c r="C716" s="179">
        <f>CE71</f>
        <v>631710538.98400021</v>
      </c>
      <c r="D716" s="179">
        <f>D615</f>
        <v>25369135.280000001</v>
      </c>
      <c r="E716" s="179">
        <f>E623</f>
        <v>27172658.777110729</v>
      </c>
      <c r="F716" s="179">
        <f>F624</f>
        <v>3074657.6145920446</v>
      </c>
      <c r="G716" s="179">
        <f>G625</f>
        <v>0</v>
      </c>
      <c r="H716" s="179">
        <f>H628</f>
        <v>11111857.438577874</v>
      </c>
      <c r="I716" s="179">
        <f>I629</f>
        <v>6862640.0306856735</v>
      </c>
      <c r="J716" s="179">
        <f>J630</f>
        <v>434507.12829787412</v>
      </c>
      <c r="K716" s="179">
        <f>K644</f>
        <v>71698003.882222533</v>
      </c>
      <c r="L716" s="179">
        <f>L647</f>
        <v>8043427.6718126051</v>
      </c>
      <c r="M716" s="179">
        <f>C648</f>
        <v>141094564.08800003</v>
      </c>
      <c r="N716" s="197" t="s">
        <v>743</v>
      </c>
    </row>
    <row r="717" spans="1:83" ht="12.6" customHeight="1" x14ac:dyDescent="0.25">
      <c r="O717" s="197"/>
    </row>
    <row r="718" spans="1:83" ht="12.6" customHeight="1" x14ac:dyDescent="0.25">
      <c r="O718" s="197"/>
    </row>
    <row r="719" spans="1:83" ht="12.6" customHeight="1" x14ac:dyDescent="0.25">
      <c r="O719" s="197"/>
    </row>
    <row r="720" spans="1:83" s="200" customFormat="1" ht="12.6" customHeight="1" x14ac:dyDescent="0.25">
      <c r="A720" s="200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2" customFormat="1" ht="12.6" customHeight="1" x14ac:dyDescent="0.25">
      <c r="A721" s="202" t="s">
        <v>745</v>
      </c>
      <c r="B721" s="202" t="s">
        <v>746</v>
      </c>
      <c r="C721" s="202" t="s">
        <v>747</v>
      </c>
      <c r="D721" s="202" t="s">
        <v>748</v>
      </c>
      <c r="E721" s="202" t="s">
        <v>749</v>
      </c>
      <c r="F721" s="202" t="s">
        <v>750</v>
      </c>
      <c r="G721" s="202" t="s">
        <v>751</v>
      </c>
      <c r="H721" s="202" t="s">
        <v>752</v>
      </c>
      <c r="I721" s="202" t="s">
        <v>753</v>
      </c>
      <c r="J721" s="202" t="s">
        <v>754</v>
      </c>
      <c r="K721" s="202" t="s">
        <v>755</v>
      </c>
      <c r="L721" s="202" t="s">
        <v>756</v>
      </c>
      <c r="M721" s="202" t="s">
        <v>757</v>
      </c>
      <c r="N721" s="202" t="s">
        <v>758</v>
      </c>
      <c r="O721" s="202" t="s">
        <v>759</v>
      </c>
      <c r="P721" s="202" t="s">
        <v>760</v>
      </c>
      <c r="Q721" s="202" t="s">
        <v>761</v>
      </c>
      <c r="R721" s="202" t="s">
        <v>762</v>
      </c>
      <c r="S721" s="202" t="s">
        <v>763</v>
      </c>
      <c r="T721" s="202" t="s">
        <v>764</v>
      </c>
      <c r="U721" s="202" t="s">
        <v>765</v>
      </c>
      <c r="V721" s="202" t="s">
        <v>766</v>
      </c>
      <c r="W721" s="202" t="s">
        <v>767</v>
      </c>
      <c r="X721" s="202" t="s">
        <v>768</v>
      </c>
      <c r="Y721" s="202" t="s">
        <v>769</v>
      </c>
      <c r="Z721" s="202" t="s">
        <v>770</v>
      </c>
      <c r="AA721" s="202" t="s">
        <v>771</v>
      </c>
      <c r="AB721" s="202" t="s">
        <v>772</v>
      </c>
      <c r="AC721" s="202" t="s">
        <v>773</v>
      </c>
      <c r="AD721" s="202" t="s">
        <v>774</v>
      </c>
      <c r="AE721" s="202" t="s">
        <v>775</v>
      </c>
      <c r="AF721" s="202" t="s">
        <v>776</v>
      </c>
      <c r="AG721" s="202" t="s">
        <v>777</v>
      </c>
      <c r="AH721" s="202" t="s">
        <v>778</v>
      </c>
      <c r="AI721" s="202" t="s">
        <v>779</v>
      </c>
      <c r="AJ721" s="202" t="s">
        <v>780</v>
      </c>
      <c r="AK721" s="202" t="s">
        <v>781</v>
      </c>
      <c r="AL721" s="202" t="s">
        <v>782</v>
      </c>
      <c r="AM721" s="202" t="s">
        <v>783</v>
      </c>
      <c r="AN721" s="202" t="s">
        <v>784</v>
      </c>
      <c r="AO721" s="202" t="s">
        <v>785</v>
      </c>
      <c r="AP721" s="202" t="s">
        <v>786</v>
      </c>
      <c r="AQ721" s="202" t="s">
        <v>787</v>
      </c>
      <c r="AR721" s="202" t="s">
        <v>788</v>
      </c>
      <c r="AS721" s="202" t="s">
        <v>789</v>
      </c>
      <c r="AT721" s="202" t="s">
        <v>790</v>
      </c>
      <c r="AU721" s="202" t="s">
        <v>791</v>
      </c>
      <c r="AV721" s="202" t="s">
        <v>792</v>
      </c>
      <c r="AW721" s="202" t="s">
        <v>793</v>
      </c>
      <c r="AX721" s="202" t="s">
        <v>794</v>
      </c>
      <c r="AY721" s="202" t="s">
        <v>795</v>
      </c>
      <c r="AZ721" s="202" t="s">
        <v>796</v>
      </c>
      <c r="BA721" s="202" t="s">
        <v>797</v>
      </c>
      <c r="BB721" s="202" t="s">
        <v>798</v>
      </c>
      <c r="BC721" s="202" t="s">
        <v>799</v>
      </c>
      <c r="BD721" s="202" t="s">
        <v>800</v>
      </c>
      <c r="BE721" s="202" t="s">
        <v>801</v>
      </c>
      <c r="BF721" s="202" t="s">
        <v>802</v>
      </c>
      <c r="BG721" s="202" t="s">
        <v>803</v>
      </c>
      <c r="BH721" s="202" t="s">
        <v>804</v>
      </c>
      <c r="BI721" s="202" t="s">
        <v>805</v>
      </c>
      <c r="BJ721" s="202" t="s">
        <v>806</v>
      </c>
      <c r="BK721" s="202" t="s">
        <v>807</v>
      </c>
      <c r="BL721" s="202" t="s">
        <v>808</v>
      </c>
      <c r="BM721" s="202" t="s">
        <v>809</v>
      </c>
      <c r="BN721" s="202" t="s">
        <v>810</v>
      </c>
      <c r="BO721" s="202" t="s">
        <v>811</v>
      </c>
      <c r="BP721" s="202" t="s">
        <v>812</v>
      </c>
      <c r="BQ721" s="202" t="s">
        <v>813</v>
      </c>
      <c r="BR721" s="202" t="s">
        <v>814</v>
      </c>
      <c r="BS721" s="202" t="s">
        <v>815</v>
      </c>
      <c r="BT721" s="202" t="s">
        <v>816</v>
      </c>
      <c r="BU721" s="202" t="s">
        <v>817</v>
      </c>
      <c r="BV721" s="202" t="s">
        <v>818</v>
      </c>
      <c r="BW721" s="202" t="s">
        <v>819</v>
      </c>
      <c r="BX721" s="202" t="s">
        <v>820</v>
      </c>
      <c r="BY721" s="202" t="s">
        <v>821</v>
      </c>
      <c r="BZ721" s="202" t="s">
        <v>822</v>
      </c>
      <c r="CA721" s="202" t="s">
        <v>823</v>
      </c>
      <c r="CB721" s="202" t="s">
        <v>824</v>
      </c>
      <c r="CC721" s="202" t="s">
        <v>825</v>
      </c>
      <c r="CD721" s="202" t="s">
        <v>1256</v>
      </c>
    </row>
    <row r="722" spans="1:84" s="200" customFormat="1" ht="12.6" customHeight="1" x14ac:dyDescent="0.25">
      <c r="A722" s="201" t="str">
        <f>RIGHT(C83,3)&amp;"*"&amp;RIGHT(C82,4)&amp;"*"&amp;"A"</f>
        <v>164*2017*A</v>
      </c>
      <c r="B722" s="275">
        <f>ROUND(C165,0)</f>
        <v>22914079</v>
      </c>
      <c r="C722" s="275">
        <f>ROUND(C166,0)</f>
        <v>338482</v>
      </c>
      <c r="D722" s="275">
        <f>ROUND(C167,0)</f>
        <v>1671048</v>
      </c>
      <c r="E722" s="275">
        <f>ROUND(C168,0)</f>
        <v>37774085</v>
      </c>
      <c r="F722" s="275">
        <f>ROUND(C169,0)</f>
        <v>383389</v>
      </c>
      <c r="G722" s="275">
        <f>ROUND(C170,0)</f>
        <v>18391371</v>
      </c>
      <c r="H722" s="275">
        <f>ROUND(C171+C172,0)</f>
        <v>1438563</v>
      </c>
      <c r="I722" s="275">
        <f>ROUND(C175,0)</f>
        <v>12173438</v>
      </c>
      <c r="J722" s="275">
        <f>ROUND(C176,0)</f>
        <v>2792527</v>
      </c>
      <c r="K722" s="275">
        <f>ROUND(C179,0)</f>
        <v>2367545</v>
      </c>
      <c r="L722" s="275">
        <f>ROUND(C180,0)</f>
        <v>966636</v>
      </c>
      <c r="M722" s="275">
        <f>ROUND(C183,0)</f>
        <v>299831</v>
      </c>
      <c r="N722" s="275">
        <f>ROUND(C184,0)</f>
        <v>6037410</v>
      </c>
      <c r="O722" s="275">
        <f>ROUND(C185,0)</f>
        <v>0</v>
      </c>
      <c r="P722" s="275">
        <f>ROUND(C188,0)</f>
        <v>8489759</v>
      </c>
      <c r="Q722" s="275">
        <f>ROUND(C189,0)</f>
        <v>0</v>
      </c>
      <c r="R722" s="275">
        <f>ROUND(B195,0)</f>
        <v>4913660</v>
      </c>
      <c r="S722" s="275">
        <f>ROUND(C195,0)</f>
        <v>0</v>
      </c>
      <c r="T722" s="275">
        <f>ROUND(D195,0)</f>
        <v>0</v>
      </c>
      <c r="U722" s="275">
        <f>ROUND(B196,0)</f>
        <v>14641422</v>
      </c>
      <c r="V722" s="275">
        <f>ROUND(C196,0)</f>
        <v>104707</v>
      </c>
      <c r="W722" s="275">
        <f>ROUND(D196,0)</f>
        <v>81903</v>
      </c>
      <c r="X722" s="275">
        <f>ROUND(B197,0)</f>
        <v>308435623</v>
      </c>
      <c r="Y722" s="275">
        <f>ROUND(C197,0)</f>
        <v>25858956</v>
      </c>
      <c r="Z722" s="275">
        <f>ROUND(D197,0)</f>
        <v>176626</v>
      </c>
      <c r="AA722" s="275">
        <f>ROUND(B198,0)</f>
        <v>119783526</v>
      </c>
      <c r="AB722" s="275">
        <f>ROUND(C198,0)</f>
        <v>8090713</v>
      </c>
      <c r="AC722" s="275">
        <f>ROUND(D198,0)</f>
        <v>105706</v>
      </c>
      <c r="AD722" s="275">
        <f>ROUND(B199,0)</f>
        <v>1078440</v>
      </c>
      <c r="AE722" s="275">
        <f>ROUND(C199,0)</f>
        <v>0</v>
      </c>
      <c r="AF722" s="275">
        <f>ROUND(D199,0)</f>
        <v>198588</v>
      </c>
      <c r="AG722" s="275">
        <f>ROUND(B200,0)</f>
        <v>256544186</v>
      </c>
      <c r="AH722" s="275">
        <f>ROUND(C200,0)</f>
        <v>30169887</v>
      </c>
      <c r="AI722" s="275">
        <f>ROUND(D200,0)</f>
        <v>8499338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29441340</v>
      </c>
      <c r="AN722" s="275">
        <f>ROUND(C202,0)</f>
        <v>6766189</v>
      </c>
      <c r="AO722" s="275">
        <f>ROUND(D202,0)</f>
        <v>655194</v>
      </c>
      <c r="AP722" s="275">
        <f>ROUND(B203,0)</f>
        <v>30151508</v>
      </c>
      <c r="AQ722" s="275">
        <f>ROUND(C203,0)</f>
        <v>50056102</v>
      </c>
      <c r="AR722" s="275">
        <f>ROUND(D203,0)</f>
        <v>70509147</v>
      </c>
      <c r="AS722" s="275"/>
      <c r="AT722" s="275"/>
      <c r="AU722" s="275"/>
      <c r="AV722" s="275">
        <f>ROUND(B209,0)</f>
        <v>11319843</v>
      </c>
      <c r="AW722" s="275">
        <f>ROUND(C209,0)</f>
        <v>467913</v>
      </c>
      <c r="AX722" s="275">
        <f>ROUND(D209,0)</f>
        <v>81903</v>
      </c>
      <c r="AY722" s="275">
        <f>ROUND(B210,0)</f>
        <v>141748944</v>
      </c>
      <c r="AZ722" s="275">
        <f>ROUND(C210,0)</f>
        <v>11313809</v>
      </c>
      <c r="BA722" s="275">
        <f>ROUND(D210,0)</f>
        <v>178469</v>
      </c>
      <c r="BB722" s="275">
        <f>ROUND(B211,0)</f>
        <v>83555840</v>
      </c>
      <c r="BC722" s="275">
        <f>ROUND(C211,0)</f>
        <v>4357290</v>
      </c>
      <c r="BD722" s="275">
        <f>ROUND(D211,0)</f>
        <v>103864</v>
      </c>
      <c r="BE722" s="275">
        <f>ROUND(B212,0)</f>
        <v>1058034</v>
      </c>
      <c r="BF722" s="275">
        <f>ROUND(C212,0)</f>
        <v>9326</v>
      </c>
      <c r="BG722" s="275">
        <f>ROUND(D212,0)</f>
        <v>198588</v>
      </c>
      <c r="BH722" s="275">
        <f>ROUND(B213,0)</f>
        <v>199257119</v>
      </c>
      <c r="BI722" s="275">
        <f>ROUND(C213,0)</f>
        <v>16392601</v>
      </c>
      <c r="BJ722" s="275">
        <f>ROUND(D213,0)</f>
        <v>8502847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17124491</v>
      </c>
      <c r="BO722" s="275">
        <f>ROUND(C215,0)</f>
        <v>1829444</v>
      </c>
      <c r="BP722" s="275">
        <f>ROUND(D215,0)</f>
        <v>655194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508188610</v>
      </c>
      <c r="BU722" s="275">
        <f>ROUND(C224,0)</f>
        <v>136344874</v>
      </c>
      <c r="BV722" s="275">
        <f>ROUND(C225,0)</f>
        <v>11900673</v>
      </c>
      <c r="BW722" s="275">
        <f>ROUND(C226,0)</f>
        <v>5319903</v>
      </c>
      <c r="BX722" s="275">
        <f>ROUND(C227,0)</f>
        <v>466726911</v>
      </c>
      <c r="BY722" s="275">
        <f>ROUND(C228,0)</f>
        <v>47667</v>
      </c>
      <c r="BZ722" s="275">
        <f>ROUND(C231,0)</f>
        <v>4660</v>
      </c>
      <c r="CA722" s="275">
        <f>ROUND(C233,0)</f>
        <v>3823834</v>
      </c>
      <c r="CB722" s="275">
        <f>ROUND(C234,0)</f>
        <v>4810789</v>
      </c>
      <c r="CC722" s="275">
        <f>ROUND(C238+C239,0)</f>
        <v>16139573</v>
      </c>
      <c r="CD722" s="275">
        <f>D221</f>
        <v>23448945</v>
      </c>
      <c r="CE722" s="275"/>
    </row>
    <row r="723" spans="1:84" ht="12.6" customHeight="1" x14ac:dyDescent="0.2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0" customFormat="1" ht="12.6" customHeight="1" x14ac:dyDescent="0.25">
      <c r="A724" s="200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2" customFormat="1" ht="12.6" customHeight="1" x14ac:dyDescent="0.25">
      <c r="A725" s="202" t="s">
        <v>745</v>
      </c>
      <c r="B725" s="202" t="s">
        <v>826</v>
      </c>
      <c r="C725" s="202" t="s">
        <v>827</v>
      </c>
      <c r="D725" s="202" t="s">
        <v>828</v>
      </c>
      <c r="E725" s="202" t="s">
        <v>829</v>
      </c>
      <c r="F725" s="202" t="s">
        <v>830</v>
      </c>
      <c r="G725" s="202" t="s">
        <v>831</v>
      </c>
      <c r="H725" s="202" t="s">
        <v>832</v>
      </c>
      <c r="I725" s="202" t="s">
        <v>833</v>
      </c>
      <c r="J725" s="202" t="s">
        <v>834</v>
      </c>
      <c r="K725" s="202" t="s">
        <v>835</v>
      </c>
      <c r="L725" s="202" t="s">
        <v>836</v>
      </c>
      <c r="M725" s="202" t="s">
        <v>837</v>
      </c>
      <c r="N725" s="202" t="s">
        <v>838</v>
      </c>
      <c r="O725" s="202" t="s">
        <v>839</v>
      </c>
      <c r="P725" s="202" t="s">
        <v>840</v>
      </c>
      <c r="Q725" s="202" t="s">
        <v>841</v>
      </c>
      <c r="R725" s="202" t="s">
        <v>842</v>
      </c>
      <c r="S725" s="202" t="s">
        <v>843</v>
      </c>
      <c r="T725" s="202" t="s">
        <v>844</v>
      </c>
      <c r="U725" s="202" t="s">
        <v>845</v>
      </c>
      <c r="V725" s="202" t="s">
        <v>846</v>
      </c>
      <c r="W725" s="202" t="s">
        <v>847</v>
      </c>
      <c r="X725" s="202" t="s">
        <v>848</v>
      </c>
      <c r="Y725" s="202" t="s">
        <v>849</v>
      </c>
      <c r="Z725" s="202" t="s">
        <v>850</v>
      </c>
      <c r="AA725" s="202" t="s">
        <v>851</v>
      </c>
      <c r="AB725" s="202" t="s">
        <v>852</v>
      </c>
      <c r="AC725" s="202" t="s">
        <v>853</v>
      </c>
      <c r="AD725" s="202" t="s">
        <v>854</v>
      </c>
      <c r="AE725" s="202" t="s">
        <v>855</v>
      </c>
      <c r="AF725" s="202" t="s">
        <v>856</v>
      </c>
      <c r="AG725" s="202" t="s">
        <v>857</v>
      </c>
      <c r="AH725" s="202" t="s">
        <v>858</v>
      </c>
      <c r="AI725" s="202" t="s">
        <v>859</v>
      </c>
      <c r="AJ725" s="202" t="s">
        <v>860</v>
      </c>
      <c r="AK725" s="202" t="s">
        <v>861</v>
      </c>
      <c r="AL725" s="202" t="s">
        <v>862</v>
      </c>
      <c r="AM725" s="202" t="s">
        <v>863</v>
      </c>
      <c r="AN725" s="202" t="s">
        <v>864</v>
      </c>
      <c r="AO725" s="202" t="s">
        <v>865</v>
      </c>
      <c r="AP725" s="202" t="s">
        <v>866</v>
      </c>
      <c r="AQ725" s="202" t="s">
        <v>867</v>
      </c>
      <c r="AR725" s="202" t="s">
        <v>868</v>
      </c>
      <c r="AS725" s="202" t="s">
        <v>869</v>
      </c>
      <c r="AT725" s="202" t="s">
        <v>870</v>
      </c>
      <c r="AU725" s="202" t="s">
        <v>871</v>
      </c>
      <c r="AV725" s="202" t="s">
        <v>872</v>
      </c>
      <c r="AW725" s="202" t="s">
        <v>873</v>
      </c>
      <c r="AX725" s="202" t="s">
        <v>874</v>
      </c>
      <c r="AY725" s="202" t="s">
        <v>875</v>
      </c>
      <c r="AZ725" s="202" t="s">
        <v>876</v>
      </c>
      <c r="BA725" s="202" t="s">
        <v>877</v>
      </c>
      <c r="BB725" s="202" t="s">
        <v>878</v>
      </c>
      <c r="BC725" s="202" t="s">
        <v>879</v>
      </c>
      <c r="BD725" s="202" t="s">
        <v>880</v>
      </c>
      <c r="BE725" s="202" t="s">
        <v>881</v>
      </c>
      <c r="BF725" s="202" t="s">
        <v>882</v>
      </c>
      <c r="BG725" s="202" t="s">
        <v>883</v>
      </c>
      <c r="BH725" s="202" t="s">
        <v>884</v>
      </c>
      <c r="BI725" s="202" t="s">
        <v>885</v>
      </c>
      <c r="BJ725" s="202" t="s">
        <v>886</v>
      </c>
      <c r="BK725" s="202" t="s">
        <v>887</v>
      </c>
      <c r="BL725" s="202" t="s">
        <v>888</v>
      </c>
      <c r="BM725" s="202" t="s">
        <v>889</v>
      </c>
      <c r="BN725" s="202" t="s">
        <v>890</v>
      </c>
      <c r="BO725" s="202" t="s">
        <v>891</v>
      </c>
      <c r="BP725" s="202" t="s">
        <v>892</v>
      </c>
      <c r="BQ725" s="202" t="s">
        <v>893</v>
      </c>
      <c r="BR725" s="202" t="s">
        <v>894</v>
      </c>
    </row>
    <row r="726" spans="1:84" s="200" customFormat="1" ht="12.6" customHeight="1" x14ac:dyDescent="0.25">
      <c r="A726" s="201" t="str">
        <f>RIGHT(C83,3)&amp;"*"&amp;RIGHT(C82,4)&amp;"*"&amp;"A"</f>
        <v>164*2017*A</v>
      </c>
      <c r="B726" s="275">
        <f>ROUND(C111,0)</f>
        <v>15281</v>
      </c>
      <c r="C726" s="275">
        <f>ROUND(C112,0)</f>
        <v>0</v>
      </c>
      <c r="D726" s="275">
        <f>ROUND(C113,0)</f>
        <v>0</v>
      </c>
      <c r="E726" s="275">
        <f>ROUND(C114,0)</f>
        <v>4635</v>
      </c>
      <c r="F726" s="275">
        <f>ROUND(D111,0)</f>
        <v>61154</v>
      </c>
      <c r="G726" s="275">
        <f>ROUND(D112,0)</f>
        <v>0</v>
      </c>
      <c r="H726" s="275">
        <f>ROUND(D113,0)</f>
        <v>0</v>
      </c>
      <c r="I726" s="275">
        <f>ROUND(D114,0)</f>
        <v>0</v>
      </c>
      <c r="J726" s="275">
        <f>ROUND(C116,0)</f>
        <v>14</v>
      </c>
      <c r="K726" s="275">
        <f>ROUND(C117,0)</f>
        <v>29</v>
      </c>
      <c r="L726" s="275">
        <f>ROUND(C118,0)</f>
        <v>109</v>
      </c>
      <c r="M726" s="275">
        <f>ROUND(C119,0)</f>
        <v>0</v>
      </c>
      <c r="N726" s="275">
        <f>ROUND(C120,0)</f>
        <v>36</v>
      </c>
      <c r="O726" s="275">
        <f>ROUND(C121,0)</f>
        <v>9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20</v>
      </c>
      <c r="V726" s="275">
        <f>ROUND(C128,0)</f>
        <v>318</v>
      </c>
      <c r="W726" s="275">
        <f>ROUND(C129,0)</f>
        <v>0</v>
      </c>
      <c r="X726" s="275">
        <f>ROUND(B138,0)</f>
        <v>5908</v>
      </c>
      <c r="Y726" s="275">
        <f>ROUND(B139,0)</f>
        <v>31951</v>
      </c>
      <c r="Z726" s="275">
        <f>ROUND(B140,0)</f>
        <v>0</v>
      </c>
      <c r="AA726" s="275">
        <f>ROUND(B141,0)</f>
        <v>364082044</v>
      </c>
      <c r="AB726" s="275">
        <f>ROUND(B142,0)</f>
        <v>384589044</v>
      </c>
      <c r="AC726" s="275">
        <f>ROUND(C138,0)</f>
        <v>2522</v>
      </c>
      <c r="AD726" s="275">
        <f>ROUND(C139,0)</f>
        <v>10198</v>
      </c>
      <c r="AE726" s="275">
        <f>ROUND(C140,0)</f>
        <v>0</v>
      </c>
      <c r="AF726" s="275">
        <f>ROUND(C141,0)</f>
        <v>91646394</v>
      </c>
      <c r="AG726" s="275">
        <f>ROUND(C142,0)</f>
        <v>91443186</v>
      </c>
      <c r="AH726" s="275">
        <f>ROUND(D138,0)</f>
        <v>6851</v>
      </c>
      <c r="AI726" s="275">
        <f>ROUND(D139,0)</f>
        <v>19005</v>
      </c>
      <c r="AJ726" s="275">
        <f>ROUND(D140,0)</f>
        <v>0</v>
      </c>
      <c r="AK726" s="275">
        <f>ROUND(D141,0)</f>
        <v>343220348</v>
      </c>
      <c r="AL726" s="275">
        <f>ROUND(D142,0)</f>
        <v>529130307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5402748</v>
      </c>
      <c r="BR726" s="275">
        <f>ROUND(C157,0)</f>
        <v>11771500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 x14ac:dyDescent="0.2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0" customFormat="1" ht="12.6" customHeight="1" x14ac:dyDescent="0.25">
      <c r="A728" s="200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2" customFormat="1" ht="12.6" customHeight="1" x14ac:dyDescent="0.25">
      <c r="A729" s="202" t="s">
        <v>745</v>
      </c>
      <c r="B729" s="202" t="s">
        <v>896</v>
      </c>
      <c r="C729" s="202" t="s">
        <v>897</v>
      </c>
      <c r="D729" s="202" t="s">
        <v>898</v>
      </c>
      <c r="E729" s="202" t="s">
        <v>899</v>
      </c>
      <c r="F729" s="202" t="s">
        <v>900</v>
      </c>
      <c r="G729" s="202" t="s">
        <v>901</v>
      </c>
      <c r="H729" s="202" t="s">
        <v>902</v>
      </c>
      <c r="I729" s="202" t="s">
        <v>903</v>
      </c>
      <c r="J729" s="202" t="s">
        <v>904</v>
      </c>
      <c r="K729" s="202" t="s">
        <v>905</v>
      </c>
      <c r="L729" s="202" t="s">
        <v>906</v>
      </c>
      <c r="M729" s="202" t="s">
        <v>907</v>
      </c>
      <c r="N729" s="202" t="s">
        <v>908</v>
      </c>
      <c r="O729" s="202" t="s">
        <v>909</v>
      </c>
      <c r="P729" s="202" t="s">
        <v>910</v>
      </c>
      <c r="Q729" s="202" t="s">
        <v>911</v>
      </c>
      <c r="R729" s="202" t="s">
        <v>912</v>
      </c>
      <c r="S729" s="202" t="s">
        <v>913</v>
      </c>
      <c r="T729" s="202" t="s">
        <v>914</v>
      </c>
      <c r="U729" s="202" t="s">
        <v>915</v>
      </c>
      <c r="V729" s="202" t="s">
        <v>916</v>
      </c>
      <c r="W729" s="202" t="s">
        <v>917</v>
      </c>
      <c r="X729" s="202" t="s">
        <v>918</v>
      </c>
      <c r="Y729" s="202" t="s">
        <v>919</v>
      </c>
      <c r="Z729" s="202" t="s">
        <v>920</v>
      </c>
      <c r="AA729" s="202" t="s">
        <v>921</v>
      </c>
      <c r="AB729" s="202" t="s">
        <v>922</v>
      </c>
      <c r="AC729" s="202" t="s">
        <v>923</v>
      </c>
      <c r="AD729" s="202" t="s">
        <v>924</v>
      </c>
      <c r="AE729" s="202" t="s">
        <v>925</v>
      </c>
      <c r="AF729" s="202" t="s">
        <v>926</v>
      </c>
      <c r="AG729" s="202" t="s">
        <v>927</v>
      </c>
      <c r="AH729" s="202" t="s">
        <v>928</v>
      </c>
      <c r="AI729" s="202" t="s">
        <v>929</v>
      </c>
      <c r="AJ729" s="202" t="s">
        <v>930</v>
      </c>
      <c r="AK729" s="202" t="s">
        <v>931</v>
      </c>
      <c r="AL729" s="202" t="s">
        <v>932</v>
      </c>
      <c r="AM729" s="202" t="s">
        <v>933</v>
      </c>
      <c r="AN729" s="202" t="s">
        <v>934</v>
      </c>
      <c r="AO729" s="202" t="s">
        <v>935</v>
      </c>
      <c r="AP729" s="202" t="s">
        <v>936</v>
      </c>
      <c r="AQ729" s="202" t="s">
        <v>937</v>
      </c>
      <c r="AR729" s="202" t="s">
        <v>938</v>
      </c>
      <c r="AS729" s="202" t="s">
        <v>939</v>
      </c>
      <c r="AT729" s="202" t="s">
        <v>940</v>
      </c>
      <c r="AU729" s="202" t="s">
        <v>941</v>
      </c>
      <c r="AV729" s="202" t="s">
        <v>942</v>
      </c>
      <c r="AW729" s="202" t="s">
        <v>943</v>
      </c>
      <c r="AX729" s="202" t="s">
        <v>944</v>
      </c>
      <c r="AY729" s="202" t="s">
        <v>945</v>
      </c>
      <c r="AZ729" s="202" t="s">
        <v>946</v>
      </c>
      <c r="BA729" s="202" t="s">
        <v>947</v>
      </c>
      <c r="BB729" s="202" t="s">
        <v>948</v>
      </c>
      <c r="BC729" s="202" t="s">
        <v>949</v>
      </c>
      <c r="BD729" s="202" t="s">
        <v>950</v>
      </c>
      <c r="BE729" s="202" t="s">
        <v>951</v>
      </c>
      <c r="BF729" s="202" t="s">
        <v>952</v>
      </c>
      <c r="BG729" s="202" t="s">
        <v>953</v>
      </c>
      <c r="BH729" s="202" t="s">
        <v>954</v>
      </c>
      <c r="BI729" s="202" t="s">
        <v>955</v>
      </c>
      <c r="BJ729" s="202" t="s">
        <v>956</v>
      </c>
      <c r="BK729" s="202" t="s">
        <v>957</v>
      </c>
      <c r="BL729" s="202" t="s">
        <v>958</v>
      </c>
      <c r="BM729" s="202" t="s">
        <v>959</v>
      </c>
      <c r="BN729" s="202" t="s">
        <v>960</v>
      </c>
      <c r="BO729" s="202" t="s">
        <v>961</v>
      </c>
      <c r="BP729" s="202" t="s">
        <v>962</v>
      </c>
      <c r="BQ729" s="202" t="s">
        <v>963</v>
      </c>
      <c r="BR729" s="202" t="s">
        <v>964</v>
      </c>
      <c r="BS729" s="202" t="s">
        <v>965</v>
      </c>
      <c r="BT729" s="202" t="s">
        <v>966</v>
      </c>
      <c r="BU729" s="202" t="s">
        <v>967</v>
      </c>
      <c r="BV729" s="202" t="s">
        <v>968</v>
      </c>
      <c r="BW729" s="202" t="s">
        <v>969</v>
      </c>
      <c r="BX729" s="202" t="s">
        <v>970</v>
      </c>
      <c r="BY729" s="202" t="s">
        <v>971</v>
      </c>
      <c r="BZ729" s="202" t="s">
        <v>972</v>
      </c>
      <c r="CA729" s="202" t="s">
        <v>973</v>
      </c>
      <c r="CB729" s="202" t="s">
        <v>974</v>
      </c>
      <c r="CC729" s="202" t="s">
        <v>975</v>
      </c>
      <c r="CD729" s="202" t="s">
        <v>976</v>
      </c>
      <c r="CE729" s="202" t="s">
        <v>977</v>
      </c>
      <c r="CF729" s="202" t="s">
        <v>978</v>
      </c>
    </row>
    <row r="730" spans="1:84" s="200" customFormat="1" ht="12.6" customHeight="1" x14ac:dyDescent="0.25">
      <c r="A730" s="201" t="str">
        <f>RIGHT(C83,3)&amp;"*"&amp;RIGHT(C82,4)&amp;"*"&amp;"A"</f>
        <v>164*2017*A</v>
      </c>
      <c r="B730" s="275">
        <f>ROUND(C250,0)</f>
        <v>43606620</v>
      </c>
      <c r="C730" s="275">
        <f>ROUND(C251,0)</f>
        <v>0</v>
      </c>
      <c r="D730" s="275">
        <f>ROUND(C252,0)</f>
        <v>249253223</v>
      </c>
      <c r="E730" s="275">
        <f>ROUND(C253,0)</f>
        <v>166734249</v>
      </c>
      <c r="F730" s="275">
        <f>ROUND(C254,0)</f>
        <v>2764259</v>
      </c>
      <c r="G730" s="275">
        <f>ROUND(C255,0)</f>
        <v>8984148</v>
      </c>
      <c r="H730" s="275">
        <f>ROUND(C256,0)</f>
        <v>2141608</v>
      </c>
      <c r="I730" s="275">
        <f>ROUND(C257,0)</f>
        <v>7447890</v>
      </c>
      <c r="J730" s="275">
        <f>ROUND(C258,0)</f>
        <v>8202117</v>
      </c>
      <c r="K730" s="275">
        <f>ROUND(C259,0)</f>
        <v>0</v>
      </c>
      <c r="L730" s="275">
        <f>ROUND(C262,0)</f>
        <v>136670052</v>
      </c>
      <c r="M730" s="275">
        <f>ROUND(C263,0)</f>
        <v>0</v>
      </c>
      <c r="N730" s="275">
        <f>ROUND(C264,0)</f>
        <v>0</v>
      </c>
      <c r="O730" s="275">
        <f>ROUND(C267,0)</f>
        <v>4913660</v>
      </c>
      <c r="P730" s="275">
        <f>ROUND(C268,0)</f>
        <v>14664226</v>
      </c>
      <c r="Q730" s="275">
        <f>ROUND(C269,0)</f>
        <v>334117953</v>
      </c>
      <c r="R730" s="275">
        <f>ROUND(C270,0)</f>
        <v>127768532</v>
      </c>
      <c r="S730" s="275">
        <f>ROUND(C271,0)</f>
        <v>879852</v>
      </c>
      <c r="T730" s="275">
        <f>ROUND(C272,0)</f>
        <v>277835440</v>
      </c>
      <c r="U730" s="275">
        <f>ROUND(C273,0)</f>
        <v>35931630</v>
      </c>
      <c r="V730" s="275">
        <f>ROUND(C274,0)</f>
        <v>9698464</v>
      </c>
      <c r="W730" s="275">
        <f>ROUND(C275,0)</f>
        <v>0</v>
      </c>
      <c r="X730" s="275">
        <f>ROUND(C276,0)</f>
        <v>478713790</v>
      </c>
      <c r="Y730" s="275">
        <f>ROUND(C279,0)</f>
        <v>0</v>
      </c>
      <c r="Z730" s="275">
        <f>ROUND(C280,0)</f>
        <v>0</v>
      </c>
      <c r="AA730" s="275">
        <f>ROUND(C281,0)</f>
        <v>10460115</v>
      </c>
      <c r="AB730" s="275">
        <f>ROUND(C282,0)</f>
        <v>6463258</v>
      </c>
      <c r="AC730" s="275">
        <f>ROUND(C286,0)</f>
        <v>24968771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25699029</v>
      </c>
      <c r="AI730" s="275">
        <f>ROUND(C306,0)</f>
        <v>40752711</v>
      </c>
      <c r="AJ730" s="275">
        <f>ROUND(C307,0)</f>
        <v>779533</v>
      </c>
      <c r="AK730" s="275">
        <f>ROUND(C308,0)</f>
        <v>0</v>
      </c>
      <c r="AL730" s="275">
        <f>ROUND(C309,0)</f>
        <v>2806941</v>
      </c>
      <c r="AM730" s="275">
        <f>ROUND(C310,0)</f>
        <v>0</v>
      </c>
      <c r="AN730" s="275">
        <f>ROUND(C311,0)</f>
        <v>0</v>
      </c>
      <c r="AO730" s="275">
        <f>ROUND(C312,0)</f>
        <v>1741863</v>
      </c>
      <c r="AP730" s="275">
        <f>ROUND(C313,0)</f>
        <v>13102946</v>
      </c>
      <c r="AQ730" s="275">
        <f>ROUND(C316,0)</f>
        <v>0</v>
      </c>
      <c r="AR730" s="275">
        <f>ROUND(C317,0)</f>
        <v>20434429</v>
      </c>
      <c r="AS730" s="275">
        <f>ROUND(C318,0)</f>
        <v>270959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7904132</v>
      </c>
      <c r="AX730" s="275">
        <f>ROUND(C325,0)</f>
        <v>209648400</v>
      </c>
      <c r="AY730" s="275">
        <f>ROUND(C326,0)</f>
        <v>0</v>
      </c>
      <c r="AZ730" s="275">
        <f>ROUND(C327,0)</f>
        <v>7900452</v>
      </c>
      <c r="BA730" s="275">
        <f>ROUND(C328,0)</f>
        <v>0</v>
      </c>
      <c r="BB730" s="275">
        <f>ROUND(C332,0)</f>
        <v>343385330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3747.92</v>
      </c>
      <c r="BJ730" s="275">
        <f>ROUND(C359,0)</f>
        <v>798948786</v>
      </c>
      <c r="BK730" s="275">
        <f>ROUND(C360,0)</f>
        <v>1005162536</v>
      </c>
      <c r="BL730" s="275">
        <f>ROUND(C364,0)</f>
        <v>1128528637</v>
      </c>
      <c r="BM730" s="275">
        <f>ROUND(C365,0)</f>
        <v>8634623</v>
      </c>
      <c r="BN730" s="275">
        <f>ROUND(C366,0)</f>
        <v>16139573</v>
      </c>
      <c r="BO730" s="275">
        <f>ROUND(C370,0)</f>
        <v>41905699</v>
      </c>
      <c r="BP730" s="275">
        <f>ROUND(C371,0)</f>
        <v>25730761</v>
      </c>
      <c r="BQ730" s="275">
        <f>ROUND(C378,0)</f>
        <v>360208990</v>
      </c>
      <c r="BR730" s="275">
        <f>ROUND(C379,0)</f>
        <v>83289969</v>
      </c>
      <c r="BS730" s="275">
        <f>ROUND(C380,0)</f>
        <v>10786946</v>
      </c>
      <c r="BT730" s="275">
        <f>ROUND(C381,0)</f>
        <v>94837385</v>
      </c>
      <c r="BU730" s="275">
        <f>ROUND(C382,0)</f>
        <v>6368638</v>
      </c>
      <c r="BV730" s="275">
        <f>ROUND(C383,0)</f>
        <v>50914307</v>
      </c>
      <c r="BW730" s="275">
        <f>ROUND(C384,0)</f>
        <v>34228703</v>
      </c>
      <c r="BX730" s="275">
        <f>ROUND(C385,0)</f>
        <v>14965975</v>
      </c>
      <c r="BY730" s="275">
        <f>ROUND(C386,0)</f>
        <v>3334181</v>
      </c>
      <c r="BZ730" s="275">
        <f>ROUND(C387,0)</f>
        <v>6337241</v>
      </c>
      <c r="CA730" s="275">
        <f>ROUND(C388,0)</f>
        <v>8489759</v>
      </c>
      <c r="CB730" s="275">
        <f>C363</f>
        <v>23448945</v>
      </c>
      <c r="CC730" s="275">
        <f>ROUND(C389,0)</f>
        <v>8343917</v>
      </c>
      <c r="CD730" s="275">
        <f>ROUND(C392,0)</f>
        <v>1724357</v>
      </c>
      <c r="CE730" s="275">
        <f>ROUND(C394,0)</f>
        <v>0</v>
      </c>
      <c r="CF730" s="200">
        <f>ROUND(C395,0)</f>
        <v>0</v>
      </c>
    </row>
    <row r="731" spans="1:84" ht="12.6" customHeight="1" x14ac:dyDescent="0.2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0" customFormat="1" ht="12.6" customHeight="1" x14ac:dyDescent="0.25">
      <c r="A732" s="200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2" customFormat="1" ht="12.6" customHeight="1" x14ac:dyDescent="0.25">
      <c r="A733" s="202" t="s">
        <v>745</v>
      </c>
      <c r="B733" s="202" t="s">
        <v>980</v>
      </c>
      <c r="C733" s="202" t="s">
        <v>981</v>
      </c>
      <c r="D733" s="202" t="s">
        <v>982</v>
      </c>
      <c r="E733" s="202" t="s">
        <v>983</v>
      </c>
      <c r="F733" s="202" t="s">
        <v>984</v>
      </c>
      <c r="G733" s="202" t="s">
        <v>985</v>
      </c>
      <c r="H733" s="202" t="s">
        <v>986</v>
      </c>
      <c r="I733" s="202" t="s">
        <v>987</v>
      </c>
      <c r="J733" s="202" t="s">
        <v>988</v>
      </c>
      <c r="K733" s="202" t="s">
        <v>989</v>
      </c>
      <c r="L733" s="202" t="s">
        <v>990</v>
      </c>
      <c r="M733" s="202" t="s">
        <v>991</v>
      </c>
      <c r="N733" s="202" t="s">
        <v>992</v>
      </c>
      <c r="O733" s="202" t="s">
        <v>993</v>
      </c>
      <c r="P733" s="202" t="s">
        <v>994</v>
      </c>
      <c r="Q733" s="202" t="s">
        <v>995</v>
      </c>
      <c r="R733" s="202" t="s">
        <v>996</v>
      </c>
      <c r="S733" s="202" t="s">
        <v>997</v>
      </c>
      <c r="T733" s="202" t="s">
        <v>998</v>
      </c>
      <c r="U733" s="202" t="s">
        <v>999</v>
      </c>
      <c r="V733" s="202" t="s">
        <v>1000</v>
      </c>
      <c r="W733" s="202" t="s">
        <v>1001</v>
      </c>
      <c r="X733" s="202" t="s">
        <v>1002</v>
      </c>
      <c r="Y733" s="202" t="s">
        <v>1003</v>
      </c>
    </row>
    <row r="734" spans="1:84" s="200" customFormat="1" ht="12.6" customHeight="1" x14ac:dyDescent="0.25">
      <c r="A734" s="201" t="str">
        <f>RIGHT($C$83,3)&amp;"*"&amp;RIGHT($C$82,4)&amp;"*"&amp;C$55&amp;"*"&amp;"A"</f>
        <v>164*2017*6010*A</v>
      </c>
      <c r="B734" s="275">
        <f>ROUND(C59,0)</f>
        <v>4893</v>
      </c>
      <c r="C734" s="275">
        <f>ROUND(C60,2)</f>
        <v>142.82</v>
      </c>
      <c r="D734" s="275">
        <f>ROUND(C61,0)</f>
        <v>14061331</v>
      </c>
      <c r="E734" s="275">
        <f>ROUND(C62,0)</f>
        <v>3043882</v>
      </c>
      <c r="F734" s="275">
        <f>ROUND(C63,0)</f>
        <v>582502</v>
      </c>
      <c r="G734" s="275">
        <f>ROUND(C64,0)</f>
        <v>1595993</v>
      </c>
      <c r="H734" s="275">
        <f>ROUND(C65,0)</f>
        <v>9094</v>
      </c>
      <c r="I734" s="275">
        <f>ROUND(C66,0)</f>
        <v>360043</v>
      </c>
      <c r="J734" s="275">
        <f>ROUND(C67,0)</f>
        <v>455247</v>
      </c>
      <c r="K734" s="275">
        <f>ROUND(C68,0)</f>
        <v>4295</v>
      </c>
      <c r="L734" s="275">
        <f>ROUND(C69,0)</f>
        <v>55509</v>
      </c>
      <c r="M734" s="275">
        <f>ROUND(C70,0)</f>
        <v>9776</v>
      </c>
      <c r="N734" s="275">
        <f>ROUND(C75,0)</f>
        <v>77691707</v>
      </c>
      <c r="O734" s="275">
        <f>ROUND(C73,0)</f>
        <v>77646994</v>
      </c>
      <c r="P734" s="275">
        <f>IF(C76&gt;0,ROUND(C76,0),0)</f>
        <v>31983</v>
      </c>
      <c r="Q734" s="275">
        <f>IF(C77&gt;0,ROUND(C77,0),0)</f>
        <v>9806</v>
      </c>
      <c r="R734" s="275">
        <f>IF(C78&gt;0,ROUND(C78,0),0)</f>
        <v>3560</v>
      </c>
      <c r="S734" s="275">
        <f>IF(C79&gt;0,ROUND(C79,0),0)</f>
        <v>170346</v>
      </c>
      <c r="T734" s="275">
        <f>IF(C80&gt;0,ROUND(C80,2),0)</f>
        <v>102.09</v>
      </c>
      <c r="U734" s="275"/>
      <c r="V734" s="275"/>
      <c r="W734" s="275"/>
      <c r="X734" s="275"/>
      <c r="Y734" s="275">
        <f>IF(M668&lt;&gt;0,ROUND(M668,0),0)</f>
        <v>6399868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 x14ac:dyDescent="0.25">
      <c r="A735" s="208" t="str">
        <f>RIGHT($C$83,3)&amp;"*"&amp;RIGHT($C$82,4)&amp;"*"&amp;D$55&amp;"*"&amp;"A"</f>
        <v>164*2017*6030*A</v>
      </c>
      <c r="B735" s="275">
        <f>ROUND(D59,0)</f>
        <v>10042</v>
      </c>
      <c r="C735" s="277">
        <f>ROUND(D60,2)</f>
        <v>82.51</v>
      </c>
      <c r="D735" s="275">
        <f>ROUND(D61,0)</f>
        <v>7181038</v>
      </c>
      <c r="E735" s="275">
        <f>ROUND(D62,0)</f>
        <v>1885468</v>
      </c>
      <c r="F735" s="275">
        <f>ROUND(D63,0)</f>
        <v>0</v>
      </c>
      <c r="G735" s="275">
        <f>ROUND(D64,0)</f>
        <v>877301</v>
      </c>
      <c r="H735" s="275">
        <f>ROUND(D65,0)</f>
        <v>0</v>
      </c>
      <c r="I735" s="275">
        <f>ROUND(D66,0)</f>
        <v>364647</v>
      </c>
      <c r="J735" s="275">
        <f>ROUND(D67,0)</f>
        <v>1337509</v>
      </c>
      <c r="K735" s="275">
        <f>ROUND(D68,0)</f>
        <v>0</v>
      </c>
      <c r="L735" s="275">
        <f>ROUND(D69,0)</f>
        <v>16957</v>
      </c>
      <c r="M735" s="275">
        <f>ROUND(D70,0)</f>
        <v>0</v>
      </c>
      <c r="N735" s="275">
        <f>ROUND(D75,0)</f>
        <v>49648421</v>
      </c>
      <c r="O735" s="275">
        <f>ROUND(D73,0)</f>
        <v>49438487</v>
      </c>
      <c r="P735" s="275">
        <f>IF(D76&gt;0,ROUND(D76,0),0)</f>
        <v>24550</v>
      </c>
      <c r="Q735" s="275">
        <f>IF(D77&gt;0,ROUND(D77,0),0)</f>
        <v>31922</v>
      </c>
      <c r="R735" s="275">
        <f>IF(D78&gt;0,ROUND(D78,0),0)</f>
        <v>2733</v>
      </c>
      <c r="S735" s="275">
        <f>IF(D79&gt;0,ROUND(D79,0),0)</f>
        <v>216640</v>
      </c>
      <c r="T735" s="277">
        <f>IF(D80&gt;0,ROUND(D80,2),0)</f>
        <v>50.3</v>
      </c>
      <c r="U735" s="275"/>
      <c r="V735" s="276"/>
      <c r="W735" s="275"/>
      <c r="X735" s="275"/>
      <c r="Y735" s="275">
        <f t="shared" ref="Y735:Y779" si="22">IF(M669&lt;&gt;0,ROUND(M669,0),0)</f>
        <v>4019962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 x14ac:dyDescent="0.25">
      <c r="A736" s="208" t="str">
        <f>RIGHT($C$83,3)&amp;"*"&amp;RIGHT($C$82,4)&amp;"*"&amp;E$55&amp;"*"&amp;"A"</f>
        <v>164*2017*6070*A</v>
      </c>
      <c r="B736" s="275">
        <f>ROUND(E59,0)</f>
        <v>32619</v>
      </c>
      <c r="C736" s="277">
        <f>ROUND(E60,2)</f>
        <v>239.44</v>
      </c>
      <c r="D736" s="275">
        <f>ROUND(E61,0)</f>
        <v>18821768</v>
      </c>
      <c r="E736" s="275">
        <f>ROUND(E62,0)</f>
        <v>4190568</v>
      </c>
      <c r="F736" s="275">
        <f>ROUND(E63,0)</f>
        <v>0</v>
      </c>
      <c r="G736" s="275">
        <f>ROUND(E64,0)</f>
        <v>1948208</v>
      </c>
      <c r="H736" s="275">
        <f>ROUND(E65,0)</f>
        <v>0</v>
      </c>
      <c r="I736" s="275">
        <f>ROUND(E66,0)</f>
        <v>698368</v>
      </c>
      <c r="J736" s="275">
        <f>ROUND(E67,0)</f>
        <v>1902338</v>
      </c>
      <c r="K736" s="275">
        <f>ROUND(E68,0)</f>
        <v>0</v>
      </c>
      <c r="L736" s="275">
        <f>ROUND(E69,0)</f>
        <v>23888</v>
      </c>
      <c r="M736" s="275">
        <f>ROUND(E70,0)</f>
        <v>9387</v>
      </c>
      <c r="N736" s="275">
        <f>ROUND(E75,0)</f>
        <v>113672530</v>
      </c>
      <c r="O736" s="275">
        <f>ROUND(E73,0)</f>
        <v>109572198</v>
      </c>
      <c r="P736" s="275">
        <f>IF(E76&gt;0,ROUND(E76,0),0)</f>
        <v>114123</v>
      </c>
      <c r="Q736" s="275">
        <f>IF(E77&gt;0,ROUND(E77,0),0)</f>
        <v>97242</v>
      </c>
      <c r="R736" s="275">
        <f>IF(E78&gt;0,ROUND(E78,0),0)</f>
        <v>12704</v>
      </c>
      <c r="S736" s="275">
        <f>IF(E79&gt;0,ROUND(E79,0),0)</f>
        <v>513190</v>
      </c>
      <c r="T736" s="277">
        <f>IF(E80&gt;0,ROUND(E80,2),0)</f>
        <v>145.80000000000001</v>
      </c>
      <c r="U736" s="275"/>
      <c r="V736" s="276"/>
      <c r="W736" s="275"/>
      <c r="X736" s="275"/>
      <c r="Y736" s="275">
        <f t="shared" si="22"/>
        <v>11443047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 x14ac:dyDescent="0.25">
      <c r="A737" s="208" t="str">
        <f>RIGHT($C$83,3)&amp;"*"&amp;RIGHT($C$82,4)&amp;"*"&amp;F$55&amp;"*"&amp;"A"</f>
        <v>164*2017*6100*A</v>
      </c>
      <c r="B737" s="275">
        <f>ROUND(F59,0)</f>
        <v>0</v>
      </c>
      <c r="C737" s="277">
        <f>ROUND(F60,2)</f>
        <v>4.5599999999999996</v>
      </c>
      <c r="D737" s="275">
        <f>ROUND(F61,0)</f>
        <v>1334273</v>
      </c>
      <c r="E737" s="275">
        <f>ROUND(F62,0)</f>
        <v>277512</v>
      </c>
      <c r="F737" s="275">
        <f>ROUND(F63,0)</f>
        <v>0</v>
      </c>
      <c r="G737" s="275">
        <f>ROUND(F64,0)</f>
        <v>107</v>
      </c>
      <c r="H737" s="275">
        <f>ROUND(F65,0)</f>
        <v>1007</v>
      </c>
      <c r="I737" s="275">
        <f>ROUND(F66,0)</f>
        <v>39</v>
      </c>
      <c r="J737" s="275">
        <f>ROUND(F67,0)</f>
        <v>721</v>
      </c>
      <c r="K737" s="275">
        <f>ROUND(F68,0)</f>
        <v>0</v>
      </c>
      <c r="L737" s="275">
        <f>ROUND(F69,0)</f>
        <v>37639</v>
      </c>
      <c r="M737" s="275">
        <f>ROUND(F70,0)</f>
        <v>800</v>
      </c>
      <c r="N737" s="275">
        <f>ROUND(F75,0)</f>
        <v>644549</v>
      </c>
      <c r="O737" s="275">
        <f>ROUND(F73,0)</f>
        <v>503946</v>
      </c>
      <c r="P737" s="275">
        <f>IF(F76&gt;0,ROUND(F76,0),0)</f>
        <v>151</v>
      </c>
      <c r="Q737" s="275">
        <f>IF(F77&gt;0,ROUND(F77,0),0)</f>
        <v>0</v>
      </c>
      <c r="R737" s="275">
        <f>IF(F78&gt;0,ROUND(F78,0),0)</f>
        <v>61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2"/>
        <v>121949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 x14ac:dyDescent="0.25">
      <c r="A738" s="208" t="str">
        <f>RIGHT($C$83,3)&amp;"*"&amp;RIGHT($C$82,4)&amp;"*"&amp;G$55&amp;"*"&amp;"A"</f>
        <v>164*2017*6120*A</v>
      </c>
      <c r="B738" s="275">
        <f>ROUND(G59,0)</f>
        <v>3175</v>
      </c>
      <c r="C738" s="277">
        <f>ROUND(G60,2)</f>
        <v>17.53</v>
      </c>
      <c r="D738" s="275">
        <f>ROUND(G61,0)</f>
        <v>1573714</v>
      </c>
      <c r="E738" s="275">
        <f>ROUND(G62,0)</f>
        <v>427355</v>
      </c>
      <c r="F738" s="275">
        <f>ROUND(G63,0)</f>
        <v>0</v>
      </c>
      <c r="G738" s="275">
        <f>ROUND(G64,0)</f>
        <v>74253</v>
      </c>
      <c r="H738" s="275">
        <f>ROUND(G65,0)</f>
        <v>0</v>
      </c>
      <c r="I738" s="275">
        <f>ROUND(G66,0)</f>
        <v>24719</v>
      </c>
      <c r="J738" s="275">
        <f>ROUND(G67,0)</f>
        <v>104549</v>
      </c>
      <c r="K738" s="275">
        <f>ROUND(G68,0)</f>
        <v>274</v>
      </c>
      <c r="L738" s="275">
        <f>ROUND(G69,0)</f>
        <v>15364</v>
      </c>
      <c r="M738" s="275">
        <f>ROUND(G70,0)</f>
        <v>0</v>
      </c>
      <c r="N738" s="275">
        <f>ROUND(G75,0)</f>
        <v>13139132</v>
      </c>
      <c r="O738" s="275">
        <f>ROUND(G73,0)</f>
        <v>13139132</v>
      </c>
      <c r="P738" s="275">
        <f>IF(G76&gt;0,ROUND(G76,0),0)</f>
        <v>8974</v>
      </c>
      <c r="Q738" s="275">
        <f>IF(G77&gt;0,ROUND(G77,0),0)</f>
        <v>9387</v>
      </c>
      <c r="R738" s="275">
        <f>IF(G78&gt;0,ROUND(G78,0),0)</f>
        <v>999</v>
      </c>
      <c r="S738" s="275">
        <f>IF(G79&gt;0,ROUND(G79,0),0)</f>
        <v>33937</v>
      </c>
      <c r="T738" s="277">
        <f>IF(G80&gt;0,ROUND(G80,2),0)</f>
        <v>10.54</v>
      </c>
      <c r="U738" s="275"/>
      <c r="V738" s="276"/>
      <c r="W738" s="275"/>
      <c r="X738" s="275"/>
      <c r="Y738" s="275">
        <f t="shared" si="22"/>
        <v>1053117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 x14ac:dyDescent="0.25">
      <c r="A739" s="208" t="str">
        <f>RIGHT($C$83,3)&amp;"*"&amp;RIGHT($C$82,4)&amp;"*"&amp;H$55&amp;"*"&amp;"A"</f>
        <v>164*2017*6140*A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2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 x14ac:dyDescent="0.25">
      <c r="A740" s="208" t="str">
        <f>RIGHT($C$83,3)&amp;"*"&amp;RIGHT($C$82,4)&amp;"*"&amp;I$55&amp;"*"&amp;"A"</f>
        <v>164*2017*6150*A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2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 x14ac:dyDescent="0.25">
      <c r="A741" s="208" t="str">
        <f>RIGHT($C$83,3)&amp;"*"&amp;RIGHT($C$82,4)&amp;"*"&amp;J$55&amp;"*"&amp;"A"</f>
        <v>164*2017*6170*A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2"/>
        <v>0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 x14ac:dyDescent="0.25">
      <c r="A742" s="208" t="str">
        <f>RIGHT($C$83,3)&amp;"*"&amp;RIGHT($C$82,4)&amp;"*"&amp;K$55&amp;"*"&amp;"A"</f>
        <v>164*2017*6200*A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2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 x14ac:dyDescent="0.25">
      <c r="A743" s="208" t="str">
        <f>RIGHT($C$83,3)&amp;"*"&amp;RIGHT($C$82,4)&amp;"*"&amp;L$55&amp;"*"&amp;"A"</f>
        <v>164*2017*6210*A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2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 x14ac:dyDescent="0.25">
      <c r="A744" s="208" t="str">
        <f>RIGHT($C$83,3)&amp;"*"&amp;RIGHT($C$82,4)&amp;"*"&amp;M$55&amp;"*"&amp;"A"</f>
        <v>164*2017*6330*A</v>
      </c>
      <c r="B744" s="275">
        <f>ROUND(M59,0)</f>
        <v>4175</v>
      </c>
      <c r="C744" s="277">
        <f>ROUND(M60,2)</f>
        <v>44.76</v>
      </c>
      <c r="D744" s="275">
        <f>ROUND(M61,0)</f>
        <v>4107913</v>
      </c>
      <c r="E744" s="275">
        <f>ROUND(M62,0)</f>
        <v>1069266</v>
      </c>
      <c r="F744" s="275">
        <f>ROUND(M63,0)</f>
        <v>0</v>
      </c>
      <c r="G744" s="275">
        <f>ROUND(M64,0)</f>
        <v>169984</v>
      </c>
      <c r="H744" s="275">
        <f>ROUND(M65,0)</f>
        <v>8492</v>
      </c>
      <c r="I744" s="275">
        <f>ROUND(M66,0)</f>
        <v>197570</v>
      </c>
      <c r="J744" s="275">
        <f>ROUND(M67,0)</f>
        <v>97003</v>
      </c>
      <c r="K744" s="275">
        <f>ROUND(M68,0)</f>
        <v>62521</v>
      </c>
      <c r="L744" s="275">
        <f>ROUND(M69,0)</f>
        <v>51055</v>
      </c>
      <c r="M744" s="275">
        <f>ROUND(M70,0)</f>
        <v>307237</v>
      </c>
      <c r="N744" s="275">
        <f>ROUND(M75,0)</f>
        <v>7652757</v>
      </c>
      <c r="O744" s="275">
        <f>ROUND(M73,0)</f>
        <v>7496763</v>
      </c>
      <c r="P744" s="275">
        <f>IF(M76&gt;0,ROUND(M76,0),0)</f>
        <v>20520</v>
      </c>
      <c r="Q744" s="275">
        <f>IF(M77&gt;0,ROUND(M77,0),0)</f>
        <v>6516</v>
      </c>
      <c r="R744" s="275">
        <f>IF(M78&gt;0,ROUND(M78,0),0)</f>
        <v>2284</v>
      </c>
      <c r="S744" s="275">
        <f>IF(M79&gt;0,ROUND(M79,0),0)</f>
        <v>39232</v>
      </c>
      <c r="T744" s="277">
        <f>IF(M80&gt;0,ROUND(M80,2),0)</f>
        <v>18.02</v>
      </c>
      <c r="U744" s="275"/>
      <c r="V744" s="276"/>
      <c r="W744" s="275"/>
      <c r="X744" s="275"/>
      <c r="Y744" s="275">
        <f t="shared" si="22"/>
        <v>1490812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 x14ac:dyDescent="0.25">
      <c r="A745" s="208" t="str">
        <f>RIGHT($C$83,3)&amp;"*"&amp;RIGHT($C$82,4)&amp;"*"&amp;N$55&amp;"*"&amp;"A"</f>
        <v>164*2017*6400*A</v>
      </c>
      <c r="B745" s="275">
        <f>ROUND(N59,0)</f>
        <v>0</v>
      </c>
      <c r="C745" s="277">
        <f>ROUND(N60,2)</f>
        <v>40.82</v>
      </c>
      <c r="D745" s="275">
        <f>ROUND(N61,0)</f>
        <v>11831861</v>
      </c>
      <c r="E745" s="275">
        <f>ROUND(N62,0)</f>
        <v>2375312</v>
      </c>
      <c r="F745" s="275">
        <f>ROUND(N63,0)</f>
        <v>525027</v>
      </c>
      <c r="G745" s="275">
        <f>ROUND(N64,0)</f>
        <v>5065</v>
      </c>
      <c r="H745" s="275">
        <f>ROUND(N65,0)</f>
        <v>28832</v>
      </c>
      <c r="I745" s="275">
        <f>ROUND(N66,0)</f>
        <v>2544</v>
      </c>
      <c r="J745" s="275">
        <f>ROUND(N67,0)</f>
        <v>5508</v>
      </c>
      <c r="K745" s="275">
        <f>ROUND(N68,0)</f>
        <v>0</v>
      </c>
      <c r="L745" s="275">
        <f>ROUND(N69,0)</f>
        <v>197253</v>
      </c>
      <c r="M745" s="275">
        <f>ROUND(N70,0)</f>
        <v>100</v>
      </c>
      <c r="N745" s="275">
        <f>ROUND(N75,0)</f>
        <v>15294983</v>
      </c>
      <c r="O745" s="275">
        <f>ROUND(N73,0)</f>
        <v>14511714</v>
      </c>
      <c r="P745" s="275">
        <f>IF(N76&gt;0,ROUND(N76,0),0)</f>
        <v>5113</v>
      </c>
      <c r="Q745" s="275">
        <f>IF(N77&gt;0,ROUND(N77,0),0)</f>
        <v>0</v>
      </c>
      <c r="R745" s="275">
        <f>IF(N78&gt;0,ROUND(N78,0),0)</f>
        <v>569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2"/>
        <v>1570556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 x14ac:dyDescent="0.25">
      <c r="A746" s="208" t="str">
        <f>RIGHT($C$83,3)&amp;"*"&amp;RIGHT($C$82,4)&amp;"*"&amp;O$55&amp;"*"&amp;"A"</f>
        <v>164*2017*7010*A</v>
      </c>
      <c r="B746" s="275">
        <f>ROUND(O59,0)</f>
        <v>10090</v>
      </c>
      <c r="C746" s="277">
        <f>ROUND(O60,2)</f>
        <v>183.85</v>
      </c>
      <c r="D746" s="275">
        <f>ROUND(O61,0)</f>
        <v>16604361</v>
      </c>
      <c r="E746" s="275">
        <f>ROUND(O62,0)</f>
        <v>4250721</v>
      </c>
      <c r="F746" s="275">
        <f>ROUND(O63,0)</f>
        <v>0</v>
      </c>
      <c r="G746" s="275">
        <f>ROUND(O64,0)</f>
        <v>1768473</v>
      </c>
      <c r="H746" s="275">
        <f>ROUND(O65,0)</f>
        <v>80</v>
      </c>
      <c r="I746" s="275">
        <f>ROUND(O66,0)</f>
        <v>248392</v>
      </c>
      <c r="J746" s="275">
        <f>ROUND(O67,0)</f>
        <v>899575</v>
      </c>
      <c r="K746" s="275">
        <f>ROUND(O68,0)</f>
        <v>0</v>
      </c>
      <c r="L746" s="275">
        <f>ROUND(O69,0)</f>
        <v>81190</v>
      </c>
      <c r="M746" s="275">
        <f>ROUND(O70,0)</f>
        <v>28129</v>
      </c>
      <c r="N746" s="275">
        <f>ROUND(O75,0)</f>
        <v>107981431</v>
      </c>
      <c r="O746" s="275">
        <f>ROUND(O73,0)</f>
        <v>104372050</v>
      </c>
      <c r="P746" s="275">
        <f>IF(O76&gt;0,ROUND(O76,0),0)</f>
        <v>54238</v>
      </c>
      <c r="Q746" s="275">
        <f>IF(O77&gt;0,ROUND(O77,0),0)</f>
        <v>34551</v>
      </c>
      <c r="R746" s="275">
        <f>IF(O78&gt;0,ROUND(O78,0),0)</f>
        <v>5993</v>
      </c>
      <c r="S746" s="275">
        <f>IF(O79&gt;0,ROUND(O79,0),0)</f>
        <v>337157</v>
      </c>
      <c r="T746" s="277">
        <f>IF(O80&gt;0,ROUND(O80,2),0)</f>
        <v>134.96</v>
      </c>
      <c r="U746" s="275"/>
      <c r="V746" s="276"/>
      <c r="W746" s="275"/>
      <c r="X746" s="275"/>
      <c r="Y746" s="275">
        <f t="shared" si="22"/>
        <v>8900508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 x14ac:dyDescent="0.25">
      <c r="A747" s="208" t="str">
        <f>RIGHT($C$83,3)&amp;"*"&amp;RIGHT($C$82,4)&amp;"*"&amp;P$55&amp;"*"&amp;"A"</f>
        <v>164*2017*7020*A</v>
      </c>
      <c r="B747" s="275">
        <f>ROUND(P59,0)</f>
        <v>867898</v>
      </c>
      <c r="C747" s="277">
        <f>ROUND(P60,2)</f>
        <v>145.08000000000001</v>
      </c>
      <c r="D747" s="275">
        <f>ROUND(P61,0)</f>
        <v>12070993</v>
      </c>
      <c r="E747" s="275">
        <f>ROUND(P62,0)</f>
        <v>3012153</v>
      </c>
      <c r="F747" s="275">
        <f>ROUND(P63,0)</f>
        <v>13063</v>
      </c>
      <c r="G747" s="275">
        <f>ROUND(P64,0)</f>
        <v>35715718</v>
      </c>
      <c r="H747" s="275">
        <f>ROUND(P65,0)</f>
        <v>2822</v>
      </c>
      <c r="I747" s="275">
        <f>ROUND(P66,0)</f>
        <v>2405650</v>
      </c>
      <c r="J747" s="275">
        <f>ROUND(P67,0)</f>
        <v>3362431</v>
      </c>
      <c r="K747" s="275">
        <f>ROUND(P68,0)</f>
        <v>89194</v>
      </c>
      <c r="L747" s="275">
        <f>ROUND(P69,0)</f>
        <v>48444</v>
      </c>
      <c r="M747" s="275">
        <f>ROUND(P70,0)</f>
        <v>949</v>
      </c>
      <c r="N747" s="275">
        <f>ROUND(P75,0)</f>
        <v>287167603</v>
      </c>
      <c r="O747" s="275">
        <f>ROUND(P73,0)</f>
        <v>118792884</v>
      </c>
      <c r="P747" s="275">
        <f>IF(P76&gt;0,ROUND(P76,0),0)</f>
        <v>75621</v>
      </c>
      <c r="Q747" s="275">
        <f>IF(P77&gt;0,ROUND(P77,0),0)</f>
        <v>0</v>
      </c>
      <c r="R747" s="275">
        <f>IF(P78&gt;0,ROUND(P78,0),0)</f>
        <v>8418</v>
      </c>
      <c r="S747" s="275">
        <f>IF(P79&gt;0,ROUND(P79,0),0)</f>
        <v>155223</v>
      </c>
      <c r="T747" s="277">
        <f>IF(P80&gt;0,ROUND(P80,2),0)</f>
        <v>62.57</v>
      </c>
      <c r="U747" s="275"/>
      <c r="V747" s="276"/>
      <c r="W747" s="275"/>
      <c r="X747" s="275"/>
      <c r="Y747" s="275">
        <f t="shared" si="22"/>
        <v>18470530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 x14ac:dyDescent="0.25">
      <c r="A748" s="208" t="str">
        <f>RIGHT($C$83,3)&amp;"*"&amp;RIGHT($C$82,4)&amp;"*"&amp;Q$55&amp;"*"&amp;"A"</f>
        <v>164*2017*7030*A</v>
      </c>
      <c r="B748" s="275">
        <f>ROUND(Q59,0)</f>
        <v>1533724</v>
      </c>
      <c r="C748" s="277">
        <f>ROUND(Q60,2)</f>
        <v>32.51</v>
      </c>
      <c r="D748" s="275">
        <f>ROUND(Q61,0)</f>
        <v>3462952</v>
      </c>
      <c r="E748" s="275">
        <f>ROUND(Q62,0)</f>
        <v>840425</v>
      </c>
      <c r="F748" s="275">
        <f>ROUND(Q63,0)</f>
        <v>0</v>
      </c>
      <c r="G748" s="275">
        <f>ROUND(Q64,0)</f>
        <v>256676</v>
      </c>
      <c r="H748" s="275">
        <f>ROUND(Q65,0)</f>
        <v>0</v>
      </c>
      <c r="I748" s="275">
        <f>ROUND(Q66,0)</f>
        <v>2991</v>
      </c>
      <c r="J748" s="275">
        <f>ROUND(Q67,0)</f>
        <v>59259</v>
      </c>
      <c r="K748" s="275">
        <f>ROUND(Q68,0)</f>
        <v>0</v>
      </c>
      <c r="L748" s="275">
        <f>ROUND(Q69,0)</f>
        <v>12580</v>
      </c>
      <c r="M748" s="275">
        <f>ROUND(Q70,0)</f>
        <v>377</v>
      </c>
      <c r="N748" s="275">
        <f>ROUND(Q75,0)</f>
        <v>17218836</v>
      </c>
      <c r="O748" s="275">
        <f>ROUND(Q73,0)</f>
        <v>8175643</v>
      </c>
      <c r="P748" s="275">
        <f>IF(Q76&gt;0,ROUND(Q76,0),0)</f>
        <v>5119</v>
      </c>
      <c r="Q748" s="275">
        <f>IF(Q77&gt;0,ROUND(Q77,0),0)</f>
        <v>0</v>
      </c>
      <c r="R748" s="275">
        <f>IF(Q78&gt;0,ROUND(Q78,0),0)</f>
        <v>570</v>
      </c>
      <c r="S748" s="275">
        <f>IF(Q79&gt;0,ROUND(Q79,0),0)</f>
        <v>0</v>
      </c>
      <c r="T748" s="277">
        <f>IF(Q80&gt;0,ROUND(Q80,2),0)</f>
        <v>25.32</v>
      </c>
      <c r="U748" s="275"/>
      <c r="V748" s="276"/>
      <c r="W748" s="275"/>
      <c r="X748" s="275"/>
      <c r="Y748" s="275">
        <f t="shared" si="22"/>
        <v>1381244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 x14ac:dyDescent="0.25">
      <c r="A749" s="208" t="str">
        <f>RIGHT($C$83,3)&amp;"*"&amp;RIGHT($C$82,4)&amp;"*"&amp;R$55&amp;"*"&amp;"A"</f>
        <v>164*2017*7040*A</v>
      </c>
      <c r="B749" s="275">
        <f>ROUND(R59,0)</f>
        <v>920106</v>
      </c>
      <c r="C749" s="277">
        <f>ROUND(R60,2)</f>
        <v>4.38</v>
      </c>
      <c r="D749" s="275">
        <f>ROUND(R61,0)</f>
        <v>328689</v>
      </c>
      <c r="E749" s="275">
        <f>ROUND(R62,0)</f>
        <v>80425</v>
      </c>
      <c r="F749" s="275">
        <f>ROUND(R63,0)</f>
        <v>0</v>
      </c>
      <c r="G749" s="275">
        <f>ROUND(R64,0)</f>
        <v>396437</v>
      </c>
      <c r="H749" s="275">
        <f>ROUND(R65,0)</f>
        <v>0</v>
      </c>
      <c r="I749" s="275">
        <f>ROUND(R66,0)</f>
        <v>36415</v>
      </c>
      <c r="J749" s="275">
        <f>ROUND(R67,0)</f>
        <v>132039</v>
      </c>
      <c r="K749" s="275">
        <f>ROUND(R68,0)</f>
        <v>0</v>
      </c>
      <c r="L749" s="275">
        <f>ROUND(R69,0)</f>
        <v>585</v>
      </c>
      <c r="M749" s="275">
        <f>ROUND(R70,0)</f>
        <v>0</v>
      </c>
      <c r="N749" s="275">
        <f>ROUND(R75,0)</f>
        <v>28699700</v>
      </c>
      <c r="O749" s="275">
        <f>ROUND(R73,0)</f>
        <v>15601665</v>
      </c>
      <c r="P749" s="275">
        <f>IF(R76&gt;0,ROUND(R76,0),0)</f>
        <v>651</v>
      </c>
      <c r="Q749" s="275">
        <f>IF(R77&gt;0,ROUND(R77,0),0)</f>
        <v>0</v>
      </c>
      <c r="R749" s="275">
        <f>IF(R78&gt;0,ROUND(R78,0),0)</f>
        <v>72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2"/>
        <v>1231376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 x14ac:dyDescent="0.25">
      <c r="A750" s="208" t="str">
        <f>RIGHT($C$83,3)&amp;"*"&amp;RIGHT($C$82,4)&amp;"*"&amp;S$55&amp;"*"&amp;"A"</f>
        <v>164*2017*7050*A</v>
      </c>
      <c r="B750" s="275"/>
      <c r="C750" s="277">
        <f>ROUND(S60,2)</f>
        <v>20.53</v>
      </c>
      <c r="D750" s="275">
        <f>ROUND(S61,0)</f>
        <v>1014419</v>
      </c>
      <c r="E750" s="275">
        <f>ROUND(S62,0)</f>
        <v>305587</v>
      </c>
      <c r="F750" s="275">
        <f>ROUND(S63,0)</f>
        <v>0</v>
      </c>
      <c r="G750" s="275">
        <f>ROUND(S64,0)</f>
        <v>563626</v>
      </c>
      <c r="H750" s="275">
        <f>ROUND(S65,0)</f>
        <v>0</v>
      </c>
      <c r="I750" s="275">
        <f>ROUND(S66,0)</f>
        <v>310053</v>
      </c>
      <c r="J750" s="275">
        <f>ROUND(S67,0)</f>
        <v>451861</v>
      </c>
      <c r="K750" s="275">
        <f>ROUND(S68,0)</f>
        <v>0</v>
      </c>
      <c r="L750" s="275">
        <f>ROUND(S69,0)</f>
        <v>7972</v>
      </c>
      <c r="M750" s="275">
        <f>ROUND(S70,0)</f>
        <v>0</v>
      </c>
      <c r="N750" s="275">
        <f>ROUND(S75,0)</f>
        <v>0</v>
      </c>
      <c r="O750" s="275">
        <f>ROUND(S73,0)</f>
        <v>0</v>
      </c>
      <c r="P750" s="275">
        <f>IF(S76&gt;0,ROUND(S76,0),0)</f>
        <v>10270</v>
      </c>
      <c r="Q750" s="275">
        <f>IF(S77&gt;0,ROUND(S77,0),0)</f>
        <v>0</v>
      </c>
      <c r="R750" s="275">
        <f>IF(S78&gt;0,ROUND(S78,0),0)</f>
        <v>1143</v>
      </c>
      <c r="S750" s="275">
        <f>IF(S79&gt;0,ROUND(S79,0),0)</f>
        <v>19488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2"/>
        <v>522245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 x14ac:dyDescent="0.25">
      <c r="A751" s="208" t="str">
        <f>RIGHT($C$83,3)&amp;"*"&amp;RIGHT($C$82,4)&amp;"*"&amp;T$55&amp;"*"&amp;"A"</f>
        <v>164*2017*7060*A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2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 x14ac:dyDescent="0.25">
      <c r="A752" s="208" t="str">
        <f>RIGHT($C$83,3)&amp;"*"&amp;RIGHT($C$82,4)&amp;"*"&amp;U$55&amp;"*"&amp;"A"</f>
        <v>164*2017*7070*A</v>
      </c>
      <c r="B752" s="275">
        <f>ROUND(U59,0)</f>
        <v>770803</v>
      </c>
      <c r="C752" s="277">
        <f>ROUND(U60,2)</f>
        <v>117.77</v>
      </c>
      <c r="D752" s="275">
        <f>ROUND(U61,0)</f>
        <v>6907065</v>
      </c>
      <c r="E752" s="275">
        <f>ROUND(U62,0)</f>
        <v>1945322</v>
      </c>
      <c r="F752" s="275">
        <f>ROUND(U63,0)</f>
        <v>199020</v>
      </c>
      <c r="G752" s="275">
        <f>ROUND(U64,0)</f>
        <v>4486450</v>
      </c>
      <c r="H752" s="275">
        <f>ROUND(U65,0)</f>
        <v>28089</v>
      </c>
      <c r="I752" s="275">
        <f>ROUND(U66,0)</f>
        <v>6092074</v>
      </c>
      <c r="J752" s="275">
        <f>ROUND(U67,0)</f>
        <v>659946</v>
      </c>
      <c r="K752" s="275">
        <f>ROUND(U68,0)</f>
        <v>339496</v>
      </c>
      <c r="L752" s="275">
        <f>ROUND(U69,0)</f>
        <v>16229</v>
      </c>
      <c r="M752" s="275">
        <f>ROUND(U70,0)</f>
        <v>5842956</v>
      </c>
      <c r="N752" s="275">
        <f>ROUND(U75,0)</f>
        <v>92891796</v>
      </c>
      <c r="O752" s="275">
        <f>ROUND(U73,0)</f>
        <v>54273900</v>
      </c>
      <c r="P752" s="275">
        <f>IF(U76&gt;0,ROUND(U76,0),0)</f>
        <v>23047</v>
      </c>
      <c r="Q752" s="275">
        <f>IF(U77&gt;0,ROUND(U77,0),0)</f>
        <v>0</v>
      </c>
      <c r="R752" s="275">
        <f>IF(U78&gt;0,ROUND(U78,0),0)</f>
        <v>2566</v>
      </c>
      <c r="S752" s="275">
        <f>IF(U79&gt;0,ROUND(U79,0),0)</f>
        <v>2600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2"/>
        <v>5593130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 x14ac:dyDescent="0.25">
      <c r="A753" s="208" t="str">
        <f>RIGHT($C$83,3)&amp;"*"&amp;RIGHT($C$82,4)&amp;"*"&amp;V$55&amp;"*"&amp;"A"</f>
        <v>164*2017*7110*A</v>
      </c>
      <c r="B753" s="275">
        <f>ROUND(V59,0)</f>
        <v>0</v>
      </c>
      <c r="C753" s="277">
        <f>ROUND(V60,2)</f>
        <v>2.58</v>
      </c>
      <c r="D753" s="275">
        <f>ROUND(V61,0)</f>
        <v>142683</v>
      </c>
      <c r="E753" s="275">
        <f>ROUND(V62,0)</f>
        <v>39882</v>
      </c>
      <c r="F753" s="275">
        <f>ROUND(V63,0)</f>
        <v>1100</v>
      </c>
      <c r="G753" s="275">
        <f>ROUND(V64,0)</f>
        <v>11662</v>
      </c>
      <c r="H753" s="275">
        <f>ROUND(V65,0)</f>
        <v>0</v>
      </c>
      <c r="I753" s="275">
        <f>ROUND(V66,0)</f>
        <v>0</v>
      </c>
      <c r="J753" s="275">
        <f>ROUND(V67,0)</f>
        <v>15796</v>
      </c>
      <c r="K753" s="275">
        <f>ROUND(V68,0)</f>
        <v>0</v>
      </c>
      <c r="L753" s="275">
        <f>ROUND(V69,0)</f>
        <v>35</v>
      </c>
      <c r="M753" s="275">
        <f>ROUND(V70,0)</f>
        <v>5496</v>
      </c>
      <c r="N753" s="275">
        <f>ROUND(V75,0)</f>
        <v>1807281</v>
      </c>
      <c r="O753" s="275">
        <f>ROUND(V73,0)</f>
        <v>1338986</v>
      </c>
      <c r="P753" s="275">
        <f>IF(V76&gt;0,ROUND(V76,0),0)</f>
        <v>314</v>
      </c>
      <c r="Q753" s="275">
        <f>IF(V77&gt;0,ROUND(V77,0),0)</f>
        <v>0</v>
      </c>
      <c r="R753" s="275">
        <f>IF(V78&gt;0,ROUND(V78,0),0)</f>
        <v>35</v>
      </c>
      <c r="S753" s="275">
        <f>IF(V79&gt;0,ROUND(V79,0),0)</f>
        <v>1793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2"/>
        <v>99816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 x14ac:dyDescent="0.25">
      <c r="A754" s="208" t="str">
        <f>RIGHT($C$83,3)&amp;"*"&amp;RIGHT($C$82,4)&amp;"*"&amp;W$55&amp;"*"&amp;"A"</f>
        <v>164*2017*7120*A</v>
      </c>
      <c r="B754" s="275">
        <f>ROUND(W59,0)</f>
        <v>38255</v>
      </c>
      <c r="C754" s="277">
        <f>ROUND(W60,2)</f>
        <v>7.55</v>
      </c>
      <c r="D754" s="275">
        <f>ROUND(W61,0)</f>
        <v>713981</v>
      </c>
      <c r="E754" s="275">
        <f>ROUND(W62,0)</f>
        <v>95584</v>
      </c>
      <c r="F754" s="275">
        <f>ROUND(W63,0)</f>
        <v>0</v>
      </c>
      <c r="G754" s="275">
        <f>ROUND(W64,0)</f>
        <v>163721</v>
      </c>
      <c r="H754" s="275">
        <f>ROUND(W65,0)</f>
        <v>0</v>
      </c>
      <c r="I754" s="275">
        <f>ROUND(W66,0)</f>
        <v>225467</v>
      </c>
      <c r="J754" s="275">
        <f>ROUND(W67,0)</f>
        <v>142086</v>
      </c>
      <c r="K754" s="275">
        <f>ROUND(W68,0)</f>
        <v>64514</v>
      </c>
      <c r="L754" s="275">
        <f>ROUND(W69,0)</f>
        <v>15714</v>
      </c>
      <c r="M754" s="275">
        <f>ROUND(W70,0)</f>
        <v>0</v>
      </c>
      <c r="N754" s="275">
        <f>ROUND(W75,0)</f>
        <v>15263207</v>
      </c>
      <c r="O754" s="275">
        <f>ROUND(W73,0)</f>
        <v>5098548</v>
      </c>
      <c r="P754" s="275">
        <f>IF(W76&gt;0,ROUND(W76,0),0)</f>
        <v>3153</v>
      </c>
      <c r="Q754" s="275">
        <f>IF(W77&gt;0,ROUND(W77,0),0)</f>
        <v>0</v>
      </c>
      <c r="R754" s="275">
        <f>IF(W78&gt;0,ROUND(W78,0),0)</f>
        <v>351</v>
      </c>
      <c r="S754" s="275">
        <f>IF(W79&gt;0,ROUND(W79,0),0)</f>
        <v>17180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2"/>
        <v>800128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 x14ac:dyDescent="0.25">
      <c r="A755" s="208" t="str">
        <f>RIGHT($C$83,3)&amp;"*"&amp;RIGHT($C$82,4)&amp;"*"&amp;X$55&amp;"*"&amp;"A"</f>
        <v>164*2017*7130*A</v>
      </c>
      <c r="B755" s="275">
        <f>ROUND(X59,0)</f>
        <v>122026</v>
      </c>
      <c r="C755" s="277">
        <f>ROUND(X60,2)</f>
        <v>14.05</v>
      </c>
      <c r="D755" s="275">
        <f>ROUND(X61,0)</f>
        <v>1177939</v>
      </c>
      <c r="E755" s="275">
        <f>ROUND(X62,0)</f>
        <v>279886</v>
      </c>
      <c r="F755" s="275">
        <f>ROUND(X63,0)</f>
        <v>0</v>
      </c>
      <c r="G755" s="275">
        <f>ROUND(X64,0)</f>
        <v>475791</v>
      </c>
      <c r="H755" s="275">
        <f>ROUND(X65,0)</f>
        <v>0</v>
      </c>
      <c r="I755" s="275">
        <f>ROUND(X66,0)</f>
        <v>282559</v>
      </c>
      <c r="J755" s="275">
        <f>ROUND(X67,0)</f>
        <v>170870</v>
      </c>
      <c r="K755" s="275">
        <f>ROUND(X68,0)</f>
        <v>0</v>
      </c>
      <c r="L755" s="275">
        <f>ROUND(X69,0)</f>
        <v>6783</v>
      </c>
      <c r="M755" s="275">
        <f>ROUND(X70,0)</f>
        <v>0</v>
      </c>
      <c r="N755" s="275">
        <f>ROUND(X75,0)</f>
        <v>57088937</v>
      </c>
      <c r="O755" s="275">
        <f>ROUND(X73,0)</f>
        <v>17475577</v>
      </c>
      <c r="P755" s="275">
        <f>IF(X76&gt;0,ROUND(X76,0),0)</f>
        <v>3164</v>
      </c>
      <c r="Q755" s="275">
        <f>IF(X77&gt;0,ROUND(X77,0),0)</f>
        <v>0</v>
      </c>
      <c r="R755" s="275">
        <f>IF(X78&gt;0,ROUND(X78,0),0)</f>
        <v>352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2"/>
        <v>2534412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 x14ac:dyDescent="0.25">
      <c r="A756" s="208" t="str">
        <f>RIGHT($C$83,3)&amp;"*"&amp;RIGHT($C$82,4)&amp;"*"&amp;Y$55&amp;"*"&amp;"A"</f>
        <v>164*2017*7140*A</v>
      </c>
      <c r="B756" s="275">
        <f>ROUND(Y59,0)</f>
        <v>366205</v>
      </c>
      <c r="C756" s="277">
        <f>ROUND(Y60,2)</f>
        <v>130.46</v>
      </c>
      <c r="D756" s="275">
        <f>ROUND(Y61,0)</f>
        <v>11994897</v>
      </c>
      <c r="E756" s="275">
        <f>ROUND(Y62,0)</f>
        <v>2874476</v>
      </c>
      <c r="F756" s="275">
        <f>ROUND(Y63,0)</f>
        <v>100980</v>
      </c>
      <c r="G756" s="275">
        <f>ROUND(Y64,0)</f>
        <v>6822986</v>
      </c>
      <c r="H756" s="275">
        <f>ROUND(Y65,0)</f>
        <v>12081</v>
      </c>
      <c r="I756" s="275">
        <f>ROUND(Y66,0)</f>
        <v>4050383</v>
      </c>
      <c r="J756" s="275">
        <f>ROUND(Y67,0)</f>
        <v>2060322</v>
      </c>
      <c r="K756" s="275">
        <f>ROUND(Y68,0)</f>
        <v>295799</v>
      </c>
      <c r="L756" s="275">
        <f>ROUND(Y69,0)</f>
        <v>61032</v>
      </c>
      <c r="M756" s="275">
        <f>ROUND(Y70,0)</f>
        <v>11798</v>
      </c>
      <c r="N756" s="275">
        <f>ROUND(Y75,0)</f>
        <v>160520106</v>
      </c>
      <c r="O756" s="275">
        <f>ROUND(Y73,0)</f>
        <v>38763543</v>
      </c>
      <c r="P756" s="275">
        <f>IF(Y76&gt;0,ROUND(Y76,0),0)</f>
        <v>45532</v>
      </c>
      <c r="Q756" s="275">
        <f>IF(Y77&gt;0,ROUND(Y77,0),0)</f>
        <v>28</v>
      </c>
      <c r="R756" s="275">
        <f>IF(Y78&gt;0,ROUND(Y78,0),0)</f>
        <v>5068</v>
      </c>
      <c r="S756" s="275">
        <f>IF(Y79&gt;0,ROUND(Y79,0),0)</f>
        <v>255151</v>
      </c>
      <c r="T756" s="277">
        <f>IF(Y80&gt;0,ROUND(Y80,2),0)</f>
        <v>20</v>
      </c>
      <c r="U756" s="275"/>
      <c r="V756" s="276"/>
      <c r="W756" s="275"/>
      <c r="X756" s="275"/>
      <c r="Y756" s="275">
        <f t="shared" si="22"/>
        <v>9909576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 x14ac:dyDescent="0.25">
      <c r="A757" s="208" t="str">
        <f>RIGHT($C$83,3)&amp;"*"&amp;RIGHT($C$82,4)&amp;"*"&amp;Z$55&amp;"*"&amp;"A"</f>
        <v>164*2017*7150*A</v>
      </c>
      <c r="B757" s="275">
        <f>ROUND(Z59,0)</f>
        <v>50767</v>
      </c>
      <c r="C757" s="277">
        <f>ROUND(Z60,2)</f>
        <v>19.059999999999999</v>
      </c>
      <c r="D757" s="275">
        <f>ROUND(Z61,0)</f>
        <v>4075170</v>
      </c>
      <c r="E757" s="275">
        <f>ROUND(Z62,0)</f>
        <v>637920</v>
      </c>
      <c r="F757" s="275">
        <f>ROUND(Z63,0)</f>
        <v>0</v>
      </c>
      <c r="G757" s="275">
        <f>ROUND(Z64,0)</f>
        <v>187710</v>
      </c>
      <c r="H757" s="275">
        <f>ROUND(Z65,0)</f>
        <v>3000</v>
      </c>
      <c r="I757" s="275">
        <f>ROUND(Z66,0)</f>
        <v>1451188</v>
      </c>
      <c r="J757" s="275">
        <f>ROUND(Z67,0)</f>
        <v>1564036</v>
      </c>
      <c r="K757" s="275">
        <f>ROUND(Z68,0)</f>
        <v>2144</v>
      </c>
      <c r="L757" s="275">
        <f>ROUND(Z69,0)</f>
        <v>51731</v>
      </c>
      <c r="M757" s="275">
        <f>ROUND(Z70,0)</f>
        <v>22972</v>
      </c>
      <c r="N757" s="275">
        <f>ROUND(Z75,0)</f>
        <v>30628751</v>
      </c>
      <c r="O757" s="275">
        <f>ROUND(Z73,0)</f>
        <v>855399</v>
      </c>
      <c r="P757" s="275">
        <f>IF(Z76&gt;0,ROUND(Z76,0),0)</f>
        <v>16493</v>
      </c>
      <c r="Q757" s="275">
        <f>IF(Z77&gt;0,ROUND(Z77,0),0)</f>
        <v>0</v>
      </c>
      <c r="R757" s="275">
        <f>IF(Z78&gt;0,ROUND(Z78,0),0)</f>
        <v>1836</v>
      </c>
      <c r="S757" s="275">
        <f>IF(Z79&gt;0,ROUND(Z79,0),0)</f>
        <v>48229</v>
      </c>
      <c r="T757" s="277">
        <f>IF(Z80&gt;0,ROUND(Z80,2),0)</f>
        <v>3.44</v>
      </c>
      <c r="U757" s="275"/>
      <c r="V757" s="276"/>
      <c r="W757" s="275"/>
      <c r="X757" s="275"/>
      <c r="Y757" s="275">
        <f t="shared" si="22"/>
        <v>2185927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 x14ac:dyDescent="0.25">
      <c r="A758" s="208" t="str">
        <f>RIGHT($C$83,3)&amp;"*"&amp;RIGHT($C$82,4)&amp;"*"&amp;AA$55&amp;"*"&amp;"A"</f>
        <v>164*2017*7160*A</v>
      </c>
      <c r="B758" s="275">
        <f>ROUND(AA59,0)</f>
        <v>15174</v>
      </c>
      <c r="C758" s="277">
        <f>ROUND(AA60,2)</f>
        <v>3.08</v>
      </c>
      <c r="D758" s="275">
        <f>ROUND(AA61,0)</f>
        <v>394212</v>
      </c>
      <c r="E758" s="275">
        <f>ROUND(AA62,0)</f>
        <v>82124</v>
      </c>
      <c r="F758" s="275">
        <f>ROUND(AA63,0)</f>
        <v>0</v>
      </c>
      <c r="G758" s="275">
        <f>ROUND(AA64,0)</f>
        <v>398158</v>
      </c>
      <c r="H758" s="275">
        <f>ROUND(AA65,0)</f>
        <v>0</v>
      </c>
      <c r="I758" s="275">
        <f>ROUND(AA66,0)</f>
        <v>57584</v>
      </c>
      <c r="J758" s="275">
        <f>ROUND(AA67,0)</f>
        <v>162687</v>
      </c>
      <c r="K758" s="275">
        <f>ROUND(AA68,0)</f>
        <v>0</v>
      </c>
      <c r="L758" s="275">
        <f>ROUND(AA69,0)</f>
        <v>10421</v>
      </c>
      <c r="M758" s="275">
        <f>ROUND(AA70,0)</f>
        <v>0</v>
      </c>
      <c r="N758" s="275">
        <f>ROUND(AA75,0)</f>
        <v>3945582</v>
      </c>
      <c r="O758" s="275">
        <f>ROUND(AA73,0)</f>
        <v>645744</v>
      </c>
      <c r="P758" s="275">
        <f>IF(AA76&gt;0,ROUND(AA76,0),0)</f>
        <v>1139</v>
      </c>
      <c r="Q758" s="275">
        <f>IF(AA77&gt;0,ROUND(AA77,0),0)</f>
        <v>0</v>
      </c>
      <c r="R758" s="275">
        <f>IF(AA78&gt;0,ROUND(AA78,0),0)</f>
        <v>127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2"/>
        <v>264263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 x14ac:dyDescent="0.25">
      <c r="A759" s="208" t="str">
        <f>RIGHT($C$83,3)&amp;"*"&amp;RIGHT($C$82,4)&amp;"*"&amp;AB$55&amp;"*"&amp;"A"</f>
        <v>164*2017*7170*A</v>
      </c>
      <c r="B759" s="275"/>
      <c r="C759" s="277">
        <f>ROUND(AB60,2)</f>
        <v>54.13</v>
      </c>
      <c r="D759" s="275">
        <f>ROUND(AB61,0)</f>
        <v>5356724</v>
      </c>
      <c r="E759" s="275">
        <f>ROUND(AB62,0)</f>
        <v>1184170</v>
      </c>
      <c r="F759" s="275">
        <f>ROUND(AB63,0)</f>
        <v>0</v>
      </c>
      <c r="G759" s="275">
        <f>ROUND(AB64,0)</f>
        <v>13934683</v>
      </c>
      <c r="H759" s="275">
        <f>ROUND(AB65,0)</f>
        <v>15</v>
      </c>
      <c r="I759" s="275">
        <f>ROUND(AB66,0)</f>
        <v>242706</v>
      </c>
      <c r="J759" s="275">
        <f>ROUND(AB67,0)</f>
        <v>154064</v>
      </c>
      <c r="K759" s="275">
        <f>ROUND(AB68,0)</f>
        <v>0</v>
      </c>
      <c r="L759" s="275">
        <f>ROUND(AB69,0)</f>
        <v>30416</v>
      </c>
      <c r="M759" s="275">
        <f>ROUND(AB70,0)</f>
        <v>4019</v>
      </c>
      <c r="N759" s="275">
        <f>ROUND(AB75,0)</f>
        <v>111589947</v>
      </c>
      <c r="O759" s="275">
        <f>ROUND(AB73,0)</f>
        <v>65362155</v>
      </c>
      <c r="P759" s="275">
        <f>IF(AB76&gt;0,ROUND(AB76,0),0)</f>
        <v>6500</v>
      </c>
      <c r="Q759" s="275">
        <f>IF(AB77&gt;0,ROUND(AB77,0),0)</f>
        <v>0</v>
      </c>
      <c r="R759" s="275">
        <f>IF(AB78&gt;0,ROUND(AB78,0),0)</f>
        <v>724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2"/>
        <v>6200435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 x14ac:dyDescent="0.25">
      <c r="A760" s="208" t="str">
        <f>RIGHT($C$83,3)&amp;"*"&amp;RIGHT($C$82,4)&amp;"*"&amp;AC$55&amp;"*"&amp;"A"</f>
        <v>164*2017*7180*A</v>
      </c>
      <c r="B760" s="275">
        <f>ROUND(AC59,0)</f>
        <v>0</v>
      </c>
      <c r="C760" s="277">
        <f>ROUND(AC60,2)</f>
        <v>23.36</v>
      </c>
      <c r="D760" s="275">
        <f>ROUND(AC61,0)</f>
        <v>2086885</v>
      </c>
      <c r="E760" s="275">
        <f>ROUND(AC62,0)</f>
        <v>544519</v>
      </c>
      <c r="F760" s="275">
        <f>ROUND(AC63,0)</f>
        <v>0</v>
      </c>
      <c r="G760" s="275">
        <f>ROUND(AC64,0)</f>
        <v>327796</v>
      </c>
      <c r="H760" s="275">
        <f>ROUND(AC65,0)</f>
        <v>0</v>
      </c>
      <c r="I760" s="275">
        <f>ROUND(AC66,0)</f>
        <v>4099</v>
      </c>
      <c r="J760" s="275">
        <f>ROUND(AC67,0)</f>
        <v>103840</v>
      </c>
      <c r="K760" s="275">
        <f>ROUND(AC68,0)</f>
        <v>11469</v>
      </c>
      <c r="L760" s="275">
        <f>ROUND(AC69,0)</f>
        <v>2706</v>
      </c>
      <c r="M760" s="275">
        <f>ROUND(AC70,0)</f>
        <v>90</v>
      </c>
      <c r="N760" s="275">
        <f>ROUND(AC75,0)</f>
        <v>16119391</v>
      </c>
      <c r="O760" s="275">
        <f>ROUND(AC73,0)</f>
        <v>15559121</v>
      </c>
      <c r="P760" s="275">
        <f>IF(AC76&gt;0,ROUND(AC76,0),0)</f>
        <v>2636</v>
      </c>
      <c r="Q760" s="275">
        <f>IF(AC77&gt;0,ROUND(AC77,0),0)</f>
        <v>0</v>
      </c>
      <c r="R760" s="275">
        <f>IF(AC78&gt;0,ROUND(AC78,0),0)</f>
        <v>293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2"/>
        <v>946565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 x14ac:dyDescent="0.25">
      <c r="A761" s="208" t="str">
        <f>RIGHT($C$83,3)&amp;"*"&amp;RIGHT($C$82,4)&amp;"*"&amp;AD$55&amp;"*"&amp;"A"</f>
        <v>164*2017*7190*A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2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 x14ac:dyDescent="0.25">
      <c r="A762" s="208" t="str">
        <f>RIGHT($C$83,3)&amp;"*"&amp;RIGHT($C$82,4)&amp;"*"&amp;AE$55&amp;"*"&amp;"A"</f>
        <v>164*2017*7200*A</v>
      </c>
      <c r="B762" s="275">
        <f>ROUND(AE59,0)</f>
        <v>71743</v>
      </c>
      <c r="C762" s="277">
        <f>ROUND(AE60,2)</f>
        <v>57.53</v>
      </c>
      <c r="D762" s="275">
        <f>ROUND(AE61,0)</f>
        <v>4692656</v>
      </c>
      <c r="E762" s="275">
        <f>ROUND(AE62,0)</f>
        <v>1104971</v>
      </c>
      <c r="F762" s="275">
        <f>ROUND(AE63,0)</f>
        <v>0</v>
      </c>
      <c r="G762" s="275">
        <f>ROUND(AE64,0)</f>
        <v>117214</v>
      </c>
      <c r="H762" s="275">
        <f>ROUND(AE65,0)</f>
        <v>0</v>
      </c>
      <c r="I762" s="275">
        <f>ROUND(AE66,0)</f>
        <v>17672</v>
      </c>
      <c r="J762" s="275">
        <f>ROUND(AE67,0)</f>
        <v>229097</v>
      </c>
      <c r="K762" s="275">
        <f>ROUND(AE68,0)</f>
        <v>0</v>
      </c>
      <c r="L762" s="275">
        <f>ROUND(AE69,0)</f>
        <v>24644</v>
      </c>
      <c r="M762" s="275">
        <f>ROUND(AE70,0)</f>
        <v>15592</v>
      </c>
      <c r="N762" s="275">
        <f>ROUND(AE75,0)</f>
        <v>29908862</v>
      </c>
      <c r="O762" s="275">
        <f>ROUND(AE73,0)</f>
        <v>14620518</v>
      </c>
      <c r="P762" s="275">
        <f>IF(AE76&gt;0,ROUND(AE76,0),0)</f>
        <v>17513</v>
      </c>
      <c r="Q762" s="275">
        <f>IF(AE77&gt;0,ROUND(AE77,0),0)</f>
        <v>0</v>
      </c>
      <c r="R762" s="275">
        <f>IF(AE78&gt;0,ROUND(AE78,0),0)</f>
        <v>1949</v>
      </c>
      <c r="S762" s="275">
        <f>IF(AE79&gt;0,ROUND(AE79,0),0)</f>
        <v>0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2"/>
        <v>2192994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 x14ac:dyDescent="0.25">
      <c r="A763" s="208" t="str">
        <f>RIGHT($C$83,3)&amp;"*"&amp;RIGHT($C$82,4)&amp;"*"&amp;AF$55&amp;"*"&amp;"A"</f>
        <v>164*2017*7220*A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2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 x14ac:dyDescent="0.25">
      <c r="A764" s="208" t="str">
        <f>RIGHT($C$83,3)&amp;"*"&amp;RIGHT($C$82,4)&amp;"*"&amp;AG$55&amp;"*"&amp;"A"</f>
        <v>164*2017*7230*A</v>
      </c>
      <c r="B764" s="275">
        <f>ROUND(AG59,0)</f>
        <v>57669</v>
      </c>
      <c r="C764" s="277">
        <f>ROUND(AG60,2)</f>
        <v>117.05</v>
      </c>
      <c r="D764" s="275">
        <f>ROUND(AG61,0)</f>
        <v>9412762</v>
      </c>
      <c r="E764" s="275">
        <f>ROUND(AG62,0)</f>
        <v>2519542</v>
      </c>
      <c r="F764" s="275">
        <f>ROUND(AG63,0)</f>
        <v>583656</v>
      </c>
      <c r="G764" s="275">
        <f>ROUND(AG64,0)</f>
        <v>1281484</v>
      </c>
      <c r="H764" s="275">
        <f>ROUND(AG65,0)</f>
        <v>25730</v>
      </c>
      <c r="I764" s="275">
        <f>ROUND(AG66,0)</f>
        <v>416805</v>
      </c>
      <c r="J764" s="275">
        <f>ROUND(AG67,0)</f>
        <v>897744</v>
      </c>
      <c r="K764" s="275">
        <f>ROUND(AG68,0)</f>
        <v>572391</v>
      </c>
      <c r="L764" s="275">
        <f>ROUND(AG69,0)</f>
        <v>42141</v>
      </c>
      <c r="M764" s="275">
        <f>ROUND(AG70,0)</f>
        <v>5591</v>
      </c>
      <c r="N764" s="275">
        <f>ROUND(AG75,0)</f>
        <v>168166421</v>
      </c>
      <c r="O764" s="275">
        <f>ROUND(AG73,0)</f>
        <v>34760169</v>
      </c>
      <c r="P764" s="275">
        <f>IF(AG76&gt;0,ROUND(AG76,0),0)</f>
        <v>54945</v>
      </c>
      <c r="Q764" s="275">
        <f>IF(AG77&gt;0,ROUND(AG77,0),0)</f>
        <v>2627</v>
      </c>
      <c r="R764" s="275">
        <f>IF(AG78&gt;0,ROUND(AG78,0),0)</f>
        <v>6116</v>
      </c>
      <c r="S764" s="275">
        <f>IF(AG79&gt;0,ROUND(AG79,0),0)</f>
        <v>301006</v>
      </c>
      <c r="T764" s="277">
        <f>IF(AG80&gt;0,ROUND(AG80,2),0)</f>
        <v>67.25</v>
      </c>
      <c r="U764" s="275"/>
      <c r="V764" s="276"/>
      <c r="W764" s="275"/>
      <c r="X764" s="275"/>
      <c r="Y764" s="275">
        <f t="shared" si="22"/>
        <v>10130594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 x14ac:dyDescent="0.25">
      <c r="A765" s="208" t="str">
        <f>RIGHT($C$83,3)&amp;"*"&amp;RIGHT($C$82,4)&amp;"*"&amp;AH$55&amp;"*"&amp;"A"</f>
        <v>164*2017*7240*A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2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 x14ac:dyDescent="0.25">
      <c r="A766" s="208" t="str">
        <f>RIGHT($C$83,3)&amp;"*"&amp;RIGHT($C$82,4)&amp;"*"&amp;AI$55&amp;"*"&amp;"A"</f>
        <v>164*2017*7250*A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2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 x14ac:dyDescent="0.25">
      <c r="A767" s="208" t="str">
        <f>RIGHT($C$83,3)&amp;"*"&amp;RIGHT($C$82,4)&amp;"*"&amp;AJ$55&amp;"*"&amp;"A"</f>
        <v>164*2017*7260*A</v>
      </c>
      <c r="B767" s="275">
        <f>ROUND(AJ59,0)</f>
        <v>193513</v>
      </c>
      <c r="C767" s="277">
        <f>ROUND(AJ60,2)</f>
        <v>359.96</v>
      </c>
      <c r="D767" s="275">
        <f>ROUND(AJ61,0)</f>
        <v>50751798</v>
      </c>
      <c r="E767" s="275">
        <f>ROUND(AJ62,0)</f>
        <v>8796210</v>
      </c>
      <c r="F767" s="275">
        <f>ROUND(AJ63,0)</f>
        <v>865810</v>
      </c>
      <c r="G767" s="275">
        <f>ROUND(AJ64,0)</f>
        <v>3878118</v>
      </c>
      <c r="H767" s="275">
        <f>ROUND(AJ65,0)</f>
        <v>115530</v>
      </c>
      <c r="I767" s="275">
        <f>ROUND(AJ66,0)</f>
        <v>1437513</v>
      </c>
      <c r="J767" s="275">
        <f>ROUND(AJ67,0)</f>
        <v>2149707</v>
      </c>
      <c r="K767" s="275">
        <f>ROUND(AJ68,0)</f>
        <v>88898</v>
      </c>
      <c r="L767" s="275">
        <f>ROUND(AJ69,0)</f>
        <v>871352</v>
      </c>
      <c r="M767" s="275">
        <f>ROUND(AJ70,0)</f>
        <v>2978975</v>
      </c>
      <c r="N767" s="275">
        <f>ROUND(AJ75,0)</f>
        <v>124910761</v>
      </c>
      <c r="O767" s="275">
        <f>ROUND(AJ73,0)</f>
        <v>12060883</v>
      </c>
      <c r="P767" s="275">
        <f>IF(AJ76&gt;0,ROUND(AJ76,0),0)</f>
        <v>144209</v>
      </c>
      <c r="Q767" s="275">
        <f>IF(AJ77&gt;0,ROUND(AJ77,0),0)</f>
        <v>0</v>
      </c>
      <c r="R767" s="275">
        <f>IF(AJ78&gt;0,ROUND(AJ78,0),0)</f>
        <v>16053</v>
      </c>
      <c r="S767" s="275">
        <f>IF(AJ79&gt;0,ROUND(AJ79,0),0)</f>
        <v>59214</v>
      </c>
      <c r="T767" s="277">
        <f>IF(AJ80&gt;0,ROUND(AJ80,2),0)</f>
        <v>42.14</v>
      </c>
      <c r="U767" s="275"/>
      <c r="V767" s="276"/>
      <c r="W767" s="275"/>
      <c r="X767" s="275"/>
      <c r="Y767" s="275">
        <f t="shared" si="22"/>
        <v>14012480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 x14ac:dyDescent="0.25">
      <c r="A768" s="208" t="str">
        <f>RIGHT($C$83,3)&amp;"*"&amp;RIGHT($C$82,4)&amp;"*"&amp;AK$55&amp;"*"&amp;"A"</f>
        <v>164*2017*7310*A</v>
      </c>
      <c r="B768" s="275">
        <f>ROUND(AK59,0)</f>
        <v>0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0</v>
      </c>
      <c r="O768" s="275">
        <f>ROUND(AK73,0)</f>
        <v>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2"/>
        <v>0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 x14ac:dyDescent="0.25">
      <c r="A769" s="208" t="str">
        <f>RIGHT($C$83,3)&amp;"*"&amp;RIGHT($C$82,4)&amp;"*"&amp;AL$55&amp;"*"&amp;"A"</f>
        <v>164*2017*7320*A</v>
      </c>
      <c r="B769" s="275">
        <f>ROUND(AL59,0)</f>
        <v>0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0</v>
      </c>
      <c r="O769" s="275">
        <f>ROUND(AL73,0)</f>
        <v>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2"/>
        <v>0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 x14ac:dyDescent="0.25">
      <c r="A770" s="208" t="str">
        <f>RIGHT($C$83,3)&amp;"*"&amp;RIGHT($C$82,4)&amp;"*"&amp;AM$55&amp;"*"&amp;"A"</f>
        <v>164*2017*7330*A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2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 x14ac:dyDescent="0.25">
      <c r="A771" s="208" t="str">
        <f>RIGHT($C$83,3)&amp;"*"&amp;RIGHT($C$82,4)&amp;"*"&amp;AN$55&amp;"*"&amp;"A"</f>
        <v>164*2017*7340*A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2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 x14ac:dyDescent="0.25">
      <c r="A772" s="208" t="str">
        <f>RIGHT($C$83,3)&amp;"*"&amp;RIGHT($C$82,4)&amp;"*"&amp;AO$55&amp;"*"&amp;"A"</f>
        <v>164*2017*7350*A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2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 x14ac:dyDescent="0.25">
      <c r="A773" s="208" t="str">
        <f>RIGHT($C$83,3)&amp;"*"&amp;RIGHT($C$82,4)&amp;"*"&amp;AP$55&amp;"*"&amp;"A"</f>
        <v>164*2017*7380*A</v>
      </c>
      <c r="B773" s="275">
        <f>ROUND(AP59,0)</f>
        <v>388380</v>
      </c>
      <c r="C773" s="277">
        <f>ROUND(AP60,2)</f>
        <v>465.87</v>
      </c>
      <c r="D773" s="275">
        <f>ROUND(AP61,0)</f>
        <v>53744129</v>
      </c>
      <c r="E773" s="275">
        <f>ROUND(AP62,0)</f>
        <v>11051609</v>
      </c>
      <c r="F773" s="275">
        <f>ROUND(AP63,0)</f>
        <v>2338844</v>
      </c>
      <c r="G773" s="275">
        <f>ROUND(AP64,0)</f>
        <v>6515249</v>
      </c>
      <c r="H773" s="275">
        <f>ROUND(AP65,0)</f>
        <v>336316</v>
      </c>
      <c r="I773" s="275">
        <f>ROUND(AP66,0)</f>
        <v>1700846</v>
      </c>
      <c r="J773" s="275">
        <f>ROUND(AP67,0)</f>
        <v>2829440</v>
      </c>
      <c r="K773" s="275">
        <f>ROUND(AP68,0)</f>
        <v>5884274</v>
      </c>
      <c r="L773" s="275">
        <f>ROUND(AP69,0)</f>
        <v>0</v>
      </c>
      <c r="M773" s="275">
        <f>ROUND(AP70,0)</f>
        <v>1577800</v>
      </c>
      <c r="N773" s="275">
        <f>ROUND(AP75,0)</f>
        <v>133956145</v>
      </c>
      <c r="O773" s="275">
        <f>ROUND(AP73,0)</f>
        <v>16154061</v>
      </c>
      <c r="P773" s="275">
        <f>IF(AP76&gt;0,ROUND(AP76,0),0)</f>
        <v>173508</v>
      </c>
      <c r="Q773" s="275">
        <f>IF(AP77&gt;0,ROUND(AP77,0),0)</f>
        <v>0</v>
      </c>
      <c r="R773" s="275">
        <f>IF(AP78&gt;0,ROUND(AP78,0),0)</f>
        <v>19314</v>
      </c>
      <c r="S773" s="275">
        <f>IF(AP79&gt;0,ROUND(AP79,0),0)</f>
        <v>21820</v>
      </c>
      <c r="T773" s="277">
        <f>IF(AP80&gt;0,ROUND(AP80,2),0)</f>
        <v>24.41</v>
      </c>
      <c r="U773" s="275"/>
      <c r="V773" s="276"/>
      <c r="W773" s="275"/>
      <c r="X773" s="275"/>
      <c r="Y773" s="275">
        <f t="shared" si="22"/>
        <v>16296373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 x14ac:dyDescent="0.25">
      <c r="A774" s="208" t="str">
        <f>RIGHT($C$83,3)&amp;"*"&amp;RIGHT($C$82,4)&amp;"*"&amp;AQ$55&amp;"*"&amp;"A"</f>
        <v>164*2017*7390*A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1821559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2"/>
        <v>81875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 x14ac:dyDescent="0.25">
      <c r="A775" s="208" t="str">
        <f>RIGHT($C$83,3)&amp;"*"&amp;RIGHT($C$82,4)&amp;"*"&amp;AR$55&amp;"*"&amp;"A"</f>
        <v>164*2017*7400*A</v>
      </c>
      <c r="B775" s="275">
        <f>ROUND(AR59,0)</f>
        <v>0</v>
      </c>
      <c r="C775" s="277">
        <f>ROUND(AR60,2)</f>
        <v>447.11</v>
      </c>
      <c r="D775" s="275">
        <f>ROUND(AR61,0)</f>
        <v>42061720</v>
      </c>
      <c r="E775" s="275">
        <f>ROUND(AR62,0)</f>
        <v>9985435</v>
      </c>
      <c r="F775" s="275">
        <f>ROUND(AR63,0)</f>
        <v>29994</v>
      </c>
      <c r="G775" s="275">
        <f>ROUND(AR64,0)</f>
        <v>3746444</v>
      </c>
      <c r="H775" s="275">
        <f>ROUND(AR65,0)</f>
        <v>348582</v>
      </c>
      <c r="I775" s="275">
        <f>ROUND(AR66,0)</f>
        <v>3507663</v>
      </c>
      <c r="J775" s="275">
        <f>ROUND(AR67,0)</f>
        <v>104498</v>
      </c>
      <c r="K775" s="275">
        <f>ROUND(AR68,0)</f>
        <v>1793752</v>
      </c>
      <c r="L775" s="275">
        <f>ROUND(AR69,0)</f>
        <v>1349483</v>
      </c>
      <c r="M775" s="275">
        <f>ROUND(AR70,0)</f>
        <v>511830</v>
      </c>
      <c r="N775" s="275">
        <f>ROUND(AR75,0)</f>
        <v>123046380</v>
      </c>
      <c r="O775" s="275">
        <f>ROUND(AR73,0)</f>
        <v>0</v>
      </c>
      <c r="P775" s="275">
        <f>IF(AR76&gt;0,ROUND(AR76,0),0)</f>
        <v>19432</v>
      </c>
      <c r="Q775" s="275">
        <f>IF(AR77&gt;0,ROUND(AR77,0),0)</f>
        <v>0</v>
      </c>
      <c r="R775" s="275">
        <f>IF(AR78&gt;0,ROUND(AR78,0),0)</f>
        <v>2163</v>
      </c>
      <c r="S775" s="275">
        <f>IF(AR79&gt;0,ROUND(AR79,0),0)</f>
        <v>0</v>
      </c>
      <c r="T775" s="277">
        <f>IF(AR80&gt;0,ROUND(AR80,2),0)</f>
        <v>169.32</v>
      </c>
      <c r="U775" s="275"/>
      <c r="V775" s="276"/>
      <c r="W775" s="275"/>
      <c r="X775" s="275"/>
      <c r="Y775" s="275">
        <f t="shared" si="22"/>
        <v>11326575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 x14ac:dyDescent="0.25">
      <c r="A776" s="208" t="str">
        <f>RIGHT($C$83,3)&amp;"*"&amp;RIGHT($C$82,4)&amp;"*"&amp;AS$55&amp;"*"&amp;"A"</f>
        <v>164*2017*7410*A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2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 x14ac:dyDescent="0.25">
      <c r="A777" s="208" t="str">
        <f>RIGHT($C$83,3)&amp;"*"&amp;RIGHT($C$82,4)&amp;"*"&amp;AT$55&amp;"*"&amp;"A"</f>
        <v>164*2017*7420*A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2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 x14ac:dyDescent="0.25">
      <c r="A778" s="208" t="str">
        <f>RIGHT($C$83,3)&amp;"*"&amp;RIGHT($C$82,4)&amp;"*"&amp;AU$55&amp;"*"&amp;"A"</f>
        <v>164*2017*7430*A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2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 x14ac:dyDescent="0.25">
      <c r="A779" s="208" t="str">
        <f>RIGHT($C$83,3)&amp;"*"&amp;RIGHT($C$82,4)&amp;"*"&amp;AV$55&amp;"*"&amp;"A"</f>
        <v>164*2017*7490*A</v>
      </c>
      <c r="B779" s="275"/>
      <c r="C779" s="277">
        <f>ROUND(AV60,2)</f>
        <v>24.72</v>
      </c>
      <c r="D779" s="275">
        <f>ROUND(AV61,0)</f>
        <v>2426615</v>
      </c>
      <c r="E779" s="275">
        <f>ROUND(AV62,0)</f>
        <v>530082</v>
      </c>
      <c r="F779" s="275">
        <f>ROUND(AV63,0)</f>
        <v>0</v>
      </c>
      <c r="G779" s="275">
        <f>ROUND(AV64,0)</f>
        <v>5111315</v>
      </c>
      <c r="H779" s="275">
        <f>ROUND(AV65,0)</f>
        <v>4254</v>
      </c>
      <c r="I779" s="275">
        <f>ROUND(AV66,0)</f>
        <v>211444</v>
      </c>
      <c r="J779" s="275">
        <f>ROUND(AV67,0)</f>
        <v>316468</v>
      </c>
      <c r="K779" s="275">
        <f>ROUND(AV68,0)</f>
        <v>0</v>
      </c>
      <c r="L779" s="275">
        <f>ROUND(AV69,0)</f>
        <v>4630</v>
      </c>
      <c r="M779" s="275">
        <f>ROUND(AV70,0)</f>
        <v>5592053</v>
      </c>
      <c r="N779" s="275">
        <f>ROUND(AV75,0)</f>
        <v>15456107</v>
      </c>
      <c r="O779" s="275">
        <f>ROUND(AV73,0)</f>
        <v>2728707</v>
      </c>
      <c r="P779" s="275">
        <f>IF(AV76&gt;0,ROUND(AV76,0),0)</f>
        <v>12953</v>
      </c>
      <c r="Q779" s="275">
        <f>IF(AV77&gt;0,ROUND(AV77,0),0)</f>
        <v>0</v>
      </c>
      <c r="R779" s="275">
        <f>IF(AV78&gt;0,ROUND(AV78,0),0)</f>
        <v>1442</v>
      </c>
      <c r="S779" s="275">
        <f>IF(AV79&gt;0,ROUND(AV79,0),0)</f>
        <v>49476</v>
      </c>
      <c r="T779" s="277">
        <f>IF(AV80&gt;0,ROUND(AV80,2),0)</f>
        <v>59.68</v>
      </c>
      <c r="U779" s="275"/>
      <c r="V779" s="276"/>
      <c r="W779" s="275"/>
      <c r="X779" s="275"/>
      <c r="Y779" s="275">
        <f t="shared" si="22"/>
        <v>1914206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 x14ac:dyDescent="0.25">
      <c r="A780" s="208" t="str">
        <f>RIGHT($C$83,3)&amp;"*"&amp;RIGHT($C$82,4)&amp;"*"&amp;AW$55&amp;"*"&amp;"A"</f>
        <v>164*2017*8200*A</v>
      </c>
      <c r="B780" s="275"/>
      <c r="C780" s="277">
        <f>ROUND(AW60,2)</f>
        <v>9.94</v>
      </c>
      <c r="D780" s="275">
        <f>ROUND(AW61,0)</f>
        <v>679032</v>
      </c>
      <c r="E780" s="275">
        <f>ROUND(AW62,0)</f>
        <v>180324</v>
      </c>
      <c r="F780" s="275">
        <f>ROUND(AW63,0)</f>
        <v>488506</v>
      </c>
      <c r="G780" s="275">
        <f>ROUND(AW64,0)</f>
        <v>20710</v>
      </c>
      <c r="H780" s="275">
        <f>ROUND(AW65,0)</f>
        <v>595</v>
      </c>
      <c r="I780" s="275">
        <f>ROUND(AW66,0)</f>
        <v>59556</v>
      </c>
      <c r="J780" s="275">
        <f>ROUND(AW67,0)</f>
        <v>35193</v>
      </c>
      <c r="K780" s="275">
        <f>ROUND(AW68,0)</f>
        <v>0</v>
      </c>
      <c r="L780" s="275">
        <f>ROUND(AW69,0)</f>
        <v>41942</v>
      </c>
      <c r="M780" s="275">
        <f>ROUND(AW70,0)</f>
        <v>1228926</v>
      </c>
      <c r="N780" s="275"/>
      <c r="O780" s="275"/>
      <c r="P780" s="275">
        <f>IF(AW76&gt;0,ROUND(AW76,0),0)</f>
        <v>3712</v>
      </c>
      <c r="Q780" s="275">
        <f>IF(AW77&gt;0,ROUND(AW77,0),0)</f>
        <v>0</v>
      </c>
      <c r="R780" s="275">
        <f>IF(AW78&gt;0,ROUND(AW78,0),0)</f>
        <v>413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 x14ac:dyDescent="0.25">
      <c r="A781" s="208" t="str">
        <f>RIGHT($C$83,3)&amp;"*"&amp;RIGHT($C$82,4)&amp;"*"&amp;AX$55&amp;"*"&amp;"A"</f>
        <v>164*2017*8310*A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278484</v>
      </c>
      <c r="H781" s="275">
        <f>ROUND(AX65,0)</f>
        <v>0</v>
      </c>
      <c r="I781" s="275">
        <f>ROUND(AX66,0)</f>
        <v>2408835</v>
      </c>
      <c r="J781" s="275">
        <f>ROUND(AX67,0)</f>
        <v>0</v>
      </c>
      <c r="K781" s="275">
        <f>ROUND(AX68,0)</f>
        <v>1382033</v>
      </c>
      <c r="L781" s="275">
        <f>ROUND(AX69,0)</f>
        <v>134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 x14ac:dyDescent="0.25">
      <c r="A782" s="208" t="str">
        <f>RIGHT($C$83,3)&amp;"*"&amp;RIGHT($C$82,4)&amp;"*"&amp;AY$55&amp;"*"&amp;"A"</f>
        <v>164*2017*8320*A</v>
      </c>
      <c r="B782" s="275">
        <f>ROUND(AY59,0)</f>
        <v>0</v>
      </c>
      <c r="C782" s="277">
        <f>ROUND(AY60,2)</f>
        <v>0</v>
      </c>
      <c r="D782" s="275">
        <f>ROUND(AY61,0)</f>
        <v>0</v>
      </c>
      <c r="E782" s="275">
        <f>ROUND(AY62,0)</f>
        <v>0</v>
      </c>
      <c r="F782" s="275">
        <f>ROUND(AY63,0)</f>
        <v>0</v>
      </c>
      <c r="G782" s="275">
        <f>ROUND(AY64,0)</f>
        <v>0</v>
      </c>
      <c r="H782" s="275">
        <f>ROUND(AY65,0)</f>
        <v>0</v>
      </c>
      <c r="I782" s="275">
        <f>ROUND(AY66,0)</f>
        <v>0</v>
      </c>
      <c r="J782" s="275">
        <f>ROUND(AY67,0)</f>
        <v>0</v>
      </c>
      <c r="K782" s="275">
        <f>ROUND(AY68,0)</f>
        <v>0</v>
      </c>
      <c r="L782" s="275">
        <f>ROUND(AY69,0)</f>
        <v>0</v>
      </c>
      <c r="M782" s="275">
        <f>ROUND(AY70,0)</f>
        <v>0</v>
      </c>
      <c r="N782" s="275"/>
      <c r="O782" s="275"/>
      <c r="P782" s="275">
        <f>IF(AY76&gt;0,ROUND(AY76,0),0)</f>
        <v>0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 x14ac:dyDescent="0.25">
      <c r="A783" s="208" t="str">
        <f>RIGHT($C$83,3)&amp;"*"&amp;RIGHT($C$82,4)&amp;"*"&amp;AZ$55&amp;"*"&amp;"A"</f>
        <v>164*2017*8330*A</v>
      </c>
      <c r="B783" s="275">
        <f>ROUND(AZ59,0)</f>
        <v>834538</v>
      </c>
      <c r="C783" s="277">
        <f>ROUND(AZ60,2)</f>
        <v>64.16</v>
      </c>
      <c r="D783" s="275">
        <f>ROUND(AZ61,0)</f>
        <v>2743939</v>
      </c>
      <c r="E783" s="275">
        <f>ROUND(AZ62,0)</f>
        <v>924283</v>
      </c>
      <c r="F783" s="275">
        <f>ROUND(AZ63,0)</f>
        <v>-93</v>
      </c>
      <c r="G783" s="275">
        <f>ROUND(AZ64,0)</f>
        <v>1790200</v>
      </c>
      <c r="H783" s="275">
        <f>ROUND(AZ65,0)</f>
        <v>0</v>
      </c>
      <c r="I783" s="275">
        <f>ROUND(AZ66,0)</f>
        <v>222389</v>
      </c>
      <c r="J783" s="275">
        <f>ROUND(AZ67,0)</f>
        <v>781088</v>
      </c>
      <c r="K783" s="275">
        <f>ROUND(AZ68,0)</f>
        <v>5001</v>
      </c>
      <c r="L783" s="275">
        <f>ROUND(AZ69,0)</f>
        <v>227</v>
      </c>
      <c r="M783" s="275">
        <f>ROUND(AZ70,0)</f>
        <v>2153200</v>
      </c>
      <c r="N783" s="275"/>
      <c r="O783" s="275"/>
      <c r="P783" s="275">
        <f>IF(AZ76&gt;0,ROUND(AZ76,0),0)</f>
        <v>22833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 x14ac:dyDescent="0.25">
      <c r="A784" s="208" t="str">
        <f>RIGHT($C$83,3)&amp;"*"&amp;RIGHT($C$82,4)&amp;"*"&amp;BA$55&amp;"*"&amp;"A"</f>
        <v>164*2017*8350*A</v>
      </c>
      <c r="B784" s="275">
        <f>ROUND(BA59,0)</f>
        <v>0</v>
      </c>
      <c r="C784" s="277">
        <f>ROUND(BA60,2)</f>
        <v>5.41</v>
      </c>
      <c r="D784" s="275">
        <f>ROUND(BA61,0)</f>
        <v>230142</v>
      </c>
      <c r="E784" s="275">
        <f>ROUND(BA62,0)</f>
        <v>75111</v>
      </c>
      <c r="F784" s="275">
        <f>ROUND(BA63,0)</f>
        <v>0</v>
      </c>
      <c r="G784" s="275">
        <f>ROUND(BA64,0)</f>
        <v>33796</v>
      </c>
      <c r="H784" s="275">
        <f>ROUND(BA65,0)</f>
        <v>0</v>
      </c>
      <c r="I784" s="275">
        <f>ROUND(BA66,0)</f>
        <v>-55126</v>
      </c>
      <c r="J784" s="275">
        <f>ROUND(BA67,0)</f>
        <v>8912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3589</v>
      </c>
      <c r="Q784" s="275">
        <f>IF(BA77&gt;0,ROUND(BA77,0),0)</f>
        <v>0</v>
      </c>
      <c r="R784" s="275">
        <f>IF(BA78&gt;0,ROUND(BA78,0),0)</f>
        <v>400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 x14ac:dyDescent="0.25">
      <c r="A785" s="208" t="str">
        <f>RIGHT($C$83,3)&amp;"*"&amp;RIGHT($C$82,4)&amp;"*"&amp;BB$55&amp;"*"&amp;"A"</f>
        <v>164*2017*8360*A</v>
      </c>
      <c r="B785" s="275"/>
      <c r="C785" s="277">
        <f>ROUND(BB60,2)</f>
        <v>0</v>
      </c>
      <c r="D785" s="275">
        <f>ROUND(BB61,0)</f>
        <v>0</v>
      </c>
      <c r="E785" s="275">
        <f>ROUND(BB62,0)</f>
        <v>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197982</v>
      </c>
      <c r="J785" s="275">
        <f>ROUND(BB67,0)</f>
        <v>0</v>
      </c>
      <c r="K785" s="275">
        <f>ROUND(BB68,0)</f>
        <v>0</v>
      </c>
      <c r="L785" s="275">
        <f>ROUND(BB69,0)</f>
        <v>5000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 x14ac:dyDescent="0.25">
      <c r="A786" s="208" t="str">
        <f>RIGHT($C$83,3)&amp;"*"&amp;RIGHT($C$82,4)&amp;"*"&amp;BC$55&amp;"*"&amp;"A"</f>
        <v>164*2017*8370*A</v>
      </c>
      <c r="B786" s="275"/>
      <c r="C786" s="277">
        <f>ROUND(BC60,2)</f>
        <v>8.2799999999999994</v>
      </c>
      <c r="D786" s="275">
        <f>ROUND(BC61,0)</f>
        <v>426708</v>
      </c>
      <c r="E786" s="275">
        <f>ROUND(BC62,0)</f>
        <v>122179</v>
      </c>
      <c r="F786" s="275">
        <f>ROUND(BC63,0)</f>
        <v>0</v>
      </c>
      <c r="G786" s="275">
        <f>ROUND(BC64,0)</f>
        <v>384</v>
      </c>
      <c r="H786" s="275">
        <f>ROUND(BC65,0)</f>
        <v>0</v>
      </c>
      <c r="I786" s="275">
        <f>ROUND(BC66,0)</f>
        <v>0</v>
      </c>
      <c r="J786" s="275">
        <f>ROUND(BC67,0)</f>
        <v>31693</v>
      </c>
      <c r="K786" s="275">
        <f>ROUND(BC68,0)</f>
        <v>0</v>
      </c>
      <c r="L786" s="275">
        <f>ROUND(BC69,0)</f>
        <v>70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 x14ac:dyDescent="0.25">
      <c r="A787" s="208" t="str">
        <f>RIGHT($C$83,3)&amp;"*"&amp;RIGHT($C$82,4)&amp;"*"&amp;BD$55&amp;"*"&amp;"A"</f>
        <v>164*2017*8420*A</v>
      </c>
      <c r="B787" s="275"/>
      <c r="C787" s="277">
        <f>ROUND(BD60,2)</f>
        <v>32.520000000000003</v>
      </c>
      <c r="D787" s="275">
        <f>ROUND(BD61,0)</f>
        <v>1795761</v>
      </c>
      <c r="E787" s="275">
        <f>ROUND(BD62,0)</f>
        <v>556365</v>
      </c>
      <c r="F787" s="275">
        <f>ROUND(BD63,0)</f>
        <v>0</v>
      </c>
      <c r="G787" s="275">
        <f>ROUND(BD64,0)</f>
        <v>24382</v>
      </c>
      <c r="H787" s="275">
        <f>ROUND(BD65,0)</f>
        <v>407</v>
      </c>
      <c r="I787" s="275">
        <f>ROUND(BD66,0)</f>
        <v>15685</v>
      </c>
      <c r="J787" s="275">
        <f>ROUND(BD67,0)</f>
        <v>77665</v>
      </c>
      <c r="K787" s="275">
        <f>ROUND(BD68,0)</f>
        <v>0</v>
      </c>
      <c r="L787" s="275">
        <f>ROUND(BD69,0)</f>
        <v>252051</v>
      </c>
      <c r="M787" s="275">
        <f>ROUND(BD70,0)</f>
        <v>634</v>
      </c>
      <c r="N787" s="275"/>
      <c r="O787" s="275"/>
      <c r="P787" s="275">
        <f>IF(BD76&gt;0,ROUND(BD76,0),0)</f>
        <v>9663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 x14ac:dyDescent="0.25">
      <c r="A788" s="208" t="str">
        <f>RIGHT($C$83,3)&amp;"*"&amp;RIGHT($C$82,4)&amp;"*"&amp;BE$55&amp;"*"&amp;"A"</f>
        <v>164*2017*8430*A</v>
      </c>
      <c r="B788" s="275">
        <f>ROUND(BE59,0)</f>
        <v>789998</v>
      </c>
      <c r="C788" s="277">
        <f>ROUND(BE60,2)</f>
        <v>46.82</v>
      </c>
      <c r="D788" s="275">
        <f>ROUND(BE61,0)</f>
        <v>3012498</v>
      </c>
      <c r="E788" s="275">
        <f>ROUND(BE62,0)</f>
        <v>897984</v>
      </c>
      <c r="F788" s="275">
        <f>ROUND(BE63,0)</f>
        <v>1680</v>
      </c>
      <c r="G788" s="275">
        <f>ROUND(BE64,0)</f>
        <v>541460</v>
      </c>
      <c r="H788" s="275">
        <f>ROUND(BE65,0)</f>
        <v>4033920</v>
      </c>
      <c r="I788" s="275">
        <f>ROUND(BE66,0)</f>
        <v>2803778</v>
      </c>
      <c r="J788" s="275">
        <f>ROUND(BE67,0)</f>
        <v>6868093</v>
      </c>
      <c r="K788" s="275">
        <f>ROUND(BE68,0)</f>
        <v>3127479</v>
      </c>
      <c r="L788" s="275">
        <f>ROUND(BE69,0)</f>
        <v>192650</v>
      </c>
      <c r="M788" s="275">
        <f>ROUND(BE70,0)</f>
        <v>5460955</v>
      </c>
      <c r="N788" s="275"/>
      <c r="O788" s="275"/>
      <c r="P788" s="275">
        <f>IF(BE76&gt;0,ROUND(BE76,0),0)</f>
        <v>789998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 x14ac:dyDescent="0.25">
      <c r="A789" s="208" t="str">
        <f>RIGHT($C$83,3)&amp;"*"&amp;RIGHT($C$82,4)&amp;"*"&amp;BF$55&amp;"*"&amp;"A"</f>
        <v>164*2017*8460*A</v>
      </c>
      <c r="B789" s="275"/>
      <c r="C789" s="277">
        <f>ROUND(BF60,2)</f>
        <v>101.72</v>
      </c>
      <c r="D789" s="275">
        <f>ROUND(BF61,0)</f>
        <v>4266816</v>
      </c>
      <c r="E789" s="275">
        <f>ROUND(BF62,0)</f>
        <v>1606485</v>
      </c>
      <c r="F789" s="275">
        <f>ROUND(BF63,0)</f>
        <v>0</v>
      </c>
      <c r="G789" s="275">
        <f>ROUND(BF64,0)</f>
        <v>389055</v>
      </c>
      <c r="H789" s="275">
        <f>ROUND(BF65,0)</f>
        <v>461613</v>
      </c>
      <c r="I789" s="275">
        <f>ROUND(BF66,0)</f>
        <v>-739120</v>
      </c>
      <c r="J789" s="275">
        <f>ROUND(BF67,0)</f>
        <v>51757</v>
      </c>
      <c r="K789" s="275">
        <f>ROUND(BF68,0)</f>
        <v>0</v>
      </c>
      <c r="L789" s="275">
        <f>ROUND(BF69,0)</f>
        <v>0</v>
      </c>
      <c r="M789" s="275">
        <f>ROUND(BF70,0)</f>
        <v>15575</v>
      </c>
      <c r="N789" s="275"/>
      <c r="O789" s="275"/>
      <c r="P789" s="275">
        <f>IF(BF76&gt;0,ROUND(BF76,0),0)</f>
        <v>9472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 x14ac:dyDescent="0.25">
      <c r="A790" s="208" t="str">
        <f>RIGHT($C$83,3)&amp;"*"&amp;RIGHT($C$82,4)&amp;"*"&amp;BG$55&amp;"*"&amp;"A"</f>
        <v>164*2017*8470*A</v>
      </c>
      <c r="B790" s="275"/>
      <c r="C790" s="277">
        <f>ROUND(BG60,2)</f>
        <v>20.79</v>
      </c>
      <c r="D790" s="275">
        <f>ROUND(BG61,0)</f>
        <v>1182949</v>
      </c>
      <c r="E790" s="275">
        <f>ROUND(BG62,0)</f>
        <v>365760</v>
      </c>
      <c r="F790" s="275">
        <f>ROUND(BG63,0)</f>
        <v>0</v>
      </c>
      <c r="G790" s="275">
        <f>ROUND(BG64,0)</f>
        <v>100324</v>
      </c>
      <c r="H790" s="275">
        <f>ROUND(BG65,0)</f>
        <v>744475</v>
      </c>
      <c r="I790" s="275">
        <f>ROUND(BG66,0)</f>
        <v>58973</v>
      </c>
      <c r="J790" s="275">
        <f>ROUND(BG67,0)</f>
        <v>24142</v>
      </c>
      <c r="K790" s="275">
        <f>ROUND(BG68,0)</f>
        <v>0</v>
      </c>
      <c r="L790" s="275">
        <f>ROUND(BG69,0)</f>
        <v>0</v>
      </c>
      <c r="M790" s="275">
        <f>ROUND(BG70,0)</f>
        <v>491325</v>
      </c>
      <c r="N790" s="275"/>
      <c r="O790" s="275"/>
      <c r="P790" s="275">
        <f>IF(BG76&gt;0,ROUND(BG76,0),0)</f>
        <v>4982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 x14ac:dyDescent="0.25">
      <c r="A791" s="208" t="str">
        <f>RIGHT($C$83,3)&amp;"*"&amp;RIGHT($C$82,4)&amp;"*"&amp;BH$55&amp;"*"&amp;"A"</f>
        <v>164*2017*8480*A</v>
      </c>
      <c r="B791" s="275"/>
      <c r="C791" s="277">
        <f>ROUND(BH60,2)</f>
        <v>86.23</v>
      </c>
      <c r="D791" s="275">
        <f>ROUND(BH61,0)</f>
        <v>8669232</v>
      </c>
      <c r="E791" s="275">
        <f>ROUND(BH62,0)</f>
        <v>2107121</v>
      </c>
      <c r="F791" s="275">
        <f>ROUND(BH63,0)</f>
        <v>54888</v>
      </c>
      <c r="G791" s="275">
        <f>ROUND(BH64,0)</f>
        <v>877435</v>
      </c>
      <c r="H791" s="275">
        <f>ROUND(BH65,0)</f>
        <v>18230</v>
      </c>
      <c r="I791" s="275">
        <f>ROUND(BH66,0)</f>
        <v>10188110</v>
      </c>
      <c r="J791" s="275">
        <f>ROUND(BH67,0)</f>
        <v>4178775</v>
      </c>
      <c r="K791" s="275">
        <f>ROUND(BH68,0)</f>
        <v>0</v>
      </c>
      <c r="L791" s="275">
        <f>ROUND(BH69,0)</f>
        <v>30267</v>
      </c>
      <c r="M791" s="275">
        <f>ROUND(BH70,0)</f>
        <v>140794</v>
      </c>
      <c r="N791" s="275"/>
      <c r="O791" s="275"/>
      <c r="P791" s="275">
        <f>IF(BH76&gt;0,ROUND(BH76,0),0)</f>
        <v>16909</v>
      </c>
      <c r="Q791" s="275">
        <f>IF(BH77&gt;0,ROUND(BH77,0),0)</f>
        <v>0</v>
      </c>
      <c r="R791" s="275">
        <f>IF(BH78&gt;0,ROUND(BH78,0),0)</f>
        <v>1882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 x14ac:dyDescent="0.25">
      <c r="A792" s="208" t="str">
        <f>RIGHT($C$83,3)&amp;"*"&amp;RIGHT($C$82,4)&amp;"*"&amp;BI$55&amp;"*"&amp;"A"</f>
        <v>164*2017*8490*A</v>
      </c>
      <c r="B792" s="275"/>
      <c r="C792" s="277">
        <f>ROUND(BI60,2)</f>
        <v>17.760000000000002</v>
      </c>
      <c r="D792" s="275">
        <f>ROUND(BI61,0)</f>
        <v>1602350</v>
      </c>
      <c r="E792" s="275">
        <f>ROUND(BI62,0)</f>
        <v>383168</v>
      </c>
      <c r="F792" s="275">
        <f>ROUND(BI63,0)</f>
        <v>-35000</v>
      </c>
      <c r="G792" s="275">
        <f>ROUND(BI64,0)</f>
        <v>68355</v>
      </c>
      <c r="H792" s="275">
        <f>ROUND(BI65,0)</f>
        <v>4203</v>
      </c>
      <c r="I792" s="275">
        <f>ROUND(BI66,0)</f>
        <v>234588</v>
      </c>
      <c r="J792" s="275">
        <f>ROUND(BI67,0)</f>
        <v>192060</v>
      </c>
      <c r="K792" s="275">
        <f>ROUND(BI68,0)</f>
        <v>1147960</v>
      </c>
      <c r="L792" s="275">
        <f>ROUND(BI69,0)</f>
        <v>44480</v>
      </c>
      <c r="M792" s="275">
        <f>ROUND(BI70,0)</f>
        <v>1076598</v>
      </c>
      <c r="N792" s="275"/>
      <c r="O792" s="275"/>
      <c r="P792" s="275">
        <f>IF(BI76&gt;0,ROUND(BI76,0),0)</f>
        <v>71453</v>
      </c>
      <c r="Q792" s="275">
        <f>IF(BI77&gt;0,ROUND(BI77,0),0)</f>
        <v>0</v>
      </c>
      <c r="R792" s="275">
        <f>IF(BI78&gt;0,ROUND(BI78,0),0)</f>
        <v>7954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 x14ac:dyDescent="0.25">
      <c r="A793" s="208" t="str">
        <f>RIGHT($C$83,3)&amp;"*"&amp;RIGHT($C$82,4)&amp;"*"&amp;BJ$55&amp;"*"&amp;"A"</f>
        <v>164*2017*8510*A</v>
      </c>
      <c r="B793" s="275"/>
      <c r="C793" s="277">
        <f>ROUND(BJ60,2)</f>
        <v>17.79</v>
      </c>
      <c r="D793" s="275">
        <f>ROUND(BJ61,0)</f>
        <v>1457742</v>
      </c>
      <c r="E793" s="275">
        <f>ROUND(BJ62,0)</f>
        <v>406102</v>
      </c>
      <c r="F793" s="275">
        <f>ROUND(BJ63,0)</f>
        <v>315000</v>
      </c>
      <c r="G793" s="275">
        <f>ROUND(BJ64,0)</f>
        <v>16159</v>
      </c>
      <c r="H793" s="275">
        <f>ROUND(BJ65,0)</f>
        <v>0</v>
      </c>
      <c r="I793" s="275">
        <f>ROUND(BJ66,0)</f>
        <v>67759</v>
      </c>
      <c r="J793" s="275">
        <f>ROUND(BJ67,0)</f>
        <v>126210</v>
      </c>
      <c r="K793" s="275">
        <f>ROUND(BJ68,0)</f>
        <v>0</v>
      </c>
      <c r="L793" s="275">
        <f>ROUND(BJ69,0)</f>
        <v>2306</v>
      </c>
      <c r="M793" s="275">
        <f>ROUND(BJ70,0)</f>
        <v>362000</v>
      </c>
      <c r="N793" s="275"/>
      <c r="O793" s="275"/>
      <c r="P793" s="275">
        <f>IF(BJ76&gt;0,ROUND(BJ76,0),0)</f>
        <v>4264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 x14ac:dyDescent="0.25">
      <c r="A794" s="208" t="str">
        <f>RIGHT($C$83,3)&amp;"*"&amp;RIGHT($C$82,4)&amp;"*"&amp;BK$55&amp;"*"&amp;"A"</f>
        <v>164*2017*8530*A</v>
      </c>
      <c r="B794" s="275"/>
      <c r="C794" s="277">
        <f>ROUND(BK60,2)</f>
        <v>97.93</v>
      </c>
      <c r="D794" s="275">
        <f>ROUND(BK61,0)</f>
        <v>5151768</v>
      </c>
      <c r="E794" s="275">
        <f>ROUND(BK62,0)</f>
        <v>1572214</v>
      </c>
      <c r="F794" s="275">
        <f>ROUND(BK63,0)</f>
        <v>620401</v>
      </c>
      <c r="G794" s="275">
        <f>ROUND(BK64,0)</f>
        <v>116526</v>
      </c>
      <c r="H794" s="275">
        <f>ROUND(BK65,0)</f>
        <v>93297</v>
      </c>
      <c r="I794" s="275">
        <f>ROUND(BK66,0)</f>
        <v>2078036</v>
      </c>
      <c r="J794" s="275">
        <f>ROUND(BK67,0)</f>
        <v>205343</v>
      </c>
      <c r="K794" s="275">
        <f>ROUND(BK68,0)</f>
        <v>118296</v>
      </c>
      <c r="L794" s="275">
        <f>ROUND(BK69,0)</f>
        <v>31336</v>
      </c>
      <c r="M794" s="275">
        <f>ROUND(BK70,0)</f>
        <v>115322</v>
      </c>
      <c r="N794" s="275"/>
      <c r="O794" s="275"/>
      <c r="P794" s="275">
        <f>IF(BK76&gt;0,ROUND(BK76,0),0)</f>
        <v>16303</v>
      </c>
      <c r="Q794" s="275">
        <f>IF(BK77&gt;0,ROUND(BK77,0),0)</f>
        <v>0</v>
      </c>
      <c r="R794" s="275">
        <f>IF(BK78&gt;0,ROUND(BK78,0),0)</f>
        <v>1815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 x14ac:dyDescent="0.25">
      <c r="A795" s="208" t="str">
        <f>RIGHT($C$83,3)&amp;"*"&amp;RIGHT($C$82,4)&amp;"*"&amp;BL$55&amp;"*"&amp;"A"</f>
        <v>164*2017*8560*A</v>
      </c>
      <c r="B795" s="275"/>
      <c r="C795" s="277">
        <f>ROUND(BL60,2)</f>
        <v>65.97</v>
      </c>
      <c r="D795" s="275">
        <f>ROUND(BL61,0)</f>
        <v>3165198</v>
      </c>
      <c r="E795" s="275">
        <f>ROUND(BL62,0)</f>
        <v>1004275</v>
      </c>
      <c r="F795" s="275">
        <f>ROUND(BL63,0)</f>
        <v>0</v>
      </c>
      <c r="G795" s="275">
        <f>ROUND(BL64,0)</f>
        <v>40510</v>
      </c>
      <c r="H795" s="275">
        <f>ROUND(BL65,0)</f>
        <v>867</v>
      </c>
      <c r="I795" s="275">
        <f>ROUND(BL66,0)</f>
        <v>175121</v>
      </c>
      <c r="J795" s="275">
        <f>ROUND(BL67,0)</f>
        <v>31035</v>
      </c>
      <c r="K795" s="275">
        <f>ROUND(BL68,0)</f>
        <v>0</v>
      </c>
      <c r="L795" s="275">
        <f>ROUND(BL69,0)</f>
        <v>189</v>
      </c>
      <c r="M795" s="275">
        <f>ROUND(BL70,0)</f>
        <v>338550</v>
      </c>
      <c r="N795" s="275"/>
      <c r="O795" s="275"/>
      <c r="P795" s="275">
        <f>IF(BL76&gt;0,ROUND(BL76,0),0)</f>
        <v>5728</v>
      </c>
      <c r="Q795" s="275">
        <f>IF(BL77&gt;0,ROUND(BL77,0),0)</f>
        <v>0</v>
      </c>
      <c r="R795" s="275">
        <f>IF(BL78&gt;0,ROUND(BL78,0),0)</f>
        <v>638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 x14ac:dyDescent="0.25">
      <c r="A796" s="208" t="str">
        <f>RIGHT($C$83,3)&amp;"*"&amp;RIGHT($C$82,4)&amp;"*"&amp;BM$55&amp;"*"&amp;"A"</f>
        <v>164*2017*8590*A</v>
      </c>
      <c r="B796" s="275"/>
      <c r="C796" s="277">
        <f>ROUND(BM60,2)</f>
        <v>17.170000000000002</v>
      </c>
      <c r="D796" s="275">
        <f>ROUND(BM61,0)</f>
        <v>1639210</v>
      </c>
      <c r="E796" s="275">
        <f>ROUND(BM62,0)</f>
        <v>456062</v>
      </c>
      <c r="F796" s="275">
        <f>ROUND(BM63,0)</f>
        <v>11890</v>
      </c>
      <c r="G796" s="275">
        <f>ROUND(BM64,0)</f>
        <v>6045</v>
      </c>
      <c r="H796" s="275">
        <f>ROUND(BM65,0)</f>
        <v>174</v>
      </c>
      <c r="I796" s="275">
        <f>ROUND(BM66,0)</f>
        <v>298676</v>
      </c>
      <c r="J796" s="275">
        <f>ROUND(BM67,0)</f>
        <v>97561</v>
      </c>
      <c r="K796" s="275">
        <f>ROUND(BM68,0)</f>
        <v>0</v>
      </c>
      <c r="L796" s="275">
        <f>ROUND(BM69,0)</f>
        <v>34122</v>
      </c>
      <c r="M796" s="275">
        <f>ROUND(BM70,0)</f>
        <v>0</v>
      </c>
      <c r="N796" s="275"/>
      <c r="O796" s="275"/>
      <c r="P796" s="275">
        <f>IF(BM76&gt;0,ROUND(BM76,0),0)</f>
        <v>4852</v>
      </c>
      <c r="Q796" s="275">
        <f>IF(BM77&gt;0,ROUND(BM77,0),0)</f>
        <v>0</v>
      </c>
      <c r="R796" s="275">
        <f>IF(BM78&gt;0,ROUND(BM78,0),0)</f>
        <v>540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 x14ac:dyDescent="0.25">
      <c r="A797" s="208" t="str">
        <f>RIGHT($C$83,3)&amp;"*"&amp;RIGHT($C$82,4)&amp;"*"&amp;BN$55&amp;"*"&amp;"A"</f>
        <v>164*2017*8610*A</v>
      </c>
      <c r="B797" s="275"/>
      <c r="C797" s="277">
        <f>ROUND(BN60,2)</f>
        <v>23.44</v>
      </c>
      <c r="D797" s="275">
        <f>ROUND(BN61,0)</f>
        <v>5473596</v>
      </c>
      <c r="E797" s="275">
        <f>ROUND(BN62,0)</f>
        <v>1584417</v>
      </c>
      <c r="F797" s="275">
        <f>ROUND(BN63,0)</f>
        <v>859889</v>
      </c>
      <c r="G797" s="275">
        <f>ROUND(BN64,0)</f>
        <v>15584</v>
      </c>
      <c r="H797" s="275">
        <f>ROUND(BN65,0)</f>
        <v>6536</v>
      </c>
      <c r="I797" s="275">
        <f>ROUND(BN66,0)</f>
        <v>976931</v>
      </c>
      <c r="J797" s="275">
        <f>ROUND(BN67,0)</f>
        <v>223807</v>
      </c>
      <c r="K797" s="275">
        <f>ROUND(BN68,0)</f>
        <v>0</v>
      </c>
      <c r="L797" s="275">
        <f>ROUND(BN69,0)</f>
        <v>640274</v>
      </c>
      <c r="M797" s="275">
        <f>ROUND(BN70,0)</f>
        <v>46</v>
      </c>
      <c r="N797" s="275"/>
      <c r="O797" s="275"/>
      <c r="P797" s="275">
        <f>IF(BN76&gt;0,ROUND(BN76,0),0)</f>
        <v>12254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 x14ac:dyDescent="0.25">
      <c r="A798" s="208" t="str">
        <f>RIGHT($C$83,3)&amp;"*"&amp;RIGHT($C$82,4)&amp;"*"&amp;BO$55&amp;"*"&amp;"A"</f>
        <v>164*2017*8620*A</v>
      </c>
      <c r="B798" s="275"/>
      <c r="C798" s="277">
        <f>ROUND(BO60,2)</f>
        <v>6.22</v>
      </c>
      <c r="D798" s="275">
        <f>ROUND(BO61,0)</f>
        <v>632875</v>
      </c>
      <c r="E798" s="275">
        <f>ROUND(BO62,0)</f>
        <v>136130</v>
      </c>
      <c r="F798" s="275">
        <f>ROUND(BO63,0)</f>
        <v>990</v>
      </c>
      <c r="G798" s="275">
        <f>ROUND(BO64,0)</f>
        <v>177733</v>
      </c>
      <c r="H798" s="275">
        <f>ROUND(BO65,0)</f>
        <v>0</v>
      </c>
      <c r="I798" s="275">
        <f>ROUND(BO66,0)</f>
        <v>81339</v>
      </c>
      <c r="J798" s="275">
        <f>ROUND(BO67,0)</f>
        <v>31734</v>
      </c>
      <c r="K798" s="275">
        <f>ROUND(BO68,0)</f>
        <v>0</v>
      </c>
      <c r="L798" s="275">
        <f>ROUND(BO69,0)</f>
        <v>4037</v>
      </c>
      <c r="M798" s="275">
        <f>ROUND(BO70,0)</f>
        <v>1656</v>
      </c>
      <c r="N798" s="275"/>
      <c r="O798" s="275"/>
      <c r="P798" s="275">
        <f>IF(BO76&gt;0,ROUND(BO76,0),0)</f>
        <v>1656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 x14ac:dyDescent="0.25">
      <c r="A799" s="208" t="str">
        <f>RIGHT($C$83,3)&amp;"*"&amp;RIGHT($C$82,4)&amp;"*"&amp;BP$55&amp;"*"&amp;"A"</f>
        <v>164*2017*8630*A</v>
      </c>
      <c r="B799" s="275"/>
      <c r="C799" s="277">
        <f>ROUND(BP60,2)</f>
        <v>7.96</v>
      </c>
      <c r="D799" s="275">
        <f>ROUND(BP61,0)</f>
        <v>721754</v>
      </c>
      <c r="E799" s="275">
        <f>ROUND(BP62,0)</f>
        <v>296339</v>
      </c>
      <c r="F799" s="275">
        <f>ROUND(BP63,0)</f>
        <v>170635</v>
      </c>
      <c r="G799" s="275">
        <f>ROUND(BP64,0)</f>
        <v>92393</v>
      </c>
      <c r="H799" s="275">
        <f>ROUND(BP65,0)</f>
        <v>600</v>
      </c>
      <c r="I799" s="275">
        <f>ROUND(BP66,0)</f>
        <v>2795532</v>
      </c>
      <c r="J799" s="275">
        <f>ROUND(BP67,0)</f>
        <v>113392</v>
      </c>
      <c r="K799" s="275">
        <f>ROUND(BP68,0)</f>
        <v>0</v>
      </c>
      <c r="L799" s="275">
        <f>ROUND(BP69,0)</f>
        <v>3706</v>
      </c>
      <c r="M799" s="275">
        <f>ROUND(BP70,0)</f>
        <v>0</v>
      </c>
      <c r="N799" s="275"/>
      <c r="O799" s="275"/>
      <c r="P799" s="275">
        <f>IF(BP76&gt;0,ROUND(BP76,0),0)</f>
        <v>1894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 x14ac:dyDescent="0.25">
      <c r="A800" s="208" t="str">
        <f>RIGHT($C$83,3)&amp;"*"&amp;RIGHT($C$82,4)&amp;"*"&amp;BQ$55&amp;"*"&amp;"A"</f>
        <v>164*2017*8640*A</v>
      </c>
      <c r="B800" s="275"/>
      <c r="C800" s="277">
        <f>ROUND(BQ60,2)</f>
        <v>3.51</v>
      </c>
      <c r="D800" s="275">
        <f>ROUND(BQ61,0)</f>
        <v>407627</v>
      </c>
      <c r="E800" s="275">
        <f>ROUND(BQ62,0)</f>
        <v>105716</v>
      </c>
      <c r="F800" s="275">
        <f>ROUND(BQ63,0)</f>
        <v>0</v>
      </c>
      <c r="G800" s="275">
        <f>ROUND(BQ64,0)</f>
        <v>2648</v>
      </c>
      <c r="H800" s="275">
        <f>ROUND(BQ65,0)</f>
        <v>0</v>
      </c>
      <c r="I800" s="275">
        <f>ROUND(BQ66,0)</f>
        <v>5640</v>
      </c>
      <c r="J800" s="275">
        <f>ROUND(BQ67,0)</f>
        <v>5456</v>
      </c>
      <c r="K800" s="275">
        <f>ROUND(BQ68,0)</f>
        <v>0</v>
      </c>
      <c r="L800" s="275">
        <f>ROUND(BQ69,0)</f>
        <v>300</v>
      </c>
      <c r="M800" s="275">
        <f>ROUND(BQ70,0)</f>
        <v>0</v>
      </c>
      <c r="N800" s="275"/>
      <c r="O800" s="275"/>
      <c r="P800" s="275">
        <f>IF(BQ76&gt;0,ROUND(BQ76,0),0)</f>
        <v>1677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 x14ac:dyDescent="0.25">
      <c r="A801" s="208" t="str">
        <f>RIGHT($C$83,3)&amp;"*"&amp;RIGHT($C$82,4)&amp;"*"&amp;BR$55&amp;"*"&amp;"A"</f>
        <v>164*2017*8650*A</v>
      </c>
      <c r="B801" s="275"/>
      <c r="C801" s="277">
        <f>ROUND(BR60,2)</f>
        <v>24.85</v>
      </c>
      <c r="D801" s="275">
        <f>ROUND(BR61,0)</f>
        <v>2226312</v>
      </c>
      <c r="E801" s="275">
        <f>ROUND(BR62,0)</f>
        <v>559052</v>
      </c>
      <c r="F801" s="275">
        <f>ROUND(BR63,0)</f>
        <v>1024235</v>
      </c>
      <c r="G801" s="275">
        <f>ROUND(BR64,0)</f>
        <v>46493</v>
      </c>
      <c r="H801" s="275">
        <f>ROUND(BR65,0)</f>
        <v>312</v>
      </c>
      <c r="I801" s="275">
        <f>ROUND(BR66,0)</f>
        <v>647068</v>
      </c>
      <c r="J801" s="275">
        <f>ROUND(BR67,0)</f>
        <v>9831</v>
      </c>
      <c r="K801" s="275">
        <f>ROUND(BR68,0)</f>
        <v>4761</v>
      </c>
      <c r="L801" s="275">
        <f>ROUND(BR69,0)</f>
        <v>37690</v>
      </c>
      <c r="M801" s="275">
        <f>ROUND(BR70,0)</f>
        <v>19</v>
      </c>
      <c r="N801" s="275"/>
      <c r="O801" s="275"/>
      <c r="P801" s="275">
        <f>IF(BR76&gt;0,ROUND(BR76,0),0)</f>
        <v>3476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 x14ac:dyDescent="0.25">
      <c r="A802" s="208" t="str">
        <f>RIGHT($C$83,3)&amp;"*"&amp;RIGHT($C$82,4)&amp;"*"&amp;BS$55&amp;"*"&amp;"A"</f>
        <v>164*2017*8660*A</v>
      </c>
      <c r="B802" s="275"/>
      <c r="C802" s="277">
        <f>ROUND(BS60,2)</f>
        <v>7.92</v>
      </c>
      <c r="D802" s="275">
        <f>ROUND(BS61,0)</f>
        <v>530791</v>
      </c>
      <c r="E802" s="275">
        <f>ROUND(BS62,0)</f>
        <v>159411</v>
      </c>
      <c r="F802" s="275">
        <f>ROUND(BS63,0)</f>
        <v>0</v>
      </c>
      <c r="G802" s="275">
        <f>ROUND(BS64,0)</f>
        <v>522716</v>
      </c>
      <c r="H802" s="275">
        <f>ROUND(BS65,0)</f>
        <v>1436</v>
      </c>
      <c r="I802" s="275">
        <f>ROUND(BS66,0)</f>
        <v>29394</v>
      </c>
      <c r="J802" s="275">
        <f>ROUND(BS67,0)</f>
        <v>16137</v>
      </c>
      <c r="K802" s="275">
        <f>ROUND(BS68,0)</f>
        <v>0</v>
      </c>
      <c r="L802" s="275">
        <f>ROUND(BS69,0)</f>
        <v>4943</v>
      </c>
      <c r="M802" s="275">
        <f>ROUND(BS70,0)</f>
        <v>806761</v>
      </c>
      <c r="N802" s="275"/>
      <c r="O802" s="275"/>
      <c r="P802" s="275">
        <f>IF(BS76&gt;0,ROUND(BS76,0),0)</f>
        <v>3774</v>
      </c>
      <c r="Q802" s="275">
        <f>IF(BS77&gt;0,ROUND(BS77,0),0)</f>
        <v>0</v>
      </c>
      <c r="R802" s="275">
        <f>IF(BS78&gt;0,ROUND(BS78,0),0)</f>
        <v>420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 x14ac:dyDescent="0.25">
      <c r="A803" s="208" t="str">
        <f>RIGHT($C$83,3)&amp;"*"&amp;RIGHT($C$82,4)&amp;"*"&amp;BT$55&amp;"*"&amp;"A"</f>
        <v>164*2017*8670*A</v>
      </c>
      <c r="B803" s="275"/>
      <c r="C803" s="277">
        <f>ROUND(BT60,2)</f>
        <v>3.43</v>
      </c>
      <c r="D803" s="275">
        <f>ROUND(BT61,0)</f>
        <v>223693</v>
      </c>
      <c r="E803" s="275">
        <f>ROUND(BT62,0)</f>
        <v>72775</v>
      </c>
      <c r="F803" s="275">
        <f>ROUND(BT63,0)</f>
        <v>0</v>
      </c>
      <c r="G803" s="275">
        <f>ROUND(BT64,0)</f>
        <v>2253</v>
      </c>
      <c r="H803" s="275">
        <f>ROUND(BT65,0)</f>
        <v>6458</v>
      </c>
      <c r="I803" s="275">
        <f>ROUND(BT66,0)</f>
        <v>908</v>
      </c>
      <c r="J803" s="275">
        <f>ROUND(BT67,0)</f>
        <v>34840</v>
      </c>
      <c r="K803" s="275">
        <f>ROUND(BT68,0)</f>
        <v>0</v>
      </c>
      <c r="L803" s="275">
        <f>ROUND(BT69,0)</f>
        <v>345</v>
      </c>
      <c r="M803" s="275">
        <f>ROUND(BT70,0)</f>
        <v>3050</v>
      </c>
      <c r="N803" s="275"/>
      <c r="O803" s="275"/>
      <c r="P803" s="275">
        <f>IF(BT76&gt;0,ROUND(BT76,0),0)</f>
        <v>943</v>
      </c>
      <c r="Q803" s="275">
        <f>IF(BT77&gt;0,ROUND(BT77,0),0)</f>
        <v>0</v>
      </c>
      <c r="R803" s="275">
        <f>IF(BT78&gt;0,ROUND(BT78,0),0)</f>
        <v>105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 x14ac:dyDescent="0.25">
      <c r="A804" s="208" t="str">
        <f>RIGHT($C$83,3)&amp;"*"&amp;RIGHT($C$82,4)&amp;"*"&amp;BU$55&amp;"*"&amp;"A"</f>
        <v>164*2017*8680*A</v>
      </c>
      <c r="B804" s="275"/>
      <c r="C804" s="277">
        <f>ROUND(BU60,2)</f>
        <v>0.32</v>
      </c>
      <c r="D804" s="275">
        <f>ROUND(BU61,0)</f>
        <v>23453</v>
      </c>
      <c r="E804" s="275">
        <f>ROUND(BU62,0)</f>
        <v>12135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-1226</v>
      </c>
      <c r="J804" s="275">
        <f>ROUND(BU67,0)</f>
        <v>2006</v>
      </c>
      <c r="K804" s="275">
        <f>ROUND(BU68,0)</f>
        <v>0</v>
      </c>
      <c r="L804" s="275">
        <f>ROUND(BU69,0)</f>
        <v>245105</v>
      </c>
      <c r="M804" s="275">
        <f>ROUND(BU70,0)</f>
        <v>0</v>
      </c>
      <c r="N804" s="275"/>
      <c r="O804" s="275"/>
      <c r="P804" s="275">
        <f>IF(BU76&gt;0,ROUND(BU76,0),0)</f>
        <v>418</v>
      </c>
      <c r="Q804" s="275">
        <f>IF(BU77&gt;0,ROUND(BU77,0),0)</f>
        <v>0</v>
      </c>
      <c r="R804" s="275">
        <f>IF(BU78&gt;0,ROUND(BU78,0),0)</f>
        <v>47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 x14ac:dyDescent="0.25">
      <c r="A805" s="208" t="str">
        <f>RIGHT($C$83,3)&amp;"*"&amp;RIGHT($C$82,4)&amp;"*"&amp;BV$55&amp;"*"&amp;"A"</f>
        <v>164*2017*8690*A</v>
      </c>
      <c r="B805" s="275"/>
      <c r="C805" s="277">
        <f>ROUND(BV60,2)</f>
        <v>62.13</v>
      </c>
      <c r="D805" s="275">
        <f>ROUND(BV61,0)</f>
        <v>4242969</v>
      </c>
      <c r="E805" s="275">
        <f>ROUND(BV62,0)</f>
        <v>1145245</v>
      </c>
      <c r="F805" s="275">
        <f>ROUND(BV63,0)</f>
        <v>15529</v>
      </c>
      <c r="G805" s="275">
        <f>ROUND(BV64,0)</f>
        <v>39526</v>
      </c>
      <c r="H805" s="275">
        <f>ROUND(BV65,0)</f>
        <v>1691</v>
      </c>
      <c r="I805" s="275">
        <f>ROUND(BV66,0)</f>
        <v>1250118</v>
      </c>
      <c r="J805" s="275">
        <f>ROUND(BV67,0)</f>
        <v>77543</v>
      </c>
      <c r="K805" s="275">
        <f>ROUND(BV68,0)</f>
        <v>0</v>
      </c>
      <c r="L805" s="275">
        <f>ROUND(BV69,0)</f>
        <v>4445</v>
      </c>
      <c r="M805" s="275">
        <f>ROUND(BV70,0)</f>
        <v>2314</v>
      </c>
      <c r="N805" s="275"/>
      <c r="O805" s="275"/>
      <c r="P805" s="275">
        <f>IF(BV76&gt;0,ROUND(BV76,0),0)</f>
        <v>7657</v>
      </c>
      <c r="Q805" s="275">
        <f>IF(BV77&gt;0,ROUND(BV77,0),0)</f>
        <v>0</v>
      </c>
      <c r="R805" s="275">
        <f>IF(BV78&gt;0,ROUND(BV78,0),0)</f>
        <v>852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 x14ac:dyDescent="0.25">
      <c r="A806" s="208" t="str">
        <f>RIGHT($C$83,3)&amp;"*"&amp;RIGHT($C$82,4)&amp;"*"&amp;BW$55&amp;"*"&amp;"A"</f>
        <v>164*2017*8700*A</v>
      </c>
      <c r="B806" s="275"/>
      <c r="C806" s="277">
        <f>ROUND(BW60,2)</f>
        <v>7.21</v>
      </c>
      <c r="D806" s="275">
        <f>ROUND(BW61,0)</f>
        <v>1154662</v>
      </c>
      <c r="E806" s="275">
        <f>ROUND(BW62,0)</f>
        <v>139158</v>
      </c>
      <c r="F806" s="275">
        <f>ROUND(BW63,0)</f>
        <v>1342125</v>
      </c>
      <c r="G806" s="275">
        <f>ROUND(BW64,0)</f>
        <v>2093</v>
      </c>
      <c r="H806" s="275">
        <f>ROUND(BW65,0)</f>
        <v>0</v>
      </c>
      <c r="I806" s="275">
        <f>ROUND(BW66,0)</f>
        <v>99568</v>
      </c>
      <c r="J806" s="275">
        <f>ROUND(BW67,0)</f>
        <v>25348</v>
      </c>
      <c r="K806" s="275">
        <f>ROUND(BW68,0)</f>
        <v>0</v>
      </c>
      <c r="L806" s="275">
        <f>ROUND(BW69,0)</f>
        <v>15637</v>
      </c>
      <c r="M806" s="275">
        <f>ROUND(BW70,0)</f>
        <v>105856</v>
      </c>
      <c r="N806" s="275"/>
      <c r="O806" s="275"/>
      <c r="P806" s="275">
        <f>IF(BW76&gt;0,ROUND(BW76,0),0)</f>
        <v>3426</v>
      </c>
      <c r="Q806" s="275">
        <f>IF(BW77&gt;0,ROUND(BW77,0),0)</f>
        <v>0</v>
      </c>
      <c r="R806" s="275">
        <f>IF(BW78&gt;0,ROUND(BW78,0),0)</f>
        <v>381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 x14ac:dyDescent="0.25">
      <c r="A807" s="208" t="str">
        <f>RIGHT($C$83,3)&amp;"*"&amp;RIGHT($C$82,4)&amp;"*"&amp;BX$55&amp;"*"&amp;"A"</f>
        <v>164*2017*8710*A</v>
      </c>
      <c r="B807" s="275"/>
      <c r="C807" s="277">
        <f>ROUND(BX60,2)</f>
        <v>50.91</v>
      </c>
      <c r="D807" s="275">
        <f>ROUND(BX61,0)</f>
        <v>4989992</v>
      </c>
      <c r="E807" s="275">
        <f>ROUND(BX62,0)</f>
        <v>1105604</v>
      </c>
      <c r="F807" s="275">
        <f>ROUND(BX63,0)</f>
        <v>127909</v>
      </c>
      <c r="G807" s="275">
        <f>ROUND(BX64,0)</f>
        <v>17370</v>
      </c>
      <c r="H807" s="275">
        <f>ROUND(BX65,0)</f>
        <v>1775</v>
      </c>
      <c r="I807" s="275">
        <f>ROUND(BX66,0)</f>
        <v>244017</v>
      </c>
      <c r="J807" s="275">
        <f>ROUND(BX67,0)</f>
        <v>14769</v>
      </c>
      <c r="K807" s="275">
        <f>ROUND(BX68,0)</f>
        <v>0</v>
      </c>
      <c r="L807" s="275">
        <f>ROUND(BX69,0)</f>
        <v>14140</v>
      </c>
      <c r="M807" s="275">
        <f>ROUND(BX70,0)</f>
        <v>0</v>
      </c>
      <c r="N807" s="275"/>
      <c r="O807" s="275"/>
      <c r="P807" s="275">
        <f>IF(BX76&gt;0,ROUND(BX76,0),0)</f>
        <v>3472</v>
      </c>
      <c r="Q807" s="275">
        <f>IF(BX77&gt;0,ROUND(BX77,0),0)</f>
        <v>0</v>
      </c>
      <c r="R807" s="275">
        <f>IF(BX78&gt;0,ROUND(BX78,0),0)</f>
        <v>386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 x14ac:dyDescent="0.25">
      <c r="A808" s="208" t="str">
        <f>RIGHT($C$83,3)&amp;"*"&amp;RIGHT($C$82,4)&amp;"*"&amp;BY$55&amp;"*"&amp;"A"</f>
        <v>164*2017*8720*A</v>
      </c>
      <c r="B808" s="275"/>
      <c r="C808" s="277">
        <f>ROUND(BY60,2)</f>
        <v>16.3</v>
      </c>
      <c r="D808" s="275">
        <f>ROUND(BY61,0)</f>
        <v>1656610</v>
      </c>
      <c r="E808" s="275">
        <f>ROUND(BY62,0)</f>
        <v>396249</v>
      </c>
      <c r="F808" s="275">
        <f>ROUND(BY63,0)</f>
        <v>0</v>
      </c>
      <c r="G808" s="275">
        <f>ROUND(BY64,0)</f>
        <v>2376</v>
      </c>
      <c r="H808" s="275">
        <f>ROUND(BY65,0)</f>
        <v>1803</v>
      </c>
      <c r="I808" s="275">
        <f>ROUND(BY66,0)</f>
        <v>5695</v>
      </c>
      <c r="J808" s="275">
        <f>ROUND(BY67,0)</f>
        <v>348464</v>
      </c>
      <c r="K808" s="275">
        <f>ROUND(BY68,0)</f>
        <v>0</v>
      </c>
      <c r="L808" s="275">
        <f>ROUND(BY69,0)</f>
        <v>31608</v>
      </c>
      <c r="M808" s="275">
        <f>ROUND(BY70,0)</f>
        <v>22740</v>
      </c>
      <c r="N808" s="275"/>
      <c r="O808" s="275"/>
      <c r="P808" s="275">
        <f>IF(BY76&gt;0,ROUND(BY76,0),0)</f>
        <v>3146</v>
      </c>
      <c r="Q808" s="275">
        <f>IF(BY77&gt;0,ROUND(BY77,0),0)</f>
        <v>0</v>
      </c>
      <c r="R808" s="275">
        <f>IF(BY78&gt;0,ROUND(BY78,0),0)</f>
        <v>350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 x14ac:dyDescent="0.25">
      <c r="A809" s="208" t="str">
        <f>RIGHT($C$83,3)&amp;"*"&amp;RIGHT($C$82,4)&amp;"*"&amp;BZ$55&amp;"*"&amp;"A"</f>
        <v>164*2017*8730*A</v>
      </c>
      <c r="B809" s="275"/>
      <c r="C809" s="277">
        <f>ROUND(BZ60,2)</f>
        <v>30.37</v>
      </c>
      <c r="D809" s="275">
        <f>ROUND(BZ61,0)</f>
        <v>2391158</v>
      </c>
      <c r="E809" s="275">
        <f>ROUND(BZ62,0)</f>
        <v>1102580</v>
      </c>
      <c r="F809" s="275">
        <f>ROUND(BZ63,0)</f>
        <v>0</v>
      </c>
      <c r="G809" s="275">
        <f>ROUND(BZ64,0)</f>
        <v>3668</v>
      </c>
      <c r="H809" s="275">
        <f>ROUND(BZ65,0)</f>
        <v>0</v>
      </c>
      <c r="I809" s="275">
        <f>ROUND(BZ66,0)</f>
        <v>20</v>
      </c>
      <c r="J809" s="275">
        <f>ROUND(BZ67,0)</f>
        <v>11465</v>
      </c>
      <c r="K809" s="275">
        <f>ROUND(BZ68,0)</f>
        <v>0</v>
      </c>
      <c r="L809" s="275">
        <f>ROUND(BZ69,0)</f>
        <v>3931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 x14ac:dyDescent="0.25">
      <c r="A810" s="208" t="str">
        <f>RIGHT($C$83,3)&amp;"*"&amp;RIGHT($C$82,4)&amp;"*"&amp;CA$55&amp;"*"&amp;"A"</f>
        <v>164*2017*8740*A</v>
      </c>
      <c r="B810" s="275"/>
      <c r="C810" s="277">
        <f>ROUND(CA60,2)</f>
        <v>9.24</v>
      </c>
      <c r="D810" s="275">
        <f>ROUND(CA61,0)</f>
        <v>777458</v>
      </c>
      <c r="E810" s="275">
        <f>ROUND(CA62,0)</f>
        <v>207425</v>
      </c>
      <c r="F810" s="275">
        <f>ROUND(CA63,0)</f>
        <v>0</v>
      </c>
      <c r="G810" s="275">
        <f>ROUND(CA64,0)</f>
        <v>51855</v>
      </c>
      <c r="H810" s="275">
        <f>ROUND(CA65,0)</f>
        <v>824</v>
      </c>
      <c r="I810" s="275">
        <f>ROUND(CA66,0)</f>
        <v>89835</v>
      </c>
      <c r="J810" s="275">
        <f>ROUND(CA67,0)</f>
        <v>5211</v>
      </c>
      <c r="K810" s="275">
        <f>ROUND(CA68,0)</f>
        <v>0</v>
      </c>
      <c r="L810" s="275">
        <f>ROUND(CA69,0)</f>
        <v>344446</v>
      </c>
      <c r="M810" s="275">
        <f>ROUND(CA70,0)</f>
        <v>85161</v>
      </c>
      <c r="N810" s="275"/>
      <c r="O810" s="275"/>
      <c r="P810" s="275">
        <f>IF(CA76&gt;0,ROUND(CA76,0),0)</f>
        <v>3557</v>
      </c>
      <c r="Q810" s="275">
        <f>IF(CA77&gt;0,ROUND(CA77,0),0)</f>
        <v>0</v>
      </c>
      <c r="R810" s="275">
        <f>IF(CA78&gt;0,ROUND(CA78,0),0)</f>
        <v>396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 x14ac:dyDescent="0.25">
      <c r="A811" s="208" t="str">
        <f>RIGHT($C$83,3)&amp;"*"&amp;RIGHT($C$82,4)&amp;"*"&amp;CB$55&amp;"*"&amp;"A"</f>
        <v>164*2017*8770*A</v>
      </c>
      <c r="B811" s="275"/>
      <c r="C811" s="277">
        <f>ROUND(CB60,2)</f>
        <v>64.08</v>
      </c>
      <c r="D811" s="275">
        <f>ROUND(CB61,0)</f>
        <v>4416419</v>
      </c>
      <c r="E811" s="275">
        <f>ROUND(CB62,0)</f>
        <v>1245106</v>
      </c>
      <c r="F811" s="275">
        <f>ROUND(CB63,0)</f>
        <v>0</v>
      </c>
      <c r="G811" s="275">
        <f>ROUND(CB64,0)</f>
        <v>69729</v>
      </c>
      <c r="H811" s="275">
        <f>ROUND(CB65,0)</f>
        <v>8237</v>
      </c>
      <c r="I811" s="275">
        <f>ROUND(CB66,0)</f>
        <v>210634</v>
      </c>
      <c r="J811" s="275">
        <f>ROUND(CB67,0)</f>
        <v>127460</v>
      </c>
      <c r="K811" s="275">
        <f>ROUND(CB68,0)</f>
        <v>134496</v>
      </c>
      <c r="L811" s="275">
        <f>ROUND(CB69,0)</f>
        <v>8679</v>
      </c>
      <c r="M811" s="275">
        <f>ROUND(CB70,0)</f>
        <v>1212180</v>
      </c>
      <c r="N811" s="275"/>
      <c r="O811" s="275"/>
      <c r="P811" s="275">
        <f>IF(CB76&gt;0,ROUND(CB76,0),0)</f>
        <v>7255</v>
      </c>
      <c r="Q811" s="275">
        <f>IF(CB77&gt;0,ROUND(CB77,0),0)</f>
        <v>0</v>
      </c>
      <c r="R811" s="275">
        <f>IF(CB78&gt;0,ROUND(CB78,0),0)</f>
        <v>808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 x14ac:dyDescent="0.25">
      <c r="A812" s="208" t="str">
        <f>RIGHT($C$83,3)&amp;"*"&amp;RIGHT($C$82,4)&amp;"*"&amp;CC$55&amp;"*"&amp;"A"</f>
        <v>164*2017*8790*A</v>
      </c>
      <c r="B812" s="275"/>
      <c r="C812" s="277">
        <f>ROUND(CC60,2)</f>
        <v>34.47</v>
      </c>
      <c r="D812" s="275">
        <f>ROUND(CC61,0)</f>
        <v>5983723</v>
      </c>
      <c r="E812" s="275">
        <f>ROUND(CC62,0)</f>
        <v>934786</v>
      </c>
      <c r="F812" s="275">
        <f>ROUND(CC63,0)</f>
        <v>548365</v>
      </c>
      <c r="G812" s="275">
        <f>ROUND(CC64,0)</f>
        <v>-1343496</v>
      </c>
      <c r="H812" s="275">
        <f>ROUND(CC65,0)</f>
        <v>57265</v>
      </c>
      <c r="I812" s="275">
        <f>ROUND(CC66,0)</f>
        <v>2114157</v>
      </c>
      <c r="J812" s="275">
        <f>ROUND(CC67,0)</f>
        <v>103072</v>
      </c>
      <c r="K812" s="275">
        <f>ROUND(CC68,0)</f>
        <v>-163082</v>
      </c>
      <c r="L812" s="275">
        <f>ROUND(CC69,0)</f>
        <v>2036035</v>
      </c>
      <c r="M812" s="275">
        <f>ROUND(CC70,0)</f>
        <v>11578721</v>
      </c>
      <c r="N812" s="275"/>
      <c r="O812" s="275"/>
      <c r="P812" s="275">
        <f>IF(CC76&gt;0,ROUND(CC76,0),0)</f>
        <v>6427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 x14ac:dyDescent="0.25">
      <c r="A813" s="208" t="str">
        <f>RIGHT($C$83,3)&amp;"*"&amp;RIGHT($C$82,4)&amp;"*"&amp;"9000"&amp;"*"&amp;"A"</f>
        <v>164*2017*9000*A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9127939</v>
      </c>
      <c r="V813" s="276">
        <f>ROUND(CD70,0)</f>
        <v>-222609</v>
      </c>
      <c r="W813" s="275">
        <f>ROUND(CE72,0)</f>
        <v>25730761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 x14ac:dyDescent="0.2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 x14ac:dyDescent="0.25">
      <c r="B815" s="279" t="s">
        <v>1004</v>
      </c>
      <c r="C815" s="280">
        <f t="shared" ref="C815:K815" si="23">SUM(C734:C813)</f>
        <v>3747.9199999999992</v>
      </c>
      <c r="D815" s="276">
        <f t="shared" si="23"/>
        <v>360208985</v>
      </c>
      <c r="E815" s="276">
        <f t="shared" si="23"/>
        <v>83289967</v>
      </c>
      <c r="F815" s="276">
        <f t="shared" si="23"/>
        <v>10786945</v>
      </c>
      <c r="G815" s="276">
        <f t="shared" si="23"/>
        <v>94837388</v>
      </c>
      <c r="H815" s="276">
        <f t="shared" si="23"/>
        <v>6368642</v>
      </c>
      <c r="I815" s="276">
        <f t="shared" si="23"/>
        <v>50914306</v>
      </c>
      <c r="J815" s="276">
        <f t="shared" si="23"/>
        <v>34228703</v>
      </c>
      <c r="K815" s="276">
        <f t="shared" si="23"/>
        <v>14965965</v>
      </c>
      <c r="L815" s="276">
        <f>SUM(L734:L813)+SUM(U734:U813)</f>
        <v>18015346</v>
      </c>
      <c r="M815" s="276">
        <f>SUM(M734:M813)+SUM(V734:V813)</f>
        <v>41905701</v>
      </c>
      <c r="N815" s="276">
        <f t="shared" ref="N815:Y815" si="24">SUM(N734:N813)</f>
        <v>1804111323</v>
      </c>
      <c r="O815" s="276">
        <f t="shared" si="24"/>
        <v>798948787</v>
      </c>
      <c r="P815" s="276">
        <f t="shared" si="24"/>
        <v>1900641</v>
      </c>
      <c r="Q815" s="276">
        <f t="shared" si="24"/>
        <v>192079</v>
      </c>
      <c r="R815" s="276">
        <f t="shared" si="24"/>
        <v>114882</v>
      </c>
      <c r="S815" s="276">
        <f t="shared" si="24"/>
        <v>2241682</v>
      </c>
      <c r="T815" s="280">
        <f t="shared" si="24"/>
        <v>935.84</v>
      </c>
      <c r="U815" s="276">
        <f t="shared" si="24"/>
        <v>9127939</v>
      </c>
      <c r="V815" s="276">
        <f t="shared" si="24"/>
        <v>-222609</v>
      </c>
      <c r="W815" s="276">
        <f t="shared" si="24"/>
        <v>25730761</v>
      </c>
      <c r="X815" s="276">
        <f t="shared" si="24"/>
        <v>0</v>
      </c>
      <c r="Y815" s="276">
        <f t="shared" si="24"/>
        <v>141094563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 x14ac:dyDescent="0.25">
      <c r="B816" s="276" t="s">
        <v>1005</v>
      </c>
      <c r="C816" s="280">
        <f>CE60</f>
        <v>3747.9183269230784</v>
      </c>
      <c r="D816" s="276">
        <f>CE61</f>
        <v>360208989.06000006</v>
      </c>
      <c r="E816" s="276">
        <f>CE62</f>
        <v>83289967</v>
      </c>
      <c r="F816" s="276">
        <f>CE63</f>
        <v>10786945.721000001</v>
      </c>
      <c r="G816" s="276">
        <f>CE64</f>
        <v>94837385.455999985</v>
      </c>
      <c r="H816" s="279">
        <f>CE65</f>
        <v>6368638.7399999984</v>
      </c>
      <c r="I816" s="279">
        <f>CE66</f>
        <v>50914305.731000021</v>
      </c>
      <c r="J816" s="279">
        <f>CE67</f>
        <v>34228703</v>
      </c>
      <c r="K816" s="279">
        <f>CE68</f>
        <v>14965964.380000001</v>
      </c>
      <c r="L816" s="279">
        <f>CE69</f>
        <v>18015338.899999999</v>
      </c>
      <c r="M816" s="279">
        <f>CE70</f>
        <v>41905699.004000001</v>
      </c>
      <c r="N816" s="276">
        <f>CE75</f>
        <v>1804111321.6100004</v>
      </c>
      <c r="O816" s="276">
        <f>CE73</f>
        <v>798948785.33999991</v>
      </c>
      <c r="P816" s="276">
        <f>CE76</f>
        <v>1900641</v>
      </c>
      <c r="Q816" s="276">
        <f>CE77</f>
        <v>192079</v>
      </c>
      <c r="R816" s="276">
        <f>CE78</f>
        <v>114882</v>
      </c>
      <c r="S816" s="276">
        <f>CE79</f>
        <v>2241679.61</v>
      </c>
      <c r="T816" s="280">
        <f>CE80</f>
        <v>935.83274519230781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141094564.08800003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 x14ac:dyDescent="0.25">
      <c r="B817" s="179" t="s">
        <v>471</v>
      </c>
      <c r="C817" s="198" t="s">
        <v>1007</v>
      </c>
      <c r="D817" s="179">
        <f>C378</f>
        <v>360208990</v>
      </c>
      <c r="E817" s="179">
        <f>C379</f>
        <v>83289969</v>
      </c>
      <c r="F817" s="179">
        <f>C380</f>
        <v>10786946</v>
      </c>
      <c r="G817" s="239">
        <f>C381</f>
        <v>94837385</v>
      </c>
      <c r="H817" s="239">
        <f>C382</f>
        <v>6368638</v>
      </c>
      <c r="I817" s="239">
        <f>C383</f>
        <v>50914307</v>
      </c>
      <c r="J817" s="239">
        <f>C384</f>
        <v>34228703</v>
      </c>
      <c r="K817" s="239">
        <f>C385</f>
        <v>14965975</v>
      </c>
      <c r="L817" s="239">
        <f>C386+C387+C388+C389</f>
        <v>26505098</v>
      </c>
      <c r="M817" s="239">
        <f>C370</f>
        <v>41905699</v>
      </c>
      <c r="N817" s="179">
        <f>D361</f>
        <v>1804111322</v>
      </c>
      <c r="O817" s="179">
        <f>C359</f>
        <v>798948786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N31" sqref="N31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5" t="s">
        <v>1008</v>
      </c>
    </row>
    <row r="2" spans="2:13" ht="15.6" thickTop="1" x14ac:dyDescent="0.25">
      <c r="B2" s="140"/>
      <c r="C2" s="141"/>
      <c r="D2" s="141"/>
      <c r="E2" s="141"/>
      <c r="F2" s="141"/>
      <c r="G2" s="141"/>
      <c r="H2" s="141"/>
      <c r="I2" s="141"/>
      <c r="J2" s="142"/>
    </row>
    <row r="3" spans="2:13" x14ac:dyDescent="0.25">
      <c r="B3" s="143"/>
      <c r="C3" s="8"/>
      <c r="D3" s="8"/>
      <c r="E3" s="8"/>
      <c r="F3" s="75" t="s">
        <v>1009</v>
      </c>
      <c r="G3" s="75"/>
      <c r="H3" s="8"/>
      <c r="I3" s="8"/>
      <c r="J3" s="144"/>
    </row>
    <row r="4" spans="2:13" x14ac:dyDescent="0.25">
      <c r="B4" s="143"/>
      <c r="C4" s="8"/>
      <c r="D4" s="8"/>
      <c r="E4" s="8"/>
      <c r="F4" s="75" t="s">
        <v>1010</v>
      </c>
      <c r="G4" s="75"/>
      <c r="H4" s="8"/>
      <c r="I4" s="8"/>
      <c r="J4" s="144"/>
    </row>
    <row r="5" spans="2:13" x14ac:dyDescent="0.25">
      <c r="B5" s="143"/>
      <c r="C5" s="8"/>
      <c r="D5" s="8"/>
      <c r="E5" s="8"/>
      <c r="F5" s="8"/>
      <c r="G5" s="8"/>
      <c r="H5" s="8"/>
      <c r="I5" s="8"/>
      <c r="J5" s="144"/>
    </row>
    <row r="6" spans="2:13" ht="15.6" thickBot="1" x14ac:dyDescent="0.3">
      <c r="B6" s="145"/>
      <c r="C6" s="146"/>
      <c r="D6" s="146"/>
      <c r="E6" s="146"/>
      <c r="F6" s="146"/>
      <c r="G6" s="146"/>
      <c r="H6" s="146"/>
      <c r="I6" s="146"/>
      <c r="J6" s="284" t="s">
        <v>1264</v>
      </c>
    </row>
    <row r="7" spans="2:13" ht="15.6" thickTop="1" x14ac:dyDescent="0.25">
      <c r="B7" s="143"/>
      <c r="C7" s="8"/>
      <c r="D7" s="8"/>
      <c r="E7" s="8"/>
      <c r="F7" s="8"/>
      <c r="G7" s="8"/>
      <c r="H7" s="8"/>
      <c r="I7" s="8"/>
      <c r="J7" s="144"/>
    </row>
    <row r="8" spans="2:13" ht="15.6" thickBot="1" x14ac:dyDescent="0.3">
      <c r="B8" s="143"/>
      <c r="C8" s="8"/>
      <c r="D8" s="8"/>
      <c r="E8" s="8"/>
      <c r="F8" s="75" t="s">
        <v>1011</v>
      </c>
      <c r="G8" s="75"/>
      <c r="H8" s="8"/>
      <c r="I8" s="8"/>
      <c r="J8" s="144"/>
    </row>
    <row r="9" spans="2:13" ht="15.6" thickTop="1" x14ac:dyDescent="0.25">
      <c r="B9" s="140"/>
      <c r="C9" s="141"/>
      <c r="D9" s="141"/>
      <c r="E9" s="141"/>
      <c r="F9" s="148" t="s">
        <v>1012</v>
      </c>
      <c r="G9" s="148"/>
      <c r="H9" s="141"/>
      <c r="I9" s="141"/>
      <c r="J9" s="142"/>
    </row>
    <row r="10" spans="2:13" x14ac:dyDescent="0.25">
      <c r="B10" s="143"/>
      <c r="C10" s="8"/>
      <c r="D10" s="8"/>
      <c r="E10" s="8"/>
      <c r="F10" s="75" t="s">
        <v>1261</v>
      </c>
      <c r="G10" s="75"/>
      <c r="H10" s="8"/>
      <c r="I10" s="8"/>
      <c r="J10" s="144"/>
    </row>
    <row r="11" spans="2:13" x14ac:dyDescent="0.25">
      <c r="B11" s="143"/>
      <c r="C11" s="8"/>
      <c r="D11" s="8"/>
      <c r="E11" s="8"/>
      <c r="F11" s="75"/>
      <c r="G11" s="75"/>
      <c r="H11" s="8"/>
      <c r="I11" s="8"/>
      <c r="J11" s="144"/>
    </row>
    <row r="12" spans="2:13" x14ac:dyDescent="0.25">
      <c r="B12" s="143"/>
      <c r="C12" s="8"/>
      <c r="D12" s="8"/>
      <c r="E12" s="8"/>
      <c r="F12" s="75" t="s">
        <v>1262</v>
      </c>
      <c r="G12" s="75"/>
      <c r="H12" s="8"/>
      <c r="I12" s="8"/>
      <c r="J12" s="144"/>
    </row>
    <row r="13" spans="2:13" x14ac:dyDescent="0.25">
      <c r="B13" s="143"/>
      <c r="C13" s="8"/>
      <c r="D13" s="8"/>
      <c r="E13" s="8"/>
      <c r="F13" s="75" t="s">
        <v>1263</v>
      </c>
      <c r="G13" s="75"/>
      <c r="H13" s="8"/>
      <c r="I13" s="8"/>
      <c r="J13" s="144"/>
    </row>
    <row r="14" spans="2:13" ht="15.6" thickBot="1" x14ac:dyDescent="0.3">
      <c r="B14" s="145"/>
      <c r="C14" s="146"/>
      <c r="D14" s="146"/>
      <c r="E14" s="146"/>
      <c r="F14" s="146"/>
      <c r="G14" s="146"/>
      <c r="H14" s="146"/>
      <c r="I14" s="146"/>
      <c r="J14" s="147"/>
    </row>
    <row r="15" spans="2:13" ht="15.6" thickTop="1" x14ac:dyDescent="0.25">
      <c r="B15" s="143"/>
      <c r="C15" s="8"/>
      <c r="D15" s="8"/>
      <c r="E15" s="8"/>
      <c r="F15" s="8"/>
      <c r="G15" s="8"/>
      <c r="H15" s="8"/>
      <c r="I15" s="8"/>
      <c r="J15" s="144"/>
      <c r="M15" s="258"/>
    </row>
    <row r="16" spans="2:13" ht="15.6" thickBot="1" x14ac:dyDescent="0.3">
      <c r="B16" s="143"/>
      <c r="C16" s="8"/>
      <c r="D16" s="8"/>
      <c r="E16" s="8"/>
      <c r="F16" s="8" t="s">
        <v>1013</v>
      </c>
      <c r="G16" s="8"/>
      <c r="H16" s="8"/>
      <c r="I16" s="8"/>
      <c r="J16" s="144"/>
    </row>
    <row r="17" spans="2:10" ht="15.6" thickTop="1" x14ac:dyDescent="0.25">
      <c r="B17" s="140"/>
      <c r="C17" s="149" t="s">
        <v>1014</v>
      </c>
      <c r="D17" s="149"/>
      <c r="E17" s="141" t="str">
        <f>+data!C84</f>
        <v>EvergreenHealth</v>
      </c>
      <c r="F17" s="148"/>
      <c r="G17" s="148"/>
      <c r="H17" s="141"/>
      <c r="I17" s="141"/>
      <c r="J17" s="142"/>
    </row>
    <row r="18" spans="2:10" x14ac:dyDescent="0.25">
      <c r="B18" s="143"/>
      <c r="C18" s="150" t="s">
        <v>1015</v>
      </c>
      <c r="D18" s="150"/>
      <c r="E18" s="8" t="str">
        <f>+"H-"&amp;data!C83</f>
        <v>H-164</v>
      </c>
      <c r="F18" s="75"/>
      <c r="G18" s="75"/>
      <c r="H18" s="8"/>
      <c r="I18" s="8"/>
      <c r="J18" s="144"/>
    </row>
    <row r="19" spans="2:10" x14ac:dyDescent="0.25">
      <c r="B19" s="143"/>
      <c r="C19" s="150" t="s">
        <v>1016</v>
      </c>
      <c r="D19" s="150"/>
      <c r="E19" s="8" t="str">
        <f>+data!C85</f>
        <v>12040 NE 128th Street</v>
      </c>
      <c r="F19" s="75"/>
      <c r="G19" s="75"/>
      <c r="H19" s="8"/>
      <c r="I19" s="8"/>
      <c r="J19" s="144"/>
    </row>
    <row r="20" spans="2:10" x14ac:dyDescent="0.25">
      <c r="B20" s="143"/>
      <c r="C20" s="150" t="s">
        <v>1017</v>
      </c>
      <c r="D20" s="150"/>
      <c r="E20" s="8">
        <f>+data!C86</f>
        <v>0</v>
      </c>
      <c r="F20" s="75"/>
      <c r="G20" s="75"/>
      <c r="H20" s="8"/>
      <c r="I20" s="8"/>
      <c r="J20" s="144"/>
    </row>
    <row r="21" spans="2:10" x14ac:dyDescent="0.25">
      <c r="B21" s="143"/>
      <c r="C21" s="150" t="s">
        <v>1018</v>
      </c>
      <c r="D21" s="150"/>
      <c r="E21" s="8" t="str">
        <f>+data!C87</f>
        <v>Kirkland, WA 98034</v>
      </c>
      <c r="F21" s="75"/>
      <c r="G21" s="75"/>
      <c r="H21" s="8"/>
      <c r="I21" s="8"/>
      <c r="J21" s="144"/>
    </row>
    <row r="22" spans="2:10" ht="15.6" thickBot="1" x14ac:dyDescent="0.3">
      <c r="B22" s="145"/>
      <c r="C22" s="146"/>
      <c r="D22" s="146"/>
      <c r="E22" s="146"/>
      <c r="F22" s="146"/>
      <c r="G22" s="146"/>
      <c r="H22" s="146"/>
      <c r="I22" s="146"/>
      <c r="J22" s="147"/>
    </row>
    <row r="23" spans="2:10" ht="15.6" thickTop="1" x14ac:dyDescent="0.25">
      <c r="B23" s="143"/>
      <c r="C23" s="8"/>
      <c r="D23" s="8"/>
      <c r="E23" s="8"/>
      <c r="F23" s="8"/>
      <c r="G23" s="8"/>
      <c r="H23" s="8"/>
      <c r="I23" s="8"/>
      <c r="J23" s="144"/>
    </row>
    <row r="24" spans="2:10" x14ac:dyDescent="0.25">
      <c r="B24" s="143"/>
      <c r="C24" s="8"/>
      <c r="D24" s="8"/>
      <c r="E24" s="8"/>
      <c r="F24" s="8"/>
      <c r="G24" s="8"/>
      <c r="H24" s="8"/>
      <c r="I24" s="8"/>
      <c r="J24" s="144"/>
    </row>
    <row r="25" spans="2:10" x14ac:dyDescent="0.25">
      <c r="B25" s="143"/>
      <c r="C25" s="8"/>
      <c r="D25" s="8"/>
      <c r="E25" s="8"/>
      <c r="F25" s="8"/>
      <c r="G25" s="8"/>
      <c r="H25" s="8"/>
      <c r="I25" s="8"/>
      <c r="J25" s="144"/>
    </row>
    <row r="26" spans="2:10" x14ac:dyDescent="0.25">
      <c r="B26" s="151"/>
      <c r="C26" s="69"/>
      <c r="D26" s="69"/>
      <c r="E26" s="69"/>
      <c r="F26" s="152" t="s">
        <v>1019</v>
      </c>
      <c r="G26" s="69"/>
      <c r="H26" s="69"/>
      <c r="I26" s="69"/>
      <c r="J26" s="153"/>
    </row>
    <row r="27" spans="2:10" x14ac:dyDescent="0.25">
      <c r="B27" s="154" t="s">
        <v>1020</v>
      </c>
      <c r="C27" s="119"/>
      <c r="D27" s="119"/>
      <c r="E27" s="119"/>
      <c r="F27" s="119"/>
      <c r="G27" s="119"/>
      <c r="H27" s="119"/>
      <c r="I27" s="119"/>
      <c r="J27" s="155"/>
    </row>
    <row r="28" spans="2:10" x14ac:dyDescent="0.25">
      <c r="B28" s="143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4"/>
    </row>
    <row r="29" spans="2:10" x14ac:dyDescent="0.25">
      <c r="B29" s="143" t="s">
        <v>1021</v>
      </c>
      <c r="C29" s="8"/>
      <c r="D29" s="8"/>
      <c r="E29" s="8"/>
      <c r="F29" s="8"/>
      <c r="G29" s="8"/>
      <c r="H29" s="8"/>
      <c r="I29" s="8"/>
      <c r="J29" s="144"/>
    </row>
    <row r="30" spans="2:10" x14ac:dyDescent="0.25">
      <c r="B30" s="156" t="s">
        <v>1022</v>
      </c>
      <c r="C30" s="118"/>
      <c r="D30" s="118"/>
      <c r="E30" s="118"/>
      <c r="F30" s="118"/>
      <c r="G30" s="118"/>
      <c r="H30" s="118"/>
      <c r="I30" s="118"/>
      <c r="J30" s="157"/>
    </row>
    <row r="31" spans="2:10" x14ac:dyDescent="0.25">
      <c r="B31" s="154"/>
      <c r="C31" s="119"/>
      <c r="D31" s="119"/>
      <c r="E31" s="119"/>
      <c r="F31" s="119"/>
      <c r="G31" s="119"/>
      <c r="H31" s="119"/>
      <c r="I31" s="119"/>
      <c r="J31" s="155"/>
    </row>
    <row r="32" spans="2:10" x14ac:dyDescent="0.25">
      <c r="B32" s="143"/>
      <c r="C32" s="8"/>
      <c r="D32" s="8"/>
      <c r="E32" s="8"/>
      <c r="F32" s="8"/>
      <c r="G32" s="8"/>
      <c r="H32" s="8"/>
      <c r="I32" s="8"/>
      <c r="J32" s="144"/>
    </row>
    <row r="33" spans="2:10" x14ac:dyDescent="0.25">
      <c r="B33" s="158" t="s">
        <v>221</v>
      </c>
      <c r="C33" s="118"/>
      <c r="D33" s="118"/>
      <c r="E33" s="118"/>
      <c r="F33" s="118"/>
      <c r="G33" s="118"/>
      <c r="H33" s="118"/>
      <c r="I33" s="118"/>
      <c r="J33" s="157"/>
    </row>
    <row r="34" spans="2:10" x14ac:dyDescent="0.25">
      <c r="B34" s="151" t="s">
        <v>1023</v>
      </c>
      <c r="C34" s="69"/>
      <c r="D34" s="69"/>
      <c r="E34" s="69"/>
      <c r="F34" s="152"/>
      <c r="G34" s="69"/>
      <c r="H34" s="69"/>
      <c r="I34" s="69"/>
      <c r="J34" s="153"/>
    </row>
    <row r="35" spans="2:10" x14ac:dyDescent="0.25">
      <c r="B35" s="151" t="s">
        <v>1024</v>
      </c>
      <c r="C35" s="69"/>
      <c r="D35" s="69"/>
      <c r="E35" s="69"/>
      <c r="F35" s="152"/>
      <c r="G35" s="69"/>
      <c r="H35" s="69"/>
      <c r="I35" s="69"/>
      <c r="J35" s="153"/>
    </row>
    <row r="36" spans="2:10" x14ac:dyDescent="0.25">
      <c r="B36" s="151" t="s">
        <v>1025</v>
      </c>
      <c r="C36" s="69"/>
      <c r="D36" s="69"/>
      <c r="E36" s="69"/>
      <c r="F36" s="152"/>
      <c r="G36" s="69"/>
      <c r="H36" s="69"/>
      <c r="I36" s="69"/>
      <c r="J36" s="153"/>
    </row>
    <row r="37" spans="2:10" x14ac:dyDescent="0.25">
      <c r="B37" s="154"/>
      <c r="C37" s="119"/>
      <c r="D37" s="119"/>
      <c r="E37" s="119"/>
      <c r="F37" s="119"/>
      <c r="G37" s="119"/>
      <c r="H37" s="119"/>
      <c r="I37" s="119"/>
      <c r="J37" s="155"/>
    </row>
    <row r="38" spans="2:10" x14ac:dyDescent="0.25">
      <c r="B38" s="143"/>
      <c r="C38" s="8"/>
      <c r="D38" s="8"/>
      <c r="E38" s="8"/>
      <c r="F38" s="8"/>
      <c r="G38" s="8"/>
      <c r="H38" s="8"/>
      <c r="I38" s="8"/>
      <c r="J38" s="144"/>
    </row>
    <row r="39" spans="2:10" x14ac:dyDescent="0.25">
      <c r="B39" s="158" t="s">
        <v>221</v>
      </c>
      <c r="C39" s="118"/>
      <c r="D39" s="118"/>
      <c r="E39" s="118"/>
      <c r="F39" s="118"/>
      <c r="G39" s="118"/>
      <c r="H39" s="118"/>
      <c r="I39" s="118"/>
      <c r="J39" s="157"/>
    </row>
    <row r="40" spans="2:10" x14ac:dyDescent="0.25">
      <c r="B40" s="151" t="s">
        <v>1026</v>
      </c>
      <c r="C40" s="69"/>
      <c r="D40" s="69"/>
      <c r="E40" s="69"/>
      <c r="F40" s="152"/>
      <c r="G40" s="69"/>
      <c r="H40" s="69"/>
      <c r="I40" s="69"/>
      <c r="J40" s="153"/>
    </row>
    <row r="41" spans="2:10" x14ac:dyDescent="0.25">
      <c r="B41" s="151" t="s">
        <v>1024</v>
      </c>
      <c r="C41" s="69"/>
      <c r="D41" s="69"/>
      <c r="E41" s="69"/>
      <c r="F41" s="152"/>
      <c r="G41" s="69"/>
      <c r="H41" s="69"/>
      <c r="I41" s="69"/>
      <c r="J41" s="153"/>
    </row>
    <row r="42" spans="2:10" ht="15.6" thickBot="1" x14ac:dyDescent="0.3">
      <c r="B42" s="159" t="s">
        <v>1025</v>
      </c>
      <c r="C42" s="160"/>
      <c r="D42" s="160"/>
      <c r="E42" s="160"/>
      <c r="F42" s="161"/>
      <c r="G42" s="160"/>
      <c r="H42" s="160"/>
      <c r="I42" s="160"/>
      <c r="J42" s="162"/>
    </row>
    <row r="43" spans="2:10" ht="15.6" thickTop="1" x14ac:dyDescent="0.25"/>
    <row r="44" spans="2:10" x14ac:dyDescent="0.25">
      <c r="B44" s="163"/>
      <c r="C44" s="163"/>
      <c r="D44" s="163"/>
      <c r="E44" s="163"/>
      <c r="F44" s="163"/>
      <c r="G44" s="163"/>
      <c r="H44" s="163"/>
      <c r="I44" s="163"/>
      <c r="J44" s="163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6" sqref="D6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8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6" t="str">
        <f>"Fiscal Year Ended:  "&amp;data!C82</f>
        <v>Fiscal Year Ended:  12/31/2018</v>
      </c>
      <c r="C4" s="38"/>
      <c r="D4" s="119"/>
      <c r="E4" s="69"/>
      <c r="F4" s="126" t="str">
        <f>"License Number:  "&amp;"H-"&amp;FIXED(data!C83,0)</f>
        <v>License Number:  H-164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6" t="str">
        <f>"  "&amp;data!C84</f>
        <v xml:space="preserve">  EvergreenHealth</v>
      </c>
      <c r="E5" s="69"/>
      <c r="F5" s="69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6" t="str">
        <f>"  "&amp;data!C88</f>
        <v xml:space="preserve">  King</v>
      </c>
      <c r="E6" s="69"/>
      <c r="F6" s="69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6" t="str">
        <f>"  "&amp;data!C89</f>
        <v xml:space="preserve">  Jeff Tomlin</v>
      </c>
      <c r="E7" s="69"/>
      <c r="F7" s="69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6" t="str">
        <f>"  "&amp;data!C90</f>
        <v xml:space="preserve">  Tina Mycroft</v>
      </c>
      <c r="E8" s="69"/>
      <c r="F8" s="69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6" t="str">
        <f>"  "&amp;data!C91</f>
        <v xml:space="preserve">  </v>
      </c>
      <c r="E9" s="69"/>
      <c r="F9" s="69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6" t="str">
        <f>"  "&amp;data!C92</f>
        <v xml:space="preserve">  425-899-1000</v>
      </c>
      <c r="E10" s="69"/>
      <c r="F10" s="69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6" t="str">
        <f>"  "&amp;data!C93</f>
        <v xml:space="preserve">  </v>
      </c>
      <c r="E11" s="69"/>
      <c r="F11" s="69"/>
      <c r="G11" s="24"/>
      <c r="H11" s="7"/>
    </row>
    <row r="12" spans="1:13" ht="20.100000000000001" customHeight="1" x14ac:dyDescent="0.25">
      <c r="A12" s="72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3"/>
      <c r="B13" s="8"/>
      <c r="C13" s="8"/>
      <c r="D13" s="8"/>
      <c r="E13" s="8"/>
      <c r="F13" s="8"/>
      <c r="G13" s="125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7" t="s">
        <v>266</v>
      </c>
      <c r="B15" s="35"/>
      <c r="C15" s="70" t="s">
        <v>269</v>
      </c>
      <c r="D15" s="35"/>
      <c r="E15" s="70" t="s">
        <v>271</v>
      </c>
      <c r="F15" s="99"/>
      <c r="G15" s="100"/>
      <c r="H15" s="7"/>
      <c r="M15" s="179"/>
    </row>
    <row r="16" spans="1:13" ht="20.100000000000001" customHeight="1" x14ac:dyDescent="0.25">
      <c r="A16" s="110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8" t="s">
        <v>272</v>
      </c>
      <c r="G16" s="24"/>
      <c r="H16" s="7"/>
    </row>
    <row r="17" spans="1:9" ht="20.100000000000001" customHeight="1" x14ac:dyDescent="0.25">
      <c r="A17" s="110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8" t="s">
        <v>273</v>
      </c>
      <c r="G17" s="24"/>
      <c r="H17" s="7"/>
    </row>
    <row r="18" spans="1:9" ht="20.100000000000001" customHeight="1" x14ac:dyDescent="0.25">
      <c r="A18" s="129"/>
      <c r="B18" s="14" t="s">
        <v>1036</v>
      </c>
      <c r="C18" s="24"/>
      <c r="D18" s="24"/>
      <c r="E18" s="15" t="str">
        <f>IF(data!C106&gt;0," X","")</f>
        <v/>
      </c>
      <c r="F18" s="128" t="s">
        <v>274</v>
      </c>
      <c r="G18" s="24"/>
      <c r="H18" s="7"/>
    </row>
    <row r="19" spans="1:9" ht="20.100000000000001" customHeight="1" x14ac:dyDescent="0.25">
      <c r="A19" s="110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2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3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0" t="s">
        <v>277</v>
      </c>
      <c r="G22" s="15" t="s">
        <v>215</v>
      </c>
      <c r="H22" s="7"/>
    </row>
    <row r="23" spans="1:9" ht="20.100000000000001" customHeight="1" x14ac:dyDescent="0.25">
      <c r="A23" s="129"/>
      <c r="B23" s="49" t="s">
        <v>1039</v>
      </c>
      <c r="C23" s="38"/>
      <c r="D23" s="38"/>
      <c r="E23" s="38"/>
      <c r="F23" s="13">
        <f>data!C111</f>
        <v>15068</v>
      </c>
      <c r="G23" s="21">
        <f>data!D111</f>
        <v>66716</v>
      </c>
      <c r="H23" s="7"/>
    </row>
    <row r="24" spans="1:9" ht="20.100000000000001" customHeight="1" x14ac:dyDescent="0.25">
      <c r="A24" s="129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29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4626</v>
      </c>
      <c r="G26" s="13">
        <f>data!D114</f>
        <v>0</v>
      </c>
      <c r="H26" s="7"/>
    </row>
    <row r="27" spans="1:9" ht="20.100000000000001" customHeight="1" x14ac:dyDescent="0.25">
      <c r="A27" s="72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3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6" t="s">
        <v>1042</v>
      </c>
      <c r="C29" s="24"/>
      <c r="D29" s="15" t="s">
        <v>167</v>
      </c>
      <c r="E29" s="96" t="s">
        <v>1042</v>
      </c>
      <c r="F29" s="24"/>
      <c r="G29" s="15" t="s">
        <v>167</v>
      </c>
      <c r="H29" s="7"/>
    </row>
    <row r="30" spans="1:9" ht="20.100000000000001" customHeight="1" x14ac:dyDescent="0.25">
      <c r="A30" s="129"/>
      <c r="B30" s="49" t="s">
        <v>283</v>
      </c>
      <c r="C30" s="24"/>
      <c r="D30" s="21">
        <f>data!C116</f>
        <v>13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29"/>
      <c r="B31" s="96" t="s">
        <v>1043</v>
      </c>
      <c r="C31" s="24"/>
      <c r="D31" s="21">
        <f>data!C117</f>
        <v>27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29"/>
      <c r="B32" s="96" t="s">
        <v>1044</v>
      </c>
      <c r="C32" s="24"/>
      <c r="D32" s="21">
        <f>data!C118</f>
        <v>87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29"/>
      <c r="B33" s="96" t="s">
        <v>1046</v>
      </c>
      <c r="C33" s="24"/>
      <c r="D33" s="21">
        <f>data!C119</f>
        <v>1</v>
      </c>
      <c r="E33" s="49" t="s">
        <v>1047</v>
      </c>
      <c r="F33" s="24"/>
      <c r="G33" s="21">
        <f>data!C126</f>
        <v>20</v>
      </c>
      <c r="H33" s="7"/>
    </row>
    <row r="34" spans="1:8" ht="20.100000000000001" customHeight="1" x14ac:dyDescent="0.25">
      <c r="A34" s="129"/>
      <c r="B34" s="96" t="s">
        <v>1048</v>
      </c>
      <c r="C34" s="24"/>
      <c r="D34" s="21">
        <f>data!C120</f>
        <v>45</v>
      </c>
      <c r="E34" s="49" t="s">
        <v>291</v>
      </c>
      <c r="F34" s="24"/>
      <c r="G34" s="21">
        <f>data!E127</f>
        <v>203</v>
      </c>
      <c r="H34" s="7"/>
    </row>
    <row r="35" spans="1:8" ht="20.100000000000001" customHeight="1" x14ac:dyDescent="0.25">
      <c r="A35" s="129"/>
      <c r="B35" s="96" t="s">
        <v>1049</v>
      </c>
      <c r="C35" s="24"/>
      <c r="D35" s="21">
        <f>data!C121</f>
        <v>10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29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318</v>
      </c>
      <c r="H36" s="7"/>
    </row>
    <row r="37" spans="1:8" ht="20.100000000000001" customHeight="1" x14ac:dyDescent="0.25">
      <c r="A37" s="129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29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0">
        <v>13</v>
      </c>
      <c r="B39" s="93" t="s">
        <v>288</v>
      </c>
      <c r="C39" s="28"/>
      <c r="D39" s="28"/>
      <c r="E39" s="131"/>
      <c r="F39" s="131"/>
      <c r="G39" s="132"/>
      <c r="H39" s="7"/>
    </row>
    <row r="40" spans="1:8" ht="20.100000000000001" customHeight="1" x14ac:dyDescent="0.25">
      <c r="A40" s="133"/>
      <c r="B40" s="134" t="s">
        <v>1051</v>
      </c>
      <c r="C40" s="135" t="s">
        <v>256</v>
      </c>
      <c r="D40" s="136">
        <f>data!C131</f>
        <v>0</v>
      </c>
      <c r="E40" s="137"/>
      <c r="F40" s="137"/>
      <c r="G40" s="138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4" t="s">
        <v>1053</v>
      </c>
    </row>
    <row r="2" spans="1:13" ht="20.100000000000001" customHeight="1" x14ac:dyDescent="0.25">
      <c r="A2" s="104" t="str">
        <f>"Hospital Name: "&amp;data!C84</f>
        <v>Hospital Name: EvergreenHealth</v>
      </c>
      <c r="B2" s="8"/>
      <c r="C2" s="8"/>
      <c r="D2" s="8"/>
      <c r="E2" s="8"/>
      <c r="F2" s="11"/>
      <c r="G2" s="75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5" t="str">
        <f>"FYE: "&amp;data!C82</f>
        <v>FYE: 12/31/2018</v>
      </c>
    </row>
    <row r="4" spans="1:13" ht="20.100000000000001" customHeight="1" x14ac:dyDescent="0.25">
      <c r="A4" s="106" t="s">
        <v>1055</v>
      </c>
      <c r="B4" s="107"/>
      <c r="C4" s="107"/>
      <c r="D4" s="107"/>
      <c r="E4" s="107"/>
      <c r="F4" s="107"/>
      <c r="G4" s="94"/>
    </row>
    <row r="5" spans="1:13" ht="20.100000000000001" customHeight="1" x14ac:dyDescent="0.25">
      <c r="A5" s="42"/>
      <c r="B5" s="35" t="s">
        <v>1056</v>
      </c>
      <c r="C5" s="36"/>
      <c r="D5" s="36"/>
      <c r="E5" s="108" t="s">
        <v>302</v>
      </c>
      <c r="F5" s="36"/>
      <c r="G5" s="36"/>
    </row>
    <row r="6" spans="1:13" ht="20.100000000000001" customHeight="1" x14ac:dyDescent="0.25">
      <c r="A6" s="109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5825</v>
      </c>
      <c r="C7" s="48">
        <f>data!B139</f>
        <v>33786</v>
      </c>
      <c r="D7" s="48">
        <f>data!B140</f>
        <v>0</v>
      </c>
      <c r="E7" s="48">
        <f>data!B141</f>
        <v>373239145</v>
      </c>
      <c r="F7" s="48">
        <f>data!B142</f>
        <v>418738908</v>
      </c>
      <c r="G7" s="48">
        <f>data!B141+data!B142</f>
        <v>791978053</v>
      </c>
    </row>
    <row r="8" spans="1:13" ht="20.100000000000001" customHeight="1" x14ac:dyDescent="0.25">
      <c r="A8" s="23" t="s">
        <v>297</v>
      </c>
      <c r="B8" s="48">
        <f>data!C138</f>
        <v>2505</v>
      </c>
      <c r="C8" s="48">
        <f>data!C139</f>
        <v>9707</v>
      </c>
      <c r="D8" s="48">
        <f>data!C140</f>
        <v>0</v>
      </c>
      <c r="E8" s="48">
        <f>data!C141</f>
        <v>87863353</v>
      </c>
      <c r="F8" s="48">
        <f>data!C142</f>
        <v>91464977</v>
      </c>
      <c r="G8" s="48">
        <f>data!C141+data!C142</f>
        <v>179328330</v>
      </c>
    </row>
    <row r="9" spans="1:13" ht="20.100000000000001" customHeight="1" x14ac:dyDescent="0.25">
      <c r="A9" s="23" t="s">
        <v>1058</v>
      </c>
      <c r="B9" s="48">
        <f>data!D138</f>
        <v>6738</v>
      </c>
      <c r="C9" s="48">
        <f>data!D139</f>
        <v>23223</v>
      </c>
      <c r="D9" s="48">
        <f>data!D140</f>
        <v>0</v>
      </c>
      <c r="E9" s="48">
        <f>data!D141</f>
        <v>320199102</v>
      </c>
      <c r="F9" s="48">
        <f>data!D142</f>
        <v>574432150</v>
      </c>
      <c r="G9" s="48">
        <f>data!D141+data!D142</f>
        <v>894631252</v>
      </c>
    </row>
    <row r="10" spans="1:13" ht="20.100000000000001" customHeight="1" x14ac:dyDescent="0.25">
      <c r="A10" s="110" t="s">
        <v>203</v>
      </c>
      <c r="B10" s="48">
        <f>data!E138</f>
        <v>15068</v>
      </c>
      <c r="C10" s="48">
        <f>data!E139</f>
        <v>66716</v>
      </c>
      <c r="D10" s="48">
        <f>data!E140</f>
        <v>0</v>
      </c>
      <c r="E10" s="48">
        <f>data!E141</f>
        <v>781301600</v>
      </c>
      <c r="F10" s="48">
        <f>data!E142</f>
        <v>1084636035</v>
      </c>
      <c r="G10" s="48">
        <f>data!E141+data!E142</f>
        <v>1865937635</v>
      </c>
    </row>
    <row r="11" spans="1:13" ht="20.100000000000001" customHeight="1" x14ac:dyDescent="0.25">
      <c r="A11" s="111"/>
      <c r="B11" s="112"/>
      <c r="C11" s="112"/>
      <c r="D11" s="112"/>
      <c r="E11" s="112"/>
      <c r="F11" s="112"/>
      <c r="G11" s="113"/>
    </row>
    <row r="12" spans="1:13" ht="20.100000000000001" customHeight="1" x14ac:dyDescent="0.25">
      <c r="A12" s="72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4" t="s">
        <v>1059</v>
      </c>
      <c r="B13" s="5"/>
      <c r="C13" s="5"/>
      <c r="D13" s="5"/>
      <c r="E13" s="5"/>
      <c r="F13" s="5"/>
      <c r="G13" s="115"/>
    </row>
    <row r="14" spans="1:13" ht="20.100000000000001" customHeight="1" x14ac:dyDescent="0.25">
      <c r="A14" s="42"/>
      <c r="B14" s="116" t="s">
        <v>1056</v>
      </c>
      <c r="C14" s="34"/>
      <c r="D14" s="34"/>
      <c r="E14" s="116" t="s">
        <v>302</v>
      </c>
      <c r="F14" s="34"/>
      <c r="G14" s="34"/>
    </row>
    <row r="15" spans="1:13" ht="20.100000000000001" customHeight="1" x14ac:dyDescent="0.25">
      <c r="A15" s="109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79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0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1"/>
      <c r="B20" s="112"/>
      <c r="C20" s="112"/>
      <c r="D20" s="112"/>
      <c r="E20" s="112"/>
      <c r="F20" s="112"/>
      <c r="G20" s="113"/>
    </row>
    <row r="21" spans="1:7" ht="20.100000000000001" customHeight="1" x14ac:dyDescent="0.25">
      <c r="A21" s="72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4" t="s">
        <v>1060</v>
      </c>
      <c r="B22" s="5"/>
      <c r="C22" s="5"/>
      <c r="D22" s="5"/>
      <c r="E22" s="5"/>
      <c r="F22" s="5"/>
      <c r="G22" s="115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09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0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1"/>
      <c r="B29" s="112"/>
      <c r="C29" s="112"/>
      <c r="D29" s="112"/>
      <c r="E29" s="112"/>
      <c r="F29" s="112"/>
      <c r="G29" s="113"/>
    </row>
    <row r="30" spans="1:7" ht="20.100000000000001" customHeight="1" x14ac:dyDescent="0.25">
      <c r="A30" s="72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7" t="s">
        <v>1061</v>
      </c>
      <c r="B31" s="118"/>
      <c r="C31" s="69"/>
      <c r="D31" s="119"/>
      <c r="E31" s="119"/>
      <c r="F31" s="119"/>
      <c r="G31" s="120"/>
    </row>
    <row r="32" spans="1:7" ht="20.100000000000001" customHeight="1" x14ac:dyDescent="0.25">
      <c r="A32" s="121"/>
      <c r="B32" s="65" t="s">
        <v>1062</v>
      </c>
      <c r="C32" s="122">
        <f>data!B157</f>
        <v>6024384</v>
      </c>
      <c r="D32" s="69"/>
      <c r="E32" s="69"/>
      <c r="F32" s="69"/>
      <c r="G32" s="27"/>
    </row>
    <row r="33" spans="1:7" ht="20.100000000000001" customHeight="1" x14ac:dyDescent="0.25">
      <c r="A33" s="121"/>
      <c r="B33" s="123" t="s">
        <v>1063</v>
      </c>
      <c r="C33" s="124">
        <f>data!C157</f>
        <v>13000353</v>
      </c>
      <c r="D33" s="118"/>
      <c r="E33" s="118"/>
      <c r="F33" s="118"/>
      <c r="G33" s="125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6" sqref="C6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6" t="s">
        <v>1064</v>
      </c>
    </row>
    <row r="2" spans="1:13" ht="20.100000000000001" customHeight="1" x14ac:dyDescent="0.25">
      <c r="A2" s="93"/>
      <c r="B2" s="8"/>
      <c r="C2" s="8"/>
    </row>
    <row r="3" spans="1:13" ht="20.100000000000001" customHeight="1" x14ac:dyDescent="0.25">
      <c r="A3" s="29" t="str">
        <f>"Hospital: "&amp;data!C84</f>
        <v>Hospital: EvergreenHealth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4"/>
    </row>
    <row r="6" spans="1:13" ht="20.100000000000001" customHeight="1" x14ac:dyDescent="0.25">
      <c r="A6" s="95">
        <v>2</v>
      </c>
      <c r="B6" s="49" t="s">
        <v>1065</v>
      </c>
      <c r="C6" s="13">
        <f>data!C165</f>
        <v>23932113</v>
      </c>
    </row>
    <row r="7" spans="1:13" ht="20.100000000000001" customHeight="1" x14ac:dyDescent="0.25">
      <c r="A7" s="40">
        <v>3</v>
      </c>
      <c r="B7" s="96" t="s">
        <v>308</v>
      </c>
      <c r="C7" s="13">
        <f>data!C166</f>
        <v>490840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1384628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40289598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210615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18198152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277880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84783826</v>
      </c>
    </row>
    <row r="15" spans="1:13" ht="20.100000000000001" customHeight="1" x14ac:dyDescent="0.25">
      <c r="A15" s="57"/>
      <c r="B15" s="45"/>
      <c r="C15" s="97"/>
      <c r="M15" s="179"/>
    </row>
    <row r="16" spans="1:13" ht="20.100000000000001" customHeight="1" x14ac:dyDescent="0.25">
      <c r="A16" s="72"/>
      <c r="B16" s="30"/>
      <c r="C16" s="20"/>
    </row>
    <row r="17" spans="1:3" ht="20.100000000000001" customHeight="1" x14ac:dyDescent="0.25">
      <c r="A17" s="98">
        <v>11</v>
      </c>
      <c r="B17" s="99" t="s">
        <v>314</v>
      </c>
      <c r="C17" s="100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12694544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3498539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16193083</v>
      </c>
    </row>
    <row r="21" spans="1:3" ht="20.100000000000001" customHeight="1" x14ac:dyDescent="0.25">
      <c r="A21" s="57"/>
      <c r="B21" s="45"/>
      <c r="C21" s="97"/>
    </row>
    <row r="22" spans="1:3" ht="20.100000000000001" customHeight="1" x14ac:dyDescent="0.25">
      <c r="A22" s="72"/>
      <c r="B22" s="8"/>
      <c r="C22" s="44"/>
    </row>
    <row r="23" spans="1:3" ht="20.100000000000001" customHeight="1" x14ac:dyDescent="0.25">
      <c r="A23" s="101">
        <v>15</v>
      </c>
      <c r="B23" s="102" t="s">
        <v>317</v>
      </c>
      <c r="C23" s="94"/>
    </row>
    <row r="24" spans="1:3" ht="20.100000000000001" customHeight="1" x14ac:dyDescent="0.25">
      <c r="A24" s="13">
        <v>16</v>
      </c>
      <c r="B24" s="37" t="s">
        <v>1070</v>
      </c>
      <c r="C24" s="103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2598029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946943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3544972</v>
      </c>
    </row>
    <row r="28" spans="1:3" ht="20.100000000000001" customHeight="1" x14ac:dyDescent="0.25">
      <c r="A28" s="57"/>
      <c r="B28" s="45"/>
      <c r="C28" s="97"/>
    </row>
    <row r="29" spans="1:3" ht="20.100000000000001" customHeight="1" x14ac:dyDescent="0.25">
      <c r="A29" s="72"/>
      <c r="B29" s="30"/>
      <c r="C29" s="20"/>
    </row>
    <row r="30" spans="1:3" ht="20.100000000000001" customHeight="1" x14ac:dyDescent="0.25">
      <c r="A30" s="101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735453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6696265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7431718</v>
      </c>
    </row>
    <row r="35" spans="1:3" ht="20.100000000000001" customHeight="1" x14ac:dyDescent="0.25">
      <c r="A35" s="57"/>
      <c r="B35" s="45"/>
      <c r="C35" s="97"/>
    </row>
    <row r="36" spans="1:3" ht="20.100000000000001" customHeight="1" x14ac:dyDescent="0.25">
      <c r="A36" s="72"/>
      <c r="B36" s="30"/>
      <c r="C36" s="20"/>
    </row>
    <row r="37" spans="1:3" ht="20.100000000000001" customHeight="1" x14ac:dyDescent="0.25">
      <c r="A37" s="101">
        <v>25</v>
      </c>
      <c r="B37" s="43" t="s">
        <v>323</v>
      </c>
      <c r="C37" s="94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8026275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8026275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C23" sqref="C23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6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EvergreenHealth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0"/>
      <c r="E4" s="70"/>
      <c r="F4" s="36"/>
    </row>
    <row r="5" spans="1:13" ht="20.100000000000001" customHeight="1" x14ac:dyDescent="0.25">
      <c r="A5" s="42"/>
      <c r="B5" s="52"/>
      <c r="C5" s="71" t="s">
        <v>1079</v>
      </c>
      <c r="D5" s="47"/>
      <c r="E5" s="47"/>
      <c r="F5" s="71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4913660</v>
      </c>
      <c r="D7" s="21">
        <f>data!C195</f>
        <v>0</v>
      </c>
      <c r="E7" s="21">
        <f>data!D195</f>
        <v>0</v>
      </c>
      <c r="F7" s="21">
        <f>data!E195</f>
        <v>4913660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14664226</v>
      </c>
      <c r="D8" s="21">
        <f>data!C196</f>
        <v>0</v>
      </c>
      <c r="E8" s="21">
        <f>data!D196</f>
        <v>335351</v>
      </c>
      <c r="F8" s="21">
        <f>data!E196</f>
        <v>14328875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334117953</v>
      </c>
      <c r="D9" s="21">
        <f>data!C197</f>
        <v>4039748</v>
      </c>
      <c r="E9" s="21">
        <f>data!D197</f>
        <v>1430447</v>
      </c>
      <c r="F9" s="21">
        <f>data!E197</f>
        <v>336727254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127768533</v>
      </c>
      <c r="D10" s="21">
        <f>data!C198</f>
        <v>3478488</v>
      </c>
      <c r="E10" s="21">
        <f>data!D198</f>
        <v>645583</v>
      </c>
      <c r="F10" s="21">
        <f>data!E198</f>
        <v>130601438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879852</v>
      </c>
      <c r="D11" s="21">
        <f>data!C199</f>
        <v>0</v>
      </c>
      <c r="E11" s="21">
        <f>data!D199</f>
        <v>764788</v>
      </c>
      <c r="F11" s="21">
        <f>data!E199</f>
        <v>115064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278214735</v>
      </c>
      <c r="D12" s="21">
        <f>data!C200</f>
        <v>14672490</v>
      </c>
      <c r="E12" s="21">
        <f>data!D200</f>
        <v>6365908</v>
      </c>
      <c r="F12" s="21">
        <f>data!E200</f>
        <v>286521317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35552335</v>
      </c>
      <c r="D14" s="21">
        <f>data!C202</f>
        <v>965522</v>
      </c>
      <c r="E14" s="21">
        <f>data!D202</f>
        <v>1048463</v>
      </c>
      <c r="F14" s="21">
        <f>data!E202</f>
        <v>35469394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9698463</v>
      </c>
      <c r="D15" s="21">
        <f>data!C203</f>
        <v>27737931</v>
      </c>
      <c r="E15" s="21">
        <f>data!D203</f>
        <v>23156249</v>
      </c>
      <c r="F15" s="21">
        <f>data!E203</f>
        <v>14280145</v>
      </c>
      <c r="M15" s="268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805809757</v>
      </c>
      <c r="D16" s="21">
        <f>data!C204</f>
        <v>50894179</v>
      </c>
      <c r="E16" s="21">
        <f>data!D204</f>
        <v>33746789</v>
      </c>
      <c r="F16" s="21">
        <f>data!E204</f>
        <v>822957147</v>
      </c>
    </row>
    <row r="17" spans="1:6" ht="20.100000000000001" customHeight="1" x14ac:dyDescent="0.25">
      <c r="A17" s="72"/>
      <c r="B17" s="30"/>
      <c r="C17" s="30"/>
      <c r="D17" s="30"/>
      <c r="E17" s="30"/>
      <c r="F17" s="20"/>
    </row>
    <row r="18" spans="1:6" ht="20.100000000000001" customHeight="1" x14ac:dyDescent="0.25">
      <c r="A18" s="73"/>
      <c r="B18" s="8"/>
      <c r="C18" s="8"/>
      <c r="D18" s="8"/>
      <c r="E18" s="8"/>
      <c r="F18" s="28"/>
    </row>
    <row r="19" spans="1:6" ht="20.100000000000001" customHeight="1" x14ac:dyDescent="0.25">
      <c r="A19" s="73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4"/>
      <c r="B21" s="44"/>
      <c r="C21" s="18" t="s">
        <v>1079</v>
      </c>
      <c r="D21" s="75" t="s">
        <v>203</v>
      </c>
      <c r="E21" s="25"/>
      <c r="F21" s="18" t="s">
        <v>1080</v>
      </c>
    </row>
    <row r="22" spans="1:6" ht="20.100000000000001" customHeight="1" x14ac:dyDescent="0.25">
      <c r="A22" s="74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2" t="s">
        <v>332</v>
      </c>
      <c r="C23" s="91"/>
      <c r="D23" s="91"/>
      <c r="E23" s="91"/>
      <c r="F23" s="91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11705853</v>
      </c>
      <c r="D24" s="21">
        <f>data!C209</f>
        <v>402883</v>
      </c>
      <c r="E24" s="21">
        <f>data!D209</f>
        <v>335351</v>
      </c>
      <c r="F24" s="21">
        <f>data!E209</f>
        <v>11773385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152884284</v>
      </c>
      <c r="D25" s="21">
        <f>data!C210</f>
        <v>11481271</v>
      </c>
      <c r="E25" s="21">
        <f>data!D210</f>
        <v>1430447</v>
      </c>
      <c r="F25" s="21">
        <f>data!E210</f>
        <v>162935108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87809266</v>
      </c>
      <c r="D26" s="21">
        <f>data!C211</f>
        <v>4417501</v>
      </c>
      <c r="E26" s="21">
        <f>data!D211</f>
        <v>645583</v>
      </c>
      <c r="F26" s="21">
        <f>data!E211</f>
        <v>91581184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868772</v>
      </c>
      <c r="D27" s="21">
        <f>data!C212</f>
        <v>5970</v>
      </c>
      <c r="E27" s="21">
        <f>data!D212</f>
        <v>764788</v>
      </c>
      <c r="F27" s="21">
        <f>data!E212</f>
        <v>109954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207146873</v>
      </c>
      <c r="D28" s="21">
        <f>data!C213</f>
        <v>17352558</v>
      </c>
      <c r="E28" s="21">
        <f>data!D213</f>
        <v>6365908</v>
      </c>
      <c r="F28" s="21">
        <f>data!E213</f>
        <v>218133523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18298741</v>
      </c>
      <c r="D30" s="21">
        <f>data!C215</f>
        <v>2132777</v>
      </c>
      <c r="E30" s="21">
        <f>data!D215</f>
        <v>1048463</v>
      </c>
      <c r="F30" s="21">
        <f>data!E215</f>
        <v>19383055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478713789</v>
      </c>
      <c r="D32" s="21">
        <f>data!C217</f>
        <v>35792960</v>
      </c>
      <c r="E32" s="21">
        <f>data!D217</f>
        <v>10590540</v>
      </c>
      <c r="F32" s="21">
        <f>data!E217</f>
        <v>503916209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A29" sqref="A29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8" t="s">
        <v>1090</v>
      </c>
    </row>
    <row r="2" spans="1:13" ht="20.100000000000001" customHeight="1" x14ac:dyDescent="0.25">
      <c r="A2" s="29" t="str">
        <f>"Hospital: "&amp;data!C84</f>
        <v>Hospital: EvergreenHealth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1">
        <v>1</v>
      </c>
      <c r="B5" s="55"/>
      <c r="C5" s="22" t="s">
        <v>1255</v>
      </c>
      <c r="D5" s="14">
        <f>data!D221</f>
        <v>21134846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571824745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119270597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12294110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5088008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452545208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9163156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1170185824</v>
      </c>
    </row>
    <row r="14" spans="1:13" ht="20.100000000000001" customHeight="1" x14ac:dyDescent="0.25">
      <c r="A14" s="80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0">
        <v>12</v>
      </c>
      <c r="B16" s="56"/>
      <c r="C16" s="49" t="s">
        <v>1095</v>
      </c>
      <c r="D16" s="139">
        <f>+data!C231</f>
        <v>2525</v>
      </c>
      <c r="M16" s="268"/>
    </row>
    <row r="17" spans="1:4" ht="20.100000000000001" customHeight="1" x14ac:dyDescent="0.25">
      <c r="A17" s="23">
        <v>13</v>
      </c>
      <c r="B17" s="58"/>
      <c r="C17" s="45"/>
      <c r="D17" s="82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2733158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3794286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0">
        <v>18</v>
      </c>
      <c r="B22" s="56"/>
      <c r="C22" s="15" t="s">
        <v>1097</v>
      </c>
      <c r="D22" s="14">
        <f>data!D236</f>
        <v>6527444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4">
        <v>20</v>
      </c>
      <c r="B24" s="55">
        <v>5970</v>
      </c>
      <c r="C24" s="14" t="s">
        <v>357</v>
      </c>
      <c r="D24" s="14">
        <f>data!C238</f>
        <v>3284412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1201132526</v>
      </c>
    </row>
    <row r="28" spans="1:4" ht="20.100000000000001" customHeight="1" x14ac:dyDescent="0.25">
      <c r="A28" s="125">
        <v>24</v>
      </c>
      <c r="B28" s="65" t="s">
        <v>1100</v>
      </c>
      <c r="C28" s="50"/>
      <c r="D28" s="54"/>
    </row>
    <row r="29" spans="1:4" ht="20.100000000000001" customHeight="1" x14ac:dyDescent="0.25">
      <c r="A29" s="50" t="s">
        <v>1280</v>
      </c>
      <c r="C29" s="66"/>
      <c r="D29" s="56"/>
    </row>
    <row r="30" spans="1:4" ht="20.100000000000001" customHeight="1" x14ac:dyDescent="0.25">
      <c r="A30" s="67"/>
      <c r="B30" s="38"/>
      <c r="C30" s="38"/>
      <c r="D30" s="56"/>
    </row>
    <row r="31" spans="1:4" ht="20.100000000000001" customHeight="1" x14ac:dyDescent="0.25">
      <c r="A31" s="67"/>
      <c r="B31" s="38"/>
      <c r="C31" s="38"/>
      <c r="D31" s="56"/>
    </row>
    <row r="32" spans="1:4" ht="20.100000000000001" customHeight="1" x14ac:dyDescent="0.25">
      <c r="A32" s="67"/>
      <c r="B32" s="38"/>
      <c r="C32" s="38"/>
      <c r="D32" s="56"/>
    </row>
    <row r="33" spans="1:4" ht="20.100000000000001" customHeight="1" x14ac:dyDescent="0.25">
      <c r="A33" s="67"/>
      <c r="B33" s="38"/>
      <c r="C33" s="38"/>
      <c r="D33" s="24"/>
    </row>
    <row r="34" spans="1:4" ht="20.100000000000001" customHeight="1" x14ac:dyDescent="0.25">
      <c r="A34" s="68"/>
      <c r="B34" s="69"/>
      <c r="C34" s="69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18" zoomScale="75" workbookViewId="0">
      <selection activeCell="B153" sqref="B153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6" t="s">
        <v>1102</v>
      </c>
    </row>
    <row r="3" spans="1:13" ht="20.100000000000001" customHeight="1" x14ac:dyDescent="0.25">
      <c r="A3" s="29" t="str">
        <f>"HOSPITAL: "&amp;data!C84</f>
        <v>HOSPITAL: EvergreenHealth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52552454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282465487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189651588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2484887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6113152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1875971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8118816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8009450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8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171968629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147150626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147150626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4913660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14328875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336727253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130601438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115064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286142022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35848689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14280147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822957148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503916209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319040939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10574730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8323592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18898322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25251896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25251896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682310412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6" t="s">
        <v>1124</v>
      </c>
    </row>
    <row r="55" spans="1:3" ht="20.100000000000001" customHeight="1" x14ac:dyDescent="0.25">
      <c r="A55" s="29" t="str">
        <f>"HOSPITAL: "&amp;data!C84</f>
        <v>HOSPITAL: EvergreenHealth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30618293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46590819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729158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3390053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1450276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13751678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96530277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1459840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230056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1689896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6855698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195945729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7629991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210431418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13751678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196679740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8" t="s">
        <v>1140</v>
      </c>
      <c r="C88" s="21">
        <f>data!C332</f>
        <v>387410499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387410499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682310412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6" t="s">
        <v>1151</v>
      </c>
    </row>
    <row r="107" spans="1:3" ht="20.100000000000001" customHeight="1" x14ac:dyDescent="0.25">
      <c r="A107" s="29" t="str">
        <f>"HOSPITAL: "&amp;data!C84</f>
        <v>HOSPITAL: EvergreenHealth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781301601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1084636035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1865937636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3" t="s">
        <v>450</v>
      </c>
      <c r="C115" s="48">
        <f>data!C363</f>
        <v>21134846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1170185824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6527444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3284412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1201132526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664805110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35920053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26216729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62136782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726941892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375148454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84783827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13770196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95623016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6490159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51362046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35523011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16193084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3544971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7431718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8026275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6801189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704697946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22243946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20882141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43126087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43126087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8"/>
      <c r="B153" s="50" t="s">
        <v>1279</v>
      </c>
      <c r="C153" s="51"/>
    </row>
  </sheetData>
  <phoneticPr fontId="0" type="noConversion"/>
  <printOptions horizontalCentered="1" verticalCentered="1" gridLinesSet="0"/>
  <pageMargins left="0" right="0" top="0" bottom="0" header="0" footer="0"/>
  <pageSetup scale="84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7" customWidth="1"/>
    <col min="2" max="2" width="22.4140625" style="77" customWidth="1"/>
    <col min="3" max="8" width="13.75" style="77" customWidth="1"/>
    <col min="9" max="9" width="15.75" style="77" customWidth="1"/>
    <col min="10" max="16384" width="8.9140625" style="77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6"/>
      <c r="C2" s="76"/>
      <c r="D2" s="76"/>
      <c r="E2" s="76"/>
      <c r="F2" s="76"/>
      <c r="G2" s="76"/>
      <c r="H2" s="76"/>
      <c r="I2" s="167" t="s">
        <v>1174</v>
      </c>
    </row>
    <row r="3" spans="1:13" ht="20.100000000000001" customHeight="1" x14ac:dyDescent="0.25">
      <c r="A3" s="45"/>
      <c r="B3" s="76"/>
      <c r="C3" s="76"/>
      <c r="D3" s="76"/>
      <c r="E3" s="76"/>
      <c r="F3" s="76"/>
      <c r="G3" s="76"/>
      <c r="H3" s="76"/>
      <c r="I3" s="45"/>
    </row>
    <row r="4" spans="1:13" ht="20.100000000000001" customHeight="1" x14ac:dyDescent="0.25">
      <c r="A4" s="78" t="str">
        <f>"HOSPITAL NAME: "&amp;data!C84</f>
        <v>HOSPITAL NAME: EvergreenHealth</v>
      </c>
      <c r="B4" s="76"/>
      <c r="C4" s="76"/>
      <c r="D4" s="76"/>
      <c r="E4" s="76"/>
      <c r="F4" s="76"/>
      <c r="G4" s="79"/>
      <c r="H4" s="78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8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0">
        <v>2</v>
      </c>
      <c r="B6" s="17" t="s">
        <v>1175</v>
      </c>
      <c r="C6" s="87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1"/>
      <c r="B7" s="82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4913</v>
      </c>
      <c r="D9" s="14">
        <f>data!D59</f>
        <v>9676</v>
      </c>
      <c r="E9" s="14">
        <f>data!E59</f>
        <v>33334</v>
      </c>
      <c r="F9" s="14">
        <f>data!F59</f>
        <v>0</v>
      </c>
      <c r="G9" s="14">
        <f>data!G59</f>
        <v>3183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138.44870673076923</v>
      </c>
      <c r="D10" s="26">
        <f>data!D60</f>
        <v>73.214711538461557</v>
      </c>
      <c r="E10" s="26">
        <f>data!E60</f>
        <v>240.19260576923074</v>
      </c>
      <c r="F10" s="26">
        <f>data!F60</f>
        <v>0</v>
      </c>
      <c r="G10" s="26">
        <f>data!G60</f>
        <v>17.238783653846152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13823634.804999998</v>
      </c>
      <c r="D11" s="14">
        <f>data!D61</f>
        <v>6801114.7800000003</v>
      </c>
      <c r="E11" s="14">
        <f>data!E61</f>
        <v>19752240.844999999</v>
      </c>
      <c r="F11" s="14">
        <f>data!F61</f>
        <v>0</v>
      </c>
      <c r="G11" s="14">
        <f>data!G61</f>
        <v>1602209.6899999997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3101902</v>
      </c>
      <c r="D12" s="14">
        <f>data!D62</f>
        <v>1674605</v>
      </c>
      <c r="E12" s="14">
        <f>data!E62</f>
        <v>4424857</v>
      </c>
      <c r="F12" s="14">
        <f>data!F62</f>
        <v>0</v>
      </c>
      <c r="G12" s="14">
        <f>data!G62</f>
        <v>410126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607939.15</v>
      </c>
      <c r="D13" s="14">
        <f>data!D63</f>
        <v>0</v>
      </c>
      <c r="E13" s="14">
        <f>data!E63</f>
        <v>-11356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1322156.5899999999</v>
      </c>
      <c r="D14" s="14">
        <f>data!D64</f>
        <v>565606.80000000005</v>
      </c>
      <c r="E14" s="14">
        <f>data!E64</f>
        <v>1612091.42</v>
      </c>
      <c r="F14" s="14">
        <f>data!F64</f>
        <v>0</v>
      </c>
      <c r="G14" s="14">
        <f>data!G64</f>
        <v>65057.19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6197.77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7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341707.821</v>
      </c>
      <c r="D16" s="14">
        <f>data!D66</f>
        <v>329473.42099999997</v>
      </c>
      <c r="E16" s="14">
        <f>data!E66</f>
        <v>646992.67799999996</v>
      </c>
      <c r="F16" s="14">
        <f>data!F66</f>
        <v>0</v>
      </c>
      <c r="G16" s="14">
        <f>data!G66</f>
        <v>30060.987999999998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429751</v>
      </c>
      <c r="D17" s="14">
        <f>data!D67</f>
        <v>1575197</v>
      </c>
      <c r="E17" s="14">
        <f>data!E67</f>
        <v>2298973</v>
      </c>
      <c r="F17" s="14">
        <f>data!F67</f>
        <v>0</v>
      </c>
      <c r="G17" s="14">
        <f>data!G67</f>
        <v>101764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64632.49</v>
      </c>
      <c r="D19" s="14">
        <f>data!D69</f>
        <v>11975.25</v>
      </c>
      <c r="E19" s="14">
        <f>data!E69</f>
        <v>22486.37</v>
      </c>
      <c r="F19" s="14">
        <f>data!F69</f>
        <v>0</v>
      </c>
      <c r="G19" s="14">
        <f>data!G69</f>
        <v>11922.859999999999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-11310.97</v>
      </c>
      <c r="D20" s="14">
        <f>-data!D70</f>
        <v>-725</v>
      </c>
      <c r="E20" s="14">
        <f>-data!E70</f>
        <v>-708.18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19686610.655999996</v>
      </c>
      <c r="D21" s="14">
        <f>data!D71</f>
        <v>10957247.251000002</v>
      </c>
      <c r="E21" s="14">
        <f>data!E71</f>
        <v>28745577.133000001</v>
      </c>
      <c r="F21" s="14">
        <f>data!F71</f>
        <v>0</v>
      </c>
      <c r="G21" s="14">
        <f>data!G71</f>
        <v>2221140.7279999997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9"/>
      <c r="D22" s="210"/>
      <c r="E22" s="210"/>
      <c r="F22" s="210"/>
      <c r="G22" s="210"/>
      <c r="H22" s="210"/>
      <c r="I22" s="210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6391505</v>
      </c>
      <c r="D23" s="48">
        <f>+data!M669</f>
        <v>4058005</v>
      </c>
      <c r="E23" s="48">
        <f>+data!M670</f>
        <v>12166753</v>
      </c>
      <c r="F23" s="48">
        <f>+data!M671</f>
        <v>4568</v>
      </c>
      <c r="G23" s="48">
        <f>+data!M672</f>
        <v>1096367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71224136.430000007</v>
      </c>
      <c r="D24" s="14">
        <f>data!D73</f>
        <v>47716801.340000004</v>
      </c>
      <c r="E24" s="14">
        <f>data!E73</f>
        <v>113907958.68000001</v>
      </c>
      <c r="F24" s="14">
        <f>data!F73</f>
        <v>0</v>
      </c>
      <c r="G24" s="14">
        <f>data!G73</f>
        <v>13214057.210000001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-48589</v>
      </c>
      <c r="D25" s="14">
        <f>data!D74</f>
        <v>421958</v>
      </c>
      <c r="E25" s="14">
        <f>data!E74</f>
        <v>4415878.8600000003</v>
      </c>
      <c r="F25" s="14">
        <f>data!F74</f>
        <v>0</v>
      </c>
      <c r="G25" s="14">
        <f>data!G74</f>
        <v>4920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71175547.430000007</v>
      </c>
      <c r="D26" s="14">
        <f>data!D75</f>
        <v>48138759.340000004</v>
      </c>
      <c r="E26" s="14">
        <f>data!E75</f>
        <v>118323837.54000001</v>
      </c>
      <c r="F26" s="14">
        <f>data!F75</f>
        <v>0</v>
      </c>
      <c r="G26" s="14">
        <f>data!G75</f>
        <v>13218977.210000001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0"/>
      <c r="D27" s="210"/>
      <c r="E27" s="210"/>
      <c r="F27" s="210"/>
      <c r="G27" s="210"/>
      <c r="H27" s="210"/>
      <c r="I27" s="210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31983</v>
      </c>
      <c r="D28" s="14">
        <f>data!D76</f>
        <v>24449</v>
      </c>
      <c r="E28" s="14">
        <f>data!E76</f>
        <v>113062</v>
      </c>
      <c r="F28" s="14">
        <f>data!F76</f>
        <v>151</v>
      </c>
      <c r="G28" s="14">
        <f>data!G76</f>
        <v>8974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9766</v>
      </c>
      <c r="D29" s="14">
        <f>data!D77</f>
        <v>28663</v>
      </c>
      <c r="E29" s="14">
        <f>data!E77</f>
        <v>101463</v>
      </c>
      <c r="F29" s="14">
        <f>data!F77</f>
        <v>0</v>
      </c>
      <c r="G29" s="14">
        <f>data!G77</f>
        <v>9217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3522</v>
      </c>
      <c r="D30" s="14">
        <f>data!D78</f>
        <v>2692</v>
      </c>
      <c r="E30" s="14">
        <f>data!E78</f>
        <v>12449</v>
      </c>
      <c r="F30" s="14">
        <f>data!F78</f>
        <v>17</v>
      </c>
      <c r="G30" s="14">
        <f>data!G78</f>
        <v>988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160523.9</v>
      </c>
      <c r="D31" s="14">
        <f>data!D79</f>
        <v>216201.19</v>
      </c>
      <c r="E31" s="14">
        <f>data!E79</f>
        <v>498347.15</v>
      </c>
      <c r="F31" s="14">
        <f>data!F79</f>
        <v>0</v>
      </c>
      <c r="G31" s="14">
        <f>data!G79</f>
        <v>34055.14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3">
        <f>data!C80</f>
        <v>96.206163461538466</v>
      </c>
      <c r="D32" s="83">
        <f>data!D80</f>
        <v>47.598322115384612</v>
      </c>
      <c r="E32" s="83">
        <f>data!E80</f>
        <v>147.00708173076922</v>
      </c>
      <c r="F32" s="83">
        <f>data!F80</f>
        <v>0</v>
      </c>
      <c r="G32" s="83">
        <f>data!G80</f>
        <v>10.312725961538462</v>
      </c>
      <c r="H32" s="83">
        <f>data!H80</f>
        <v>0</v>
      </c>
      <c r="I32" s="83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6"/>
      <c r="C34" s="76"/>
      <c r="D34" s="76"/>
      <c r="E34" s="76"/>
      <c r="F34" s="76"/>
      <c r="G34" s="76"/>
      <c r="H34" s="76"/>
      <c r="I34" s="167" t="s">
        <v>1190</v>
      </c>
    </row>
    <row r="35" spans="1:9" ht="20.100000000000001" customHeight="1" x14ac:dyDescent="0.25">
      <c r="A35" s="45"/>
      <c r="B35" s="76"/>
      <c r="C35" s="76"/>
      <c r="D35" s="76"/>
      <c r="E35" s="76"/>
      <c r="F35" s="76"/>
      <c r="G35" s="76"/>
      <c r="H35" s="76"/>
      <c r="I35" s="45"/>
    </row>
    <row r="36" spans="1:9" ht="20.100000000000001" customHeight="1" x14ac:dyDescent="0.25">
      <c r="A36" s="78" t="str">
        <f>"HOSPITAL NAME: "&amp;data!C84</f>
        <v>HOSPITAL NAME: EvergreenHealth</v>
      </c>
      <c r="B36" s="76"/>
      <c r="C36" s="76"/>
      <c r="D36" s="76"/>
      <c r="E36" s="76"/>
      <c r="F36" s="76"/>
      <c r="G36" s="79"/>
      <c r="H36" s="78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0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1"/>
      <c r="B39" s="82"/>
      <c r="C39" s="18" t="s">
        <v>99</v>
      </c>
      <c r="D39" s="18" t="s">
        <v>157</v>
      </c>
      <c r="E39" s="87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8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3828</v>
      </c>
      <c r="G41" s="14">
        <f>data!N59</f>
        <v>0</v>
      </c>
      <c r="H41" s="14">
        <f>data!O59</f>
        <v>4552</v>
      </c>
      <c r="I41" s="14">
        <f>data!P59</f>
        <v>908664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46.320245192307695</v>
      </c>
      <c r="G42" s="26">
        <f>data!N60</f>
        <v>44.300591346153844</v>
      </c>
      <c r="H42" s="26">
        <f>data!O60</f>
        <v>180.45926442307692</v>
      </c>
      <c r="I42" s="26">
        <f>data!P60</f>
        <v>148.34665865384613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4548597.93</v>
      </c>
      <c r="G43" s="14">
        <f>data!N61</f>
        <v>12959393.320000002</v>
      </c>
      <c r="H43" s="14">
        <f>data!O61</f>
        <v>17454935.34</v>
      </c>
      <c r="I43" s="14">
        <f>data!P61</f>
        <v>13056361.405000001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1090003</v>
      </c>
      <c r="G44" s="14">
        <f>data!N62</f>
        <v>2391609</v>
      </c>
      <c r="H44" s="14">
        <f>data!O62</f>
        <v>4517561</v>
      </c>
      <c r="I44" s="14">
        <f>data!P62</f>
        <v>3039206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610332.5</v>
      </c>
      <c r="H45" s="14">
        <f>data!O63</f>
        <v>37910</v>
      </c>
      <c r="I45" s="14">
        <f>data!P63</f>
        <v>-3012.1800000000003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157573.52000000002</v>
      </c>
      <c r="G46" s="14">
        <f>data!N64</f>
        <v>5390.8600000000006</v>
      </c>
      <c r="H46" s="14">
        <f>data!O64</f>
        <v>1855331.0800000003</v>
      </c>
      <c r="I46" s="14">
        <f>data!P64</f>
        <v>38149867.559999995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9799.7099999999991</v>
      </c>
      <c r="G47" s="14">
        <f>data!N65</f>
        <v>38746.400000000001</v>
      </c>
      <c r="H47" s="14">
        <f>data!O65</f>
        <v>987.82999999999993</v>
      </c>
      <c r="I47" s="14">
        <f>data!P65</f>
        <v>4049.1699999999996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167417.24</v>
      </c>
      <c r="G48" s="14">
        <f>data!N66</f>
        <v>7069.3300000000008</v>
      </c>
      <c r="H48" s="14">
        <f>data!O66</f>
        <v>254888.49000000002</v>
      </c>
      <c r="I48" s="14">
        <f>data!P66</f>
        <v>2068733.8860000002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95968</v>
      </c>
      <c r="G49" s="14">
        <f>data!N67</f>
        <v>6319</v>
      </c>
      <c r="H49" s="14">
        <f>data!O67</f>
        <v>885775</v>
      </c>
      <c r="I49" s="14">
        <f>data!P67</f>
        <v>3127696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96743.989999999991</v>
      </c>
      <c r="G50" s="14">
        <f>data!N68</f>
        <v>0</v>
      </c>
      <c r="H50" s="14">
        <f>data!O68</f>
        <v>0</v>
      </c>
      <c r="I50" s="14">
        <f>data!P68</f>
        <v>112163.18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39961.89</v>
      </c>
      <c r="G51" s="14">
        <f>data!N69</f>
        <v>210295.81000000006</v>
      </c>
      <c r="H51" s="14">
        <f>data!O69</f>
        <v>109452.85</v>
      </c>
      <c r="I51" s="14">
        <f>data!P69</f>
        <v>33605.619999999995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-225515.77</v>
      </c>
      <c r="G52" s="14">
        <f>-data!N70</f>
        <v>-24840.74</v>
      </c>
      <c r="H52" s="14">
        <f>-data!O70</f>
        <v>-42411.91</v>
      </c>
      <c r="I52" s="14">
        <f>-data!P70</f>
        <v>-8.06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5980549.5099999998</v>
      </c>
      <c r="G53" s="14">
        <f>data!N71</f>
        <v>16204315.480000002</v>
      </c>
      <c r="H53" s="14">
        <f>data!O71</f>
        <v>25074429.68</v>
      </c>
      <c r="I53" s="14">
        <f>data!P71</f>
        <v>59588662.580999993</v>
      </c>
    </row>
    <row r="54" spans="1:9" ht="20.100000000000001" customHeight="1" x14ac:dyDescent="0.25">
      <c r="A54" s="23">
        <v>17</v>
      </c>
      <c r="B54" s="14" t="s">
        <v>244</v>
      </c>
      <c r="C54" s="210"/>
      <c r="D54" s="210"/>
      <c r="E54" s="210"/>
      <c r="F54" s="210"/>
      <c r="G54" s="210"/>
      <c r="H54" s="210"/>
      <c r="I54" s="210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1518128</v>
      </c>
      <c r="G55" s="48">
        <f>+data!M679</f>
        <v>1769725</v>
      </c>
      <c r="H55" s="48">
        <f>+data!M680</f>
        <v>9382441</v>
      </c>
      <c r="I55" s="48">
        <f>+data!M681</f>
        <v>20626945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6056815.1299999999</v>
      </c>
      <c r="G56" s="14">
        <f>data!N73</f>
        <v>15390062</v>
      </c>
      <c r="H56" s="14">
        <f>data!O73</f>
        <v>103951001</v>
      </c>
      <c r="I56" s="14">
        <f>data!P73</f>
        <v>112903197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283618.3</v>
      </c>
      <c r="G57" s="14">
        <f>data!N74</f>
        <v>1017949.18</v>
      </c>
      <c r="H57" s="14">
        <f>data!O74</f>
        <v>3975859</v>
      </c>
      <c r="I57" s="14">
        <f>data!P74</f>
        <v>203632011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6340433.4299999997</v>
      </c>
      <c r="G58" s="14">
        <f>data!N75</f>
        <v>16408011.18</v>
      </c>
      <c r="H58" s="14">
        <f>data!O75</f>
        <v>107926860</v>
      </c>
      <c r="I58" s="14">
        <f>data!P75</f>
        <v>316535208</v>
      </c>
    </row>
    <row r="59" spans="1:9" ht="20.100000000000001" customHeight="1" x14ac:dyDescent="0.25">
      <c r="A59" s="23" t="s">
        <v>1185</v>
      </c>
      <c r="B59" s="60"/>
      <c r="C59" s="210"/>
      <c r="D59" s="210"/>
      <c r="E59" s="210"/>
      <c r="F59" s="210"/>
      <c r="G59" s="210"/>
      <c r="H59" s="210"/>
      <c r="I59" s="210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20520</v>
      </c>
      <c r="G60" s="14">
        <f>data!N76</f>
        <v>5113</v>
      </c>
      <c r="H60" s="14">
        <f>data!O76</f>
        <v>54399</v>
      </c>
      <c r="I60" s="14">
        <f>data!P76</f>
        <v>74235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6580</v>
      </c>
      <c r="G61" s="14">
        <f>data!N77</f>
        <v>0</v>
      </c>
      <c r="H61" s="14">
        <f>data!O77</f>
        <v>30406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2259</v>
      </c>
      <c r="G62" s="14">
        <f>data!N78</f>
        <v>563</v>
      </c>
      <c r="H62" s="14">
        <f>data!O78</f>
        <v>5990</v>
      </c>
      <c r="I62" s="14">
        <f>data!P78</f>
        <v>8174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36326.800000000003</v>
      </c>
      <c r="G63" s="14">
        <f>data!N79</f>
        <v>0</v>
      </c>
      <c r="H63" s="14">
        <f>data!O79</f>
        <v>317275.69</v>
      </c>
      <c r="I63" s="14">
        <f>data!P79</f>
        <v>138716.15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17.338211538461501</v>
      </c>
      <c r="G64" s="26">
        <f>data!N80</f>
        <v>0</v>
      </c>
      <c r="H64" s="26">
        <f>data!O80</f>
        <v>129.70909615384613</v>
      </c>
      <c r="I64" s="26">
        <f>data!P80</f>
        <v>66.102245192307691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6"/>
      <c r="B66" s="76"/>
      <c r="C66" s="76"/>
      <c r="D66" s="45"/>
      <c r="E66" s="76"/>
      <c r="F66" s="76"/>
      <c r="G66" s="76"/>
      <c r="H66" s="76"/>
      <c r="I66" s="167" t="s">
        <v>1193</v>
      </c>
    </row>
    <row r="67" spans="1:9" ht="20.100000000000001" customHeight="1" x14ac:dyDescent="0.25">
      <c r="A67" s="45"/>
      <c r="B67" s="76"/>
      <c r="C67" s="76"/>
      <c r="D67" s="76"/>
      <c r="E67" s="76"/>
      <c r="F67" s="76"/>
      <c r="G67" s="76"/>
      <c r="H67" s="76"/>
    </row>
    <row r="68" spans="1:9" ht="20.100000000000001" customHeight="1" x14ac:dyDescent="0.25">
      <c r="A68" s="78" t="str">
        <f>"HOSPITAL NAME: "&amp;data!C84</f>
        <v>HOSPITAL NAME: EvergreenHealth</v>
      </c>
      <c r="B68" s="76"/>
      <c r="C68" s="76"/>
      <c r="D68" s="76"/>
      <c r="E68" s="76"/>
      <c r="F68" s="76"/>
      <c r="G68" s="79"/>
      <c r="H68" s="78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0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1"/>
      <c r="B71" s="82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8" t="s">
        <v>1197</v>
      </c>
      <c r="E72" s="211"/>
      <c r="F72" s="211"/>
      <c r="G72" s="88" t="s">
        <v>1198</v>
      </c>
      <c r="H72" s="88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1509023</v>
      </c>
      <c r="D73" s="48">
        <f>data!R59</f>
        <v>947293</v>
      </c>
      <c r="E73" s="211"/>
      <c r="F73" s="211"/>
      <c r="G73" s="14">
        <f>data!U59</f>
        <v>804851</v>
      </c>
      <c r="H73" s="14">
        <f>data!V59</f>
        <v>0</v>
      </c>
      <c r="I73" s="14">
        <f>data!W59</f>
        <v>35394.33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34.646019230769234</v>
      </c>
      <c r="D74" s="26">
        <f>data!R60</f>
        <v>7.1826634615384615</v>
      </c>
      <c r="E74" s="26">
        <f>data!S60</f>
        <v>20.462519230769235</v>
      </c>
      <c r="F74" s="26">
        <f>data!T60</f>
        <v>0</v>
      </c>
      <c r="G74" s="26">
        <f>data!U60</f>
        <v>77.483875000000012</v>
      </c>
      <c r="H74" s="26">
        <f>data!V60</f>
        <v>2.5390048076923075</v>
      </c>
      <c r="I74" s="26">
        <f>data!W60</f>
        <v>7.2128317307692305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3905750.2100000004</v>
      </c>
      <c r="D75" s="14">
        <f>data!R61</f>
        <v>600332.03999999992</v>
      </c>
      <c r="E75" s="14">
        <f>data!S61</f>
        <v>1083661.83</v>
      </c>
      <c r="F75" s="14">
        <f>data!T61</f>
        <v>0</v>
      </c>
      <c r="G75" s="14">
        <f>data!U61</f>
        <v>5395156.6399999987</v>
      </c>
      <c r="H75" s="14">
        <f>data!V61</f>
        <v>142014.87999999998</v>
      </c>
      <c r="I75" s="14">
        <f>data!W61</f>
        <v>743630.63500000001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898850</v>
      </c>
      <c r="D76" s="14">
        <f>data!R62</f>
        <v>123839</v>
      </c>
      <c r="E76" s="14">
        <f>data!S62</f>
        <v>295847</v>
      </c>
      <c r="F76" s="14">
        <f>data!T62</f>
        <v>0</v>
      </c>
      <c r="G76" s="14">
        <f>data!U62</f>
        <v>1381785</v>
      </c>
      <c r="H76" s="14">
        <f>data!V62</f>
        <v>41047</v>
      </c>
      <c r="I76" s="14">
        <f>data!W62</f>
        <v>109321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153092.54200000002</v>
      </c>
      <c r="H77" s="14">
        <f>data!V63</f>
        <v>2125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303361.62999999995</v>
      </c>
      <c r="D78" s="14">
        <f>data!R64</f>
        <v>399390.32999999996</v>
      </c>
      <c r="E78" s="14">
        <f>data!S64</f>
        <v>617588.31999999995</v>
      </c>
      <c r="F78" s="14">
        <f>data!T64</f>
        <v>0</v>
      </c>
      <c r="G78" s="14">
        <f>data!U64</f>
        <v>3429379.1799999992</v>
      </c>
      <c r="H78" s="14">
        <f>data!V64</f>
        <v>6548.7499999999991</v>
      </c>
      <c r="I78" s="14">
        <f>data!W64</f>
        <v>206061.81999999998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9246.89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15261.01</v>
      </c>
      <c r="D80" s="14">
        <f>data!R66</f>
        <v>29467.119999999999</v>
      </c>
      <c r="E80" s="14">
        <f>data!S66</f>
        <v>244959.2</v>
      </c>
      <c r="F80" s="14">
        <f>data!T66</f>
        <v>0</v>
      </c>
      <c r="G80" s="14">
        <f>data!U66</f>
        <v>4724133.6410000008</v>
      </c>
      <c r="H80" s="14">
        <f>data!V66</f>
        <v>975</v>
      </c>
      <c r="I80" s="14">
        <f>data!W66</f>
        <v>58081.630000000005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62588</v>
      </c>
      <c r="D81" s="14">
        <f>data!R67</f>
        <v>148038</v>
      </c>
      <c r="E81" s="14">
        <f>data!S67</f>
        <v>453763</v>
      </c>
      <c r="F81" s="14">
        <f>data!T67</f>
        <v>0</v>
      </c>
      <c r="G81" s="14">
        <f>data!U67</f>
        <v>605015</v>
      </c>
      <c r="H81" s="14">
        <f>data!V67</f>
        <v>15798</v>
      </c>
      <c r="I81" s="14">
        <f>data!W67</f>
        <v>210501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50113.73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17024.170000000002</v>
      </c>
      <c r="D83" s="14">
        <f>data!R69</f>
        <v>615</v>
      </c>
      <c r="E83" s="14">
        <f>data!S69</f>
        <v>6559.1900000000005</v>
      </c>
      <c r="F83" s="14">
        <f>data!T69</f>
        <v>0</v>
      </c>
      <c r="G83" s="14">
        <f>data!U69</f>
        <v>13174.84</v>
      </c>
      <c r="H83" s="14">
        <f>data!V69</f>
        <v>105</v>
      </c>
      <c r="I83" s="14">
        <f>data!W69</f>
        <v>8598.48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-662168.37</v>
      </c>
      <c r="H84" s="14">
        <f>-data!V70</f>
        <v>-6464.58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5202835.0200000005</v>
      </c>
      <c r="D85" s="14">
        <f>data!R71</f>
        <v>1301681.49</v>
      </c>
      <c r="E85" s="14">
        <f>data!S71</f>
        <v>2702378.54</v>
      </c>
      <c r="F85" s="14">
        <f>data!T71</f>
        <v>0</v>
      </c>
      <c r="G85" s="14">
        <f>data!U71</f>
        <v>15098929.093</v>
      </c>
      <c r="H85" s="14">
        <f>data!V71</f>
        <v>202149.05</v>
      </c>
      <c r="I85" s="14">
        <f>data!W71</f>
        <v>1336194.5649999999</v>
      </c>
    </row>
    <row r="86" spans="1:9" ht="20.100000000000001" customHeight="1" x14ac:dyDescent="0.25">
      <c r="A86" s="23">
        <v>17</v>
      </c>
      <c r="B86" s="14" t="s">
        <v>244</v>
      </c>
      <c r="C86" s="210"/>
      <c r="D86" s="210"/>
      <c r="E86" s="210"/>
      <c r="F86" s="210"/>
      <c r="G86" s="210"/>
      <c r="H86" s="210"/>
      <c r="I86" s="210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1495785</v>
      </c>
      <c r="D87" s="48">
        <f>+data!M683</f>
        <v>1356908</v>
      </c>
      <c r="E87" s="48">
        <f>+data!M684</f>
        <v>533238</v>
      </c>
      <c r="F87" s="48">
        <f>+data!M685</f>
        <v>0</v>
      </c>
      <c r="G87" s="48">
        <f>+data!M686</f>
        <v>5813658</v>
      </c>
      <c r="H87" s="48">
        <f>+data!M687</f>
        <v>98048</v>
      </c>
      <c r="I87" s="48">
        <f>+data!M688</f>
        <v>909004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7039834</v>
      </c>
      <c r="D88" s="14">
        <f>data!R73</f>
        <v>14617517</v>
      </c>
      <c r="E88" s="14">
        <f>data!S73</f>
        <v>0</v>
      </c>
      <c r="F88" s="14">
        <f>data!T73</f>
        <v>0</v>
      </c>
      <c r="G88" s="14">
        <f>data!U73</f>
        <v>53634946</v>
      </c>
      <c r="H88" s="14">
        <f>data!V73</f>
        <v>1245607</v>
      </c>
      <c r="I88" s="14">
        <f>data!W73</f>
        <v>5001024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9319859</v>
      </c>
      <c r="D89" s="14">
        <f>data!R74</f>
        <v>15504339</v>
      </c>
      <c r="E89" s="14">
        <f>data!S74</f>
        <v>0</v>
      </c>
      <c r="F89" s="14">
        <f>data!T74</f>
        <v>0</v>
      </c>
      <c r="G89" s="14">
        <f>data!U74</f>
        <v>43639217.840000004</v>
      </c>
      <c r="H89" s="14">
        <f>data!V74</f>
        <v>462989</v>
      </c>
      <c r="I89" s="14">
        <f>data!W74</f>
        <v>10411680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16359693</v>
      </c>
      <c r="D90" s="14">
        <f>data!R75</f>
        <v>30121856</v>
      </c>
      <c r="E90" s="14">
        <f>data!S75</f>
        <v>0</v>
      </c>
      <c r="F90" s="14">
        <f>data!T75</f>
        <v>0</v>
      </c>
      <c r="G90" s="14">
        <f>data!U75</f>
        <v>97274163.840000004</v>
      </c>
      <c r="H90" s="14">
        <f>data!V75</f>
        <v>1708596</v>
      </c>
      <c r="I90" s="14">
        <f>data!W75</f>
        <v>15412704</v>
      </c>
    </row>
    <row r="91" spans="1:9" ht="20.100000000000001" customHeight="1" x14ac:dyDescent="0.25">
      <c r="A91" s="23" t="s">
        <v>1185</v>
      </c>
      <c r="B91" s="60"/>
      <c r="C91" s="210"/>
      <c r="D91" s="210"/>
      <c r="E91" s="210"/>
      <c r="F91" s="210"/>
      <c r="G91" s="210"/>
      <c r="H91" s="210"/>
      <c r="I91" s="210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5118</v>
      </c>
      <c r="D92" s="14">
        <f>data!R76</f>
        <v>651</v>
      </c>
      <c r="E92" s="14">
        <f>data!S76</f>
        <v>10270</v>
      </c>
      <c r="F92" s="14">
        <f>data!T76</f>
        <v>0</v>
      </c>
      <c r="G92" s="14">
        <f>data!U76</f>
        <v>23623</v>
      </c>
      <c r="H92" s="14">
        <f>data!V76</f>
        <v>314</v>
      </c>
      <c r="I92" s="14">
        <f>data!W76</f>
        <v>5837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564</v>
      </c>
      <c r="D94" s="14">
        <f>data!R78</f>
        <v>72</v>
      </c>
      <c r="E94" s="14">
        <f>data!S78</f>
        <v>1131</v>
      </c>
      <c r="F94" s="14">
        <f>data!T78</f>
        <v>0</v>
      </c>
      <c r="G94" s="14">
        <f>data!U78</f>
        <v>2601</v>
      </c>
      <c r="H94" s="14">
        <f>data!V78</f>
        <v>35</v>
      </c>
      <c r="I94" s="14">
        <f>data!W78</f>
        <v>643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17102.98</v>
      </c>
      <c r="F95" s="14">
        <f>data!T79</f>
        <v>0</v>
      </c>
      <c r="G95" s="14">
        <f>data!U79</f>
        <v>2097</v>
      </c>
      <c r="H95" s="14">
        <f>data!V79</f>
        <v>0</v>
      </c>
      <c r="I95" s="14">
        <f>data!W79</f>
        <v>18338.98</v>
      </c>
    </row>
    <row r="96" spans="1:9" ht="20.100000000000001" customHeight="1" x14ac:dyDescent="0.25">
      <c r="A96" s="23">
        <v>26</v>
      </c>
      <c r="B96" s="14" t="s">
        <v>252</v>
      </c>
      <c r="C96" s="83">
        <f>data!Q80</f>
        <v>27.888538461538463</v>
      </c>
      <c r="D96" s="83">
        <f>data!R80</f>
        <v>0</v>
      </c>
      <c r="E96" s="83">
        <f>data!S80</f>
        <v>0</v>
      </c>
      <c r="F96" s="83">
        <f>data!T80</f>
        <v>0</v>
      </c>
      <c r="G96" s="83">
        <f>data!U80</f>
        <v>0</v>
      </c>
      <c r="H96" s="83">
        <f>data!V80</f>
        <v>0</v>
      </c>
      <c r="I96" s="83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6"/>
      <c r="B98" s="76"/>
      <c r="C98" s="76"/>
      <c r="D98" s="45"/>
      <c r="E98" s="76"/>
      <c r="F98" s="76"/>
      <c r="G98" s="76"/>
      <c r="H98" s="76"/>
      <c r="I98" s="167" t="s">
        <v>1199</v>
      </c>
    </row>
    <row r="99" spans="1:9" ht="20.100000000000001" customHeight="1" x14ac:dyDescent="0.25">
      <c r="A99" s="45"/>
      <c r="B99" s="76"/>
      <c r="C99" s="76"/>
      <c r="D99" s="76"/>
      <c r="E99" s="76"/>
      <c r="F99" s="76"/>
      <c r="G99" s="76"/>
      <c r="H99" s="76"/>
      <c r="I99" s="76"/>
    </row>
    <row r="100" spans="1:9" ht="20.100000000000001" customHeight="1" x14ac:dyDescent="0.25">
      <c r="A100" s="78" t="str">
        <f>"HOSPITAL NAME: "&amp;data!C84</f>
        <v>HOSPITAL NAME: EvergreenHealth</v>
      </c>
      <c r="B100" s="76"/>
      <c r="C100" s="76"/>
      <c r="D100" s="76"/>
      <c r="E100" s="76"/>
      <c r="F100" s="76"/>
      <c r="G100" s="79"/>
      <c r="H100" s="78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0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1"/>
      <c r="B103" s="82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8" t="s">
        <v>224</v>
      </c>
      <c r="D104" s="15" t="s">
        <v>1202</v>
      </c>
      <c r="E104" s="15" t="s">
        <v>1202</v>
      </c>
      <c r="F104" s="15" t="s">
        <v>1202</v>
      </c>
      <c r="G104" s="211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130386.44</v>
      </c>
      <c r="D105" s="14">
        <f>data!Y59</f>
        <v>356012.05</v>
      </c>
      <c r="E105" s="14">
        <f>data!Z59</f>
        <v>52817.56</v>
      </c>
      <c r="F105" s="14">
        <f>data!AA59</f>
        <v>14083.609999999999</v>
      </c>
      <c r="G105" s="211"/>
      <c r="H105" s="14">
        <f>data!AC59</f>
        <v>27204.33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14.294057692307693</v>
      </c>
      <c r="D106" s="26">
        <f>data!Y60</f>
        <v>132.59100961538462</v>
      </c>
      <c r="E106" s="26">
        <f>data!Z60</f>
        <v>20.30889423076923</v>
      </c>
      <c r="F106" s="26">
        <f>data!AA60</f>
        <v>3.1434278846153845</v>
      </c>
      <c r="G106" s="26">
        <f>data!AB60</f>
        <v>54.456086538461541</v>
      </c>
      <c r="H106" s="26">
        <f>data!AC60</f>
        <v>23.373086538461536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1233974.78</v>
      </c>
      <c r="D107" s="14">
        <f>data!Y61</f>
        <v>12621720.860000001</v>
      </c>
      <c r="E107" s="14">
        <f>data!Z61</f>
        <v>4115814.8200000003</v>
      </c>
      <c r="F107" s="14">
        <f>data!AA61</f>
        <v>414951.37</v>
      </c>
      <c r="G107" s="14">
        <f>data!AB61</f>
        <v>5492652.2799999993</v>
      </c>
      <c r="H107" s="14">
        <f>data!AC61</f>
        <v>2093467.9800000002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278738</v>
      </c>
      <c r="D108" s="14">
        <f>data!Y62</f>
        <v>2896237</v>
      </c>
      <c r="E108" s="14">
        <f>data!Z62</f>
        <v>650641</v>
      </c>
      <c r="F108" s="14">
        <f>data!AA62</f>
        <v>85930</v>
      </c>
      <c r="G108" s="14">
        <f>data!AB62</f>
        <v>1239596</v>
      </c>
      <c r="H108" s="14">
        <f>data!AC62</f>
        <v>508504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99758.92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414472.24999999994</v>
      </c>
      <c r="D110" s="14">
        <f>data!Y64</f>
        <v>5505979.9300000016</v>
      </c>
      <c r="E110" s="14">
        <f>data!Z64</f>
        <v>374746.22999999992</v>
      </c>
      <c r="F110" s="14">
        <f>data!AA64</f>
        <v>350558.48</v>
      </c>
      <c r="G110" s="14">
        <f>data!AB64</f>
        <v>16583251.699999997</v>
      </c>
      <c r="H110" s="14">
        <f>data!AC64</f>
        <v>304345.03999999998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14782.499999999998</v>
      </c>
      <c r="E111" s="14">
        <f>data!Z65</f>
        <v>2980.16</v>
      </c>
      <c r="F111" s="14">
        <f>data!AA65</f>
        <v>0</v>
      </c>
      <c r="G111" s="14">
        <f>data!AB65</f>
        <v>19.899999999999999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285513.88999999996</v>
      </c>
      <c r="D112" s="14">
        <f>data!Y66</f>
        <v>4255537.727</v>
      </c>
      <c r="E112" s="14">
        <f>data!Z66</f>
        <v>1465175.74</v>
      </c>
      <c r="F112" s="14">
        <f>data!AA66</f>
        <v>100069.51999999999</v>
      </c>
      <c r="G112" s="14">
        <f>data!AB66</f>
        <v>227150.41000000006</v>
      </c>
      <c r="H112" s="14">
        <f>data!AC66</f>
        <v>4528.4800000000005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164524</v>
      </c>
      <c r="D113" s="14">
        <f>data!Y67</f>
        <v>2430216</v>
      </c>
      <c r="E113" s="14">
        <f>data!Z67</f>
        <v>1426095</v>
      </c>
      <c r="F113" s="14">
        <f>data!AA67</f>
        <v>163067</v>
      </c>
      <c r="G113" s="14">
        <f>data!AB67</f>
        <v>199835</v>
      </c>
      <c r="H113" s="14">
        <f>data!AC67</f>
        <v>99179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408247.17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3441.25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2882.7400000000002</v>
      </c>
      <c r="D115" s="14">
        <f>data!Y69</f>
        <v>101202.90000000002</v>
      </c>
      <c r="E115" s="14">
        <f>data!Z69</f>
        <v>55732.840000000004</v>
      </c>
      <c r="F115" s="14">
        <f>data!AA69</f>
        <v>13103.43</v>
      </c>
      <c r="G115" s="14">
        <f>data!AB69</f>
        <v>23888.93</v>
      </c>
      <c r="H115" s="14">
        <f>data!AC69</f>
        <v>3224.95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-11606.5</v>
      </c>
      <c r="E116" s="14">
        <f>-data!Z70</f>
        <v>-110631.7</v>
      </c>
      <c r="F116" s="14">
        <f>-data!AA70</f>
        <v>0</v>
      </c>
      <c r="G116" s="14">
        <f>-data!AB70</f>
        <v>-6688.82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2380105.66</v>
      </c>
      <c r="D117" s="14">
        <f>data!Y71</f>
        <v>28322076.506999999</v>
      </c>
      <c r="E117" s="14">
        <f>data!Z71</f>
        <v>7980554.0899999999</v>
      </c>
      <c r="F117" s="14">
        <f>data!AA71</f>
        <v>1127679.8</v>
      </c>
      <c r="G117" s="14">
        <f>data!AB71</f>
        <v>23759705.399999995</v>
      </c>
      <c r="H117" s="14">
        <f>data!AC71</f>
        <v>3016690.7000000007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0"/>
      <c r="D118" s="210"/>
      <c r="E118" s="210"/>
      <c r="F118" s="210"/>
      <c r="G118" s="210"/>
      <c r="H118" s="210"/>
      <c r="I118" s="210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2798839</v>
      </c>
      <c r="D119" s="48">
        <f>+data!M690</f>
        <v>9928632</v>
      </c>
      <c r="E119" s="48">
        <f>+data!M691</f>
        <v>2304416</v>
      </c>
      <c r="F119" s="48">
        <f>+data!M692</f>
        <v>256783</v>
      </c>
      <c r="G119" s="48">
        <f>+data!M693</f>
        <v>6953188</v>
      </c>
      <c r="H119" s="48">
        <f>+data!M694</f>
        <v>990545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18487531</v>
      </c>
      <c r="D120" s="14">
        <f>data!Y73</f>
        <v>38924444</v>
      </c>
      <c r="E120" s="14">
        <f>data!Z73</f>
        <v>1045374</v>
      </c>
      <c r="F120" s="14">
        <f>data!AA73</f>
        <v>677645</v>
      </c>
      <c r="G120" s="14">
        <f>data!AB73</f>
        <v>58336329.590000004</v>
      </c>
      <c r="H120" s="14">
        <f>data!AC73</f>
        <v>15910502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43042102</v>
      </c>
      <c r="D121" s="14">
        <f>data!Y74</f>
        <v>116783545.44</v>
      </c>
      <c r="E121" s="14">
        <f>data!Z74</f>
        <v>30230438</v>
      </c>
      <c r="F121" s="14">
        <f>data!AA74</f>
        <v>2859657</v>
      </c>
      <c r="G121" s="14">
        <f>data!AB74</f>
        <v>59509506.810000002</v>
      </c>
      <c r="H121" s="14">
        <f>data!AC74</f>
        <v>567324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61529633</v>
      </c>
      <c r="D122" s="14">
        <f>data!Y75</f>
        <v>155707989.44</v>
      </c>
      <c r="E122" s="14">
        <f>data!Z75</f>
        <v>31275812</v>
      </c>
      <c r="F122" s="14">
        <f>data!AA75</f>
        <v>3537302</v>
      </c>
      <c r="G122" s="14">
        <f>data!AB75</f>
        <v>117845836.40000001</v>
      </c>
      <c r="H122" s="14">
        <f>data!AC75</f>
        <v>16477826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0"/>
      <c r="D123" s="210"/>
      <c r="E123" s="210"/>
      <c r="F123" s="210"/>
      <c r="G123" s="210"/>
      <c r="H123" s="210"/>
      <c r="I123" s="210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3166</v>
      </c>
      <c r="D124" s="14">
        <f>data!Y76</f>
        <v>41980</v>
      </c>
      <c r="E124" s="14">
        <f>data!Z76</f>
        <v>16493</v>
      </c>
      <c r="F124" s="14">
        <f>data!AA76</f>
        <v>1139</v>
      </c>
      <c r="G124" s="14">
        <f>data!AB76</f>
        <v>7372</v>
      </c>
      <c r="H124" s="14">
        <f>data!AC76</f>
        <v>2640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46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349</v>
      </c>
      <c r="D126" s="14">
        <f>data!Y78</f>
        <v>4622</v>
      </c>
      <c r="E126" s="14">
        <f>data!Z78</f>
        <v>1816</v>
      </c>
      <c r="F126" s="14">
        <f>data!AA78</f>
        <v>125</v>
      </c>
      <c r="G126" s="14">
        <f>data!AB78</f>
        <v>812</v>
      </c>
      <c r="H126" s="14">
        <f>data!AC78</f>
        <v>291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239735.3</v>
      </c>
      <c r="E127" s="14">
        <f>data!Z79</f>
        <v>40634.49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19.828793269230768</v>
      </c>
      <c r="E128" s="26">
        <f>data!Z80</f>
        <v>4.0809326923076927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6"/>
      <c r="B130" s="76"/>
      <c r="C130" s="76"/>
      <c r="D130" s="45"/>
      <c r="E130" s="76"/>
      <c r="F130" s="76"/>
      <c r="G130" s="76"/>
      <c r="H130" s="76"/>
      <c r="I130" s="167" t="s">
        <v>1203</v>
      </c>
    </row>
    <row r="131" spans="1:9" ht="20.100000000000001" customHeight="1" x14ac:dyDescent="0.25">
      <c r="A131" s="45"/>
      <c r="B131" s="76"/>
      <c r="C131" s="76"/>
      <c r="D131" s="76"/>
      <c r="E131" s="76"/>
      <c r="F131" s="76"/>
      <c r="G131" s="76"/>
      <c r="H131" s="76"/>
      <c r="I131" s="76"/>
    </row>
    <row r="132" spans="1:9" ht="20.100000000000001" customHeight="1" x14ac:dyDescent="0.25">
      <c r="A132" s="78" t="str">
        <f>"HOSPITAL NAME: "&amp;data!C84</f>
        <v>HOSPITAL NAME: EvergreenHealth</v>
      </c>
      <c r="B132" s="76"/>
      <c r="C132" s="76"/>
      <c r="D132" s="76"/>
      <c r="E132" s="76"/>
      <c r="F132" s="76"/>
      <c r="G132" s="79"/>
      <c r="H132" s="78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0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1"/>
      <c r="B135" s="82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8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83563.179999999993</v>
      </c>
      <c r="D137" s="14">
        <f>data!AF59</f>
        <v>0</v>
      </c>
      <c r="E137" s="14">
        <f>data!AG59</f>
        <v>57153</v>
      </c>
      <c r="F137" s="14">
        <f>data!AH59</f>
        <v>0</v>
      </c>
      <c r="G137" s="14">
        <f>data!AI59</f>
        <v>0</v>
      </c>
      <c r="H137" s="14">
        <f>data!AJ59</f>
        <v>274894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62.279850961538457</v>
      </c>
      <c r="D138" s="26">
        <f>data!AF60</f>
        <v>0</v>
      </c>
      <c r="E138" s="26">
        <f>data!AG60</f>
        <v>115.31404326923078</v>
      </c>
      <c r="F138" s="26">
        <f>data!AH60</f>
        <v>0</v>
      </c>
      <c r="G138" s="26">
        <f>data!AI60</f>
        <v>0</v>
      </c>
      <c r="H138" s="26">
        <f>data!AJ60</f>
        <v>478.13485096153846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5117211.57</v>
      </c>
      <c r="D139" s="14">
        <f>data!AF61</f>
        <v>0</v>
      </c>
      <c r="E139" s="14">
        <f>data!AG61</f>
        <v>9565402.2899999991</v>
      </c>
      <c r="F139" s="14">
        <f>data!AH61</f>
        <v>0</v>
      </c>
      <c r="G139" s="14">
        <f>data!AI61</f>
        <v>0</v>
      </c>
      <c r="H139" s="14">
        <f>data!AJ61</f>
        <v>69801601.974999994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1178204</v>
      </c>
      <c r="D140" s="14">
        <f>data!AF62</f>
        <v>0</v>
      </c>
      <c r="E140" s="14">
        <f>data!AG62</f>
        <v>2516636</v>
      </c>
      <c r="F140" s="14">
        <f>data!AH62</f>
        <v>0</v>
      </c>
      <c r="G140" s="14">
        <f>data!AI62</f>
        <v>0</v>
      </c>
      <c r="H140" s="14">
        <f>data!AJ62</f>
        <v>12215118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635674.56999999995</v>
      </c>
      <c r="F141" s="14">
        <f>data!AH63</f>
        <v>0</v>
      </c>
      <c r="G141" s="14">
        <f>data!AI63</f>
        <v>0</v>
      </c>
      <c r="H141" s="14">
        <f>data!AJ63</f>
        <v>561627.51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113925.67</v>
      </c>
      <c r="D142" s="14">
        <f>data!AF64</f>
        <v>0</v>
      </c>
      <c r="E142" s="14">
        <f>data!AG64</f>
        <v>1321878.94</v>
      </c>
      <c r="F142" s="14">
        <f>data!AH64</f>
        <v>0</v>
      </c>
      <c r="G142" s="14">
        <f>data!AI64</f>
        <v>0</v>
      </c>
      <c r="H142" s="14">
        <f>data!AJ64</f>
        <v>5338277.2200000016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433.85</v>
      </c>
      <c r="D143" s="14">
        <f>data!AF65</f>
        <v>0</v>
      </c>
      <c r="E143" s="14">
        <f>data!AG65</f>
        <v>28078.800000000003</v>
      </c>
      <c r="F143" s="14">
        <f>data!AH65</f>
        <v>0</v>
      </c>
      <c r="G143" s="14">
        <f>data!AI65</f>
        <v>0</v>
      </c>
      <c r="H143" s="14">
        <f>data!AJ65</f>
        <v>147180.78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38749.299999999996</v>
      </c>
      <c r="D144" s="14">
        <f>data!AF66</f>
        <v>0</v>
      </c>
      <c r="E144" s="14">
        <f>data!AG66</f>
        <v>470262.33599999995</v>
      </c>
      <c r="F144" s="14">
        <f>data!AH66</f>
        <v>0</v>
      </c>
      <c r="G144" s="14">
        <f>data!AI66</f>
        <v>0</v>
      </c>
      <c r="H144" s="14">
        <f>data!AJ66</f>
        <v>1538536.22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228439</v>
      </c>
      <c r="D145" s="14">
        <f>data!AF67</f>
        <v>0</v>
      </c>
      <c r="E145" s="14">
        <f>data!AG67</f>
        <v>864552</v>
      </c>
      <c r="F145" s="14">
        <f>data!AH67</f>
        <v>0</v>
      </c>
      <c r="G145" s="14">
        <f>data!AI67</f>
        <v>0</v>
      </c>
      <c r="H145" s="14">
        <f>data!AJ67</f>
        <v>3387940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149689.93</v>
      </c>
      <c r="D146" s="14">
        <f>data!AF68</f>
        <v>0</v>
      </c>
      <c r="E146" s="14">
        <f>data!AG68</f>
        <v>592784.81000000006</v>
      </c>
      <c r="F146" s="14">
        <f>data!AH68</f>
        <v>0</v>
      </c>
      <c r="G146" s="14">
        <f>data!AI68</f>
        <v>0</v>
      </c>
      <c r="H146" s="14">
        <f>data!AJ68</f>
        <v>179937.39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21254.609999999997</v>
      </c>
      <c r="D147" s="14">
        <f>data!AF69</f>
        <v>0</v>
      </c>
      <c r="E147" s="14">
        <f>data!AG69</f>
        <v>39172.629999999997</v>
      </c>
      <c r="F147" s="14">
        <f>data!AH69</f>
        <v>0</v>
      </c>
      <c r="G147" s="14">
        <f>data!AI69</f>
        <v>0</v>
      </c>
      <c r="H147" s="14">
        <f>data!AJ69</f>
        <v>1225940.8800000001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-14267.78</v>
      </c>
      <c r="D148" s="14">
        <f>-data!AF70</f>
        <v>0</v>
      </c>
      <c r="E148" s="14">
        <f>-data!AG70</f>
        <v>-1604.34</v>
      </c>
      <c r="F148" s="14">
        <f>-data!AH70</f>
        <v>0</v>
      </c>
      <c r="G148" s="14">
        <f>-data!AI70</f>
        <v>0</v>
      </c>
      <c r="H148" s="14">
        <f>-data!AJ70</f>
        <v>-2220716.42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6833640.1499999994</v>
      </c>
      <c r="D149" s="14">
        <f>data!AF71</f>
        <v>0</v>
      </c>
      <c r="E149" s="14">
        <f>data!AG71</f>
        <v>16032838.036</v>
      </c>
      <c r="F149" s="14">
        <f>data!AH71</f>
        <v>0</v>
      </c>
      <c r="G149" s="14">
        <f>data!AI71</f>
        <v>0</v>
      </c>
      <c r="H149" s="14">
        <f>data!AJ71</f>
        <v>92175443.554999992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0"/>
      <c r="D150" s="210"/>
      <c r="E150" s="210"/>
      <c r="F150" s="210"/>
      <c r="G150" s="210"/>
      <c r="H150" s="210"/>
      <c r="I150" s="210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2375877</v>
      </c>
      <c r="D151" s="48">
        <f>+data!M697</f>
        <v>0</v>
      </c>
      <c r="E151" s="48">
        <f>+data!M698</f>
        <v>10267951</v>
      </c>
      <c r="F151" s="48">
        <f>+data!M699</f>
        <v>0</v>
      </c>
      <c r="G151" s="48">
        <f>+data!M700</f>
        <v>0</v>
      </c>
      <c r="H151" s="48">
        <f>+data!M701</f>
        <v>18627102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13855169.52</v>
      </c>
      <c r="D152" s="14">
        <f>data!AF73</f>
        <v>0</v>
      </c>
      <c r="E152" s="14">
        <f>data!AG73</f>
        <v>34608944.039999999</v>
      </c>
      <c r="F152" s="14">
        <f>data!AH73</f>
        <v>0</v>
      </c>
      <c r="G152" s="14">
        <f>data!AI73</f>
        <v>0</v>
      </c>
      <c r="H152" s="14">
        <f>data!AJ73</f>
        <v>26702068.879999999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17954819.969999999</v>
      </c>
      <c r="D153" s="14">
        <f>data!AF74</f>
        <v>0</v>
      </c>
      <c r="E153" s="14">
        <f>data!AG74</f>
        <v>127345404.91</v>
      </c>
      <c r="F153" s="14">
        <f>data!AH74</f>
        <v>0</v>
      </c>
      <c r="G153" s="14">
        <f>data!AI74</f>
        <v>0</v>
      </c>
      <c r="H153" s="14">
        <f>data!AJ74</f>
        <v>153565683.57999998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31809989.489999998</v>
      </c>
      <c r="D154" s="14">
        <f>data!AF75</f>
        <v>0</v>
      </c>
      <c r="E154" s="14">
        <f>data!AG75</f>
        <v>161954348.94999999</v>
      </c>
      <c r="F154" s="14">
        <f>data!AH75</f>
        <v>0</v>
      </c>
      <c r="G154" s="14">
        <f>data!AI75</f>
        <v>0</v>
      </c>
      <c r="H154" s="14">
        <f>data!AJ75</f>
        <v>180267752.45999998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0"/>
      <c r="D155" s="210"/>
      <c r="E155" s="210"/>
      <c r="F155" s="210"/>
      <c r="G155" s="210"/>
      <c r="H155" s="210"/>
      <c r="I155" s="210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17513</v>
      </c>
      <c r="D156" s="14">
        <f>data!AF76</f>
        <v>0</v>
      </c>
      <c r="E156" s="14">
        <f>data!AG76</f>
        <v>55057</v>
      </c>
      <c r="F156" s="14">
        <f>data!AH76</f>
        <v>0</v>
      </c>
      <c r="G156" s="14">
        <f>data!AI76</f>
        <v>0</v>
      </c>
      <c r="H156" s="14">
        <f>data!AJ76</f>
        <v>144209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3011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1928</v>
      </c>
      <c r="D158" s="14">
        <f>data!AF78</f>
        <v>0</v>
      </c>
      <c r="E158" s="14">
        <f>data!AG78</f>
        <v>6062</v>
      </c>
      <c r="F158" s="14">
        <f>data!AH78</f>
        <v>0</v>
      </c>
      <c r="G158" s="14">
        <f>data!AI78</f>
        <v>0</v>
      </c>
      <c r="H158" s="14">
        <f>data!AJ78</f>
        <v>15878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310593.95</v>
      </c>
      <c r="F159" s="14">
        <f>data!AH79</f>
        <v>0</v>
      </c>
      <c r="G159" s="14">
        <f>data!AI79</f>
        <v>0</v>
      </c>
      <c r="H159" s="14">
        <f>data!AJ79</f>
        <v>72569.72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64.93960096153846</v>
      </c>
      <c r="F160" s="26">
        <f>data!AH80</f>
        <v>0</v>
      </c>
      <c r="G160" s="26">
        <f>data!AI80</f>
        <v>0</v>
      </c>
      <c r="H160" s="26">
        <f>data!AJ80</f>
        <v>57.287937499999998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6"/>
      <c r="B162" s="76"/>
      <c r="C162" s="76"/>
      <c r="D162" s="45"/>
      <c r="E162" s="76"/>
      <c r="F162" s="76"/>
      <c r="G162" s="76"/>
      <c r="H162" s="76"/>
      <c r="I162" s="167" t="s">
        <v>1206</v>
      </c>
    </row>
    <row r="163" spans="1:9" ht="20.100000000000001" customHeight="1" x14ac:dyDescent="0.25">
      <c r="A163" s="45"/>
      <c r="B163" s="76"/>
      <c r="C163" s="76"/>
      <c r="D163" s="76"/>
      <c r="E163" s="76"/>
      <c r="F163" s="76"/>
      <c r="G163" s="76"/>
      <c r="H163" s="76"/>
      <c r="I163" s="76"/>
    </row>
    <row r="164" spans="1:9" ht="20.100000000000001" customHeight="1" x14ac:dyDescent="0.25">
      <c r="A164" s="78" t="str">
        <f>"HOSPITAL NAME: "&amp;data!C84</f>
        <v>HOSPITAL NAME: EvergreenHealth</v>
      </c>
      <c r="B164" s="76"/>
      <c r="C164" s="76"/>
      <c r="D164" s="76"/>
      <c r="E164" s="76"/>
      <c r="F164" s="76"/>
      <c r="G164" s="79"/>
      <c r="H164" s="78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0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1"/>
      <c r="B167" s="82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7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328699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382.80062019230769</v>
      </c>
      <c r="H170" s="26">
        <f>data!AQ60</f>
        <v>0</v>
      </c>
      <c r="I170" s="26">
        <f>data!AR60</f>
        <v>443.82726923076899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42343170.471000001</v>
      </c>
      <c r="H171" s="14">
        <f>data!AQ61</f>
        <v>0</v>
      </c>
      <c r="I171" s="14">
        <f>data!AR61</f>
        <v>43054933.289999999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8978387</v>
      </c>
      <c r="H172" s="14">
        <f>data!AQ62</f>
        <v>0</v>
      </c>
      <c r="I172" s="14">
        <f>data!AR62</f>
        <v>10052709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3520974.25</v>
      </c>
      <c r="H173" s="14">
        <f>data!AQ63</f>
        <v>0</v>
      </c>
      <c r="I173" s="14">
        <f>data!AR63</f>
        <v>41919.990000000005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4809864.9899999993</v>
      </c>
      <c r="H174" s="14">
        <f>data!AQ64</f>
        <v>0</v>
      </c>
      <c r="I174" s="14">
        <f>data!AR64</f>
        <v>3499298.4619999998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313032.39</v>
      </c>
      <c r="H175" s="14">
        <f>data!AQ65</f>
        <v>0</v>
      </c>
      <c r="I175" s="14">
        <f>data!AR65</f>
        <v>338656.70999999996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1553955.62</v>
      </c>
      <c r="H176" s="14">
        <f>data!AQ66</f>
        <v>0</v>
      </c>
      <c r="I176" s="14">
        <f>data!AR66</f>
        <v>3237556.56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2823426</v>
      </c>
      <c r="H177" s="14">
        <f>data!AQ67</f>
        <v>0</v>
      </c>
      <c r="I177" s="14">
        <f>data!AR67</f>
        <v>101513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5695331.8500000006</v>
      </c>
      <c r="H178" s="14">
        <f>data!AQ68</f>
        <v>0</v>
      </c>
      <c r="I178" s="14">
        <f>data!AR68</f>
        <v>1582189.85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986516.12000000011</v>
      </c>
      <c r="H179" s="14">
        <f>data!AQ69</f>
        <v>0</v>
      </c>
      <c r="I179" s="14">
        <f>data!AR69</f>
        <v>1468970.31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-2939951.58</v>
      </c>
      <c r="H180" s="14">
        <f>-data!AQ70</f>
        <v>0</v>
      </c>
      <c r="I180" s="14">
        <f>-data!AR70</f>
        <v>-105987.7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68084707.111000001</v>
      </c>
      <c r="H181" s="14">
        <f>data!AQ71</f>
        <v>0</v>
      </c>
      <c r="I181" s="14">
        <f>data!AR71</f>
        <v>63271759.472000003</v>
      </c>
    </row>
    <row r="182" spans="1:9" ht="20.100000000000001" customHeight="1" x14ac:dyDescent="0.25">
      <c r="A182" s="23">
        <v>17</v>
      </c>
      <c r="B182" s="14" t="s">
        <v>244</v>
      </c>
      <c r="C182" s="210"/>
      <c r="D182" s="210"/>
      <c r="E182" s="210"/>
      <c r="F182" s="210"/>
      <c r="G182" s="210"/>
      <c r="H182" s="210"/>
      <c r="I182" s="210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14484429</v>
      </c>
      <c r="H183" s="48">
        <f>+data!M708</f>
        <v>0</v>
      </c>
      <c r="I183" s="48">
        <f>+data!M709</f>
        <v>12162262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4275755.88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102093918.63999999</v>
      </c>
      <c r="H185" s="14">
        <f>data!AQ74</f>
        <v>0</v>
      </c>
      <c r="I185" s="14">
        <f>data!AR74</f>
        <v>126917186.31999999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106369674.51999998</v>
      </c>
      <c r="H186" s="14">
        <f>data!AQ75</f>
        <v>0</v>
      </c>
      <c r="I186" s="14">
        <f>data!AR75</f>
        <v>126917186.31999999</v>
      </c>
    </row>
    <row r="187" spans="1:9" ht="20.100000000000001" customHeight="1" x14ac:dyDescent="0.25">
      <c r="A187" s="23" t="s">
        <v>1185</v>
      </c>
      <c r="B187" s="60"/>
      <c r="C187" s="210"/>
      <c r="D187" s="210"/>
      <c r="E187" s="210"/>
      <c r="F187" s="210"/>
      <c r="G187" s="210"/>
      <c r="H187" s="210"/>
      <c r="I187" s="210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173508</v>
      </c>
      <c r="H188" s="14">
        <f>data!AQ76</f>
        <v>0</v>
      </c>
      <c r="I188" s="14">
        <f>data!AR76</f>
        <v>19432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19104</v>
      </c>
      <c r="H190" s="14">
        <f>data!AQ78</f>
        <v>0</v>
      </c>
      <c r="I190" s="14">
        <f>data!AR78</f>
        <v>2140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13.274889423076923</v>
      </c>
      <c r="H192" s="26">
        <f>data!AQ80</f>
        <v>0</v>
      </c>
      <c r="I192" s="26">
        <f>data!AR80</f>
        <v>162.151552884615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6"/>
      <c r="B194" s="76"/>
      <c r="C194" s="76"/>
      <c r="D194" s="45"/>
      <c r="E194" s="76"/>
      <c r="F194" s="76"/>
      <c r="G194" s="76"/>
      <c r="H194" s="76"/>
      <c r="I194" s="167" t="s">
        <v>1210</v>
      </c>
    </row>
    <row r="195" spans="1:9" ht="20.100000000000001" customHeight="1" x14ac:dyDescent="0.25">
      <c r="A195" s="45"/>
      <c r="B195" s="76"/>
      <c r="C195" s="76"/>
      <c r="D195" s="76"/>
      <c r="E195" s="76"/>
      <c r="F195" s="76"/>
      <c r="G195" s="76"/>
      <c r="H195" s="76"/>
      <c r="I195" s="76"/>
    </row>
    <row r="196" spans="1:9" ht="20.100000000000001" customHeight="1" x14ac:dyDescent="0.25">
      <c r="A196" s="78" t="str">
        <f>"HOSPITAL NAME: "&amp;data!C84</f>
        <v>HOSPITAL NAME: EvergreenHealth</v>
      </c>
      <c r="B196" s="76"/>
      <c r="C196" s="76"/>
      <c r="D196" s="76"/>
      <c r="E196" s="76"/>
      <c r="F196" s="76"/>
      <c r="G196" s="79"/>
      <c r="H196" s="78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0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1"/>
      <c r="B199" s="82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1"/>
      <c r="G200" s="211"/>
      <c r="H200" s="211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1"/>
      <c r="G201" s="211"/>
      <c r="H201" s="211"/>
      <c r="I201" s="14">
        <f>data!AY59</f>
        <v>0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23.373355769230766</v>
      </c>
      <c r="G202" s="26">
        <f>data!AW60</f>
        <v>10.74773076923077</v>
      </c>
      <c r="H202" s="26">
        <f>data!AX60</f>
        <v>1.9350961538461539E-2</v>
      </c>
      <c r="I202" s="26">
        <f>data!AY60</f>
        <v>0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2326464.1699999995</v>
      </c>
      <c r="G203" s="14">
        <f>data!AW61</f>
        <v>755465.34000000008</v>
      </c>
      <c r="H203" s="14">
        <f>data!AX61</f>
        <v>1158.3599999999999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551483</v>
      </c>
      <c r="G204" s="14">
        <f>data!AW62</f>
        <v>193565</v>
      </c>
      <c r="H204" s="14">
        <f>data!AX62</f>
        <v>2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-55</v>
      </c>
      <c r="G205" s="14">
        <f>data!AW63</f>
        <v>345915.56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4919734.5199999996</v>
      </c>
      <c r="G206" s="14">
        <f>data!AW64</f>
        <v>33140.800000000003</v>
      </c>
      <c r="H206" s="14">
        <f>data!AX64</f>
        <v>233331.85</v>
      </c>
      <c r="I206" s="14">
        <f>data!AY64</f>
        <v>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4955.6400000000003</v>
      </c>
      <c r="G207" s="14">
        <f>data!AW65</f>
        <v>594.57999999999993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208531.09999999998</v>
      </c>
      <c r="G208" s="14">
        <f>data!AW66</f>
        <v>46272.289999999994</v>
      </c>
      <c r="H208" s="14">
        <f>data!AX66</f>
        <v>2327458.3220000002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271858</v>
      </c>
      <c r="G209" s="14">
        <f>data!AW67</f>
        <v>30207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1293018.45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6053.07</v>
      </c>
      <c r="G211" s="14">
        <f>data!AW69</f>
        <v>48703.44999999999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-5189260.9800000004</v>
      </c>
      <c r="G212" s="14">
        <f>-data!AW70</f>
        <v>-1633411.169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3099763.5199999986</v>
      </c>
      <c r="G213" s="14">
        <f>data!AW71</f>
        <v>-179547.14899999974</v>
      </c>
      <c r="H213" s="14">
        <f>data!AX71</f>
        <v>3854968.9819999998</v>
      </c>
      <c r="I213" s="14">
        <f>data!AY71</f>
        <v>0</v>
      </c>
    </row>
    <row r="214" spans="1:9" ht="20.100000000000001" customHeight="1" x14ac:dyDescent="0.25">
      <c r="A214" s="23">
        <v>17</v>
      </c>
      <c r="B214" s="14" t="s">
        <v>244</v>
      </c>
      <c r="C214" s="210"/>
      <c r="D214" s="210"/>
      <c r="E214" s="210"/>
      <c r="F214" s="210"/>
      <c r="G214" s="210"/>
      <c r="H214" s="210"/>
      <c r="I214" s="210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1992333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2574879.9700000002</v>
      </c>
      <c r="G216" s="212" t="str">
        <f>IF(data!AW73&gt;0,data!AW73,"")</f>
        <v>x</v>
      </c>
      <c r="H216" s="212" t="str">
        <f>IF(data!AX73&gt;0,data!AX73,"")</f>
        <v>x</v>
      </c>
      <c r="I216" s="212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10724757.810000001</v>
      </c>
      <c r="G217" s="212" t="str">
        <f>IF(data!AW74&gt;0,data!AW74,"")</f>
        <v>x</v>
      </c>
      <c r="H217" s="212" t="str">
        <f>IF(data!AX74&gt;0,data!AX74,"")</f>
        <v>x</v>
      </c>
      <c r="I217" s="212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13299637.780000001</v>
      </c>
      <c r="G218" s="212" t="str">
        <f>IF(data!AW75&gt;0,data!AW75,"")</f>
        <v>x</v>
      </c>
      <c r="H218" s="212" t="str">
        <f>IF(data!AX75&gt;0,data!AX75,"")</f>
        <v>x</v>
      </c>
      <c r="I218" s="212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0"/>
      <c r="D219" s="210"/>
      <c r="E219" s="210"/>
      <c r="F219" s="210"/>
      <c r="G219" s="210"/>
      <c r="H219" s="210"/>
      <c r="I219" s="210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13015</v>
      </c>
      <c r="G220" s="14">
        <f>data!AW76</f>
        <v>3712</v>
      </c>
      <c r="H220" s="14">
        <f>data!AX76</f>
        <v>0</v>
      </c>
      <c r="I220" s="84">
        <f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2" t="str">
        <f>IF(data!AX77&gt;0,data!AX77,"")</f>
        <v>x</v>
      </c>
      <c r="I221" s="212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1433</v>
      </c>
      <c r="G222" s="14">
        <f>data!AW78</f>
        <v>409</v>
      </c>
      <c r="H222" s="212" t="str">
        <f>IF(data!AX78&gt;0,data!AX78,"")</f>
        <v>x</v>
      </c>
      <c r="I222" s="212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42680.69</v>
      </c>
      <c r="G223" s="14">
        <f>data!AW79</f>
        <v>0</v>
      </c>
      <c r="H223" s="212" t="str">
        <f>IF(data!AX79&gt;0,data!AX79,"")</f>
        <v>x</v>
      </c>
      <c r="I223" s="212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62.591110576923072</v>
      </c>
      <c r="G224" s="212" t="str">
        <f>IF(data!AW80&gt;0,data!AW80,"")</f>
        <v>x</v>
      </c>
      <c r="H224" s="212" t="str">
        <f>IF(data!AX80&gt;0,data!AX80,"")</f>
        <v>x</v>
      </c>
      <c r="I224" s="212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6"/>
      <c r="B226" s="76"/>
      <c r="C226" s="76"/>
      <c r="D226" s="45"/>
      <c r="E226" s="76"/>
      <c r="F226" s="76"/>
      <c r="G226" s="76"/>
      <c r="H226" s="76"/>
      <c r="I226" s="167" t="s">
        <v>1214</v>
      </c>
    </row>
    <row r="227" spans="1:9" ht="20.100000000000001" customHeight="1" x14ac:dyDescent="0.25">
      <c r="A227" s="45"/>
      <c r="B227" s="76"/>
      <c r="C227" s="76"/>
      <c r="D227" s="76"/>
      <c r="E227" s="76"/>
      <c r="F227" s="76"/>
      <c r="G227" s="76"/>
      <c r="H227" s="76"/>
      <c r="I227" s="76"/>
    </row>
    <row r="228" spans="1:9" ht="20.100000000000001" customHeight="1" x14ac:dyDescent="0.25">
      <c r="A228" s="78" t="str">
        <f>"HOSPITAL NAME: "&amp;data!C84</f>
        <v>HOSPITAL NAME: EvergreenHealth</v>
      </c>
      <c r="B228" s="76"/>
      <c r="C228" s="76"/>
      <c r="D228" s="76"/>
      <c r="E228" s="76"/>
      <c r="F228" s="76"/>
      <c r="G228" s="79"/>
      <c r="H228" s="78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0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1"/>
      <c r="B231" s="82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1"/>
      <c r="F232" s="211"/>
      <c r="G232" s="211"/>
      <c r="H232" s="15" t="s">
        <v>232</v>
      </c>
      <c r="I232" s="211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795431.23</v>
      </c>
      <c r="D233" s="14">
        <f>data!BA59</f>
        <v>0</v>
      </c>
      <c r="E233" s="211"/>
      <c r="F233" s="211"/>
      <c r="G233" s="211"/>
      <c r="H233" s="14">
        <f>data!BE59</f>
        <v>782365</v>
      </c>
      <c r="I233" s="211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64.099437500000008</v>
      </c>
      <c r="D234" s="26">
        <f>data!BA60</f>
        <v>5.6578557692307694</v>
      </c>
      <c r="E234" s="26">
        <f>data!BB60</f>
        <v>0</v>
      </c>
      <c r="F234" s="26">
        <f>data!BC60</f>
        <v>7.1694182692307686</v>
      </c>
      <c r="G234" s="26">
        <f>data!BD60</f>
        <v>33.097125000000005</v>
      </c>
      <c r="H234" s="26">
        <f>data!BE60</f>
        <v>46.672697115384608</v>
      </c>
      <c r="I234" s="26">
        <f>data!BF60</f>
        <v>100.92447115384617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2794206.98</v>
      </c>
      <c r="D235" s="14">
        <f>data!BA61</f>
        <v>261985.49000000002</v>
      </c>
      <c r="E235" s="14">
        <f>data!BB61</f>
        <v>0</v>
      </c>
      <c r="F235" s="14">
        <f>data!BC61</f>
        <v>319775.44999999995</v>
      </c>
      <c r="G235" s="14">
        <f>data!BD61</f>
        <v>1905718.0600000003</v>
      </c>
      <c r="H235" s="14">
        <f>data!BE61</f>
        <v>3105491.1999999997</v>
      </c>
      <c r="I235" s="14">
        <f>data!BF61</f>
        <v>4404195.95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967247</v>
      </c>
      <c r="D236" s="14">
        <f>data!BA62</f>
        <v>89037</v>
      </c>
      <c r="E236" s="14">
        <f>data!BB62</f>
        <v>0</v>
      </c>
      <c r="F236" s="14">
        <f>data!BC62</f>
        <v>98179</v>
      </c>
      <c r="G236" s="14">
        <f>data!BD62</f>
        <v>574981</v>
      </c>
      <c r="H236" s="14">
        <f>data!BE62</f>
        <v>912182</v>
      </c>
      <c r="I236" s="14">
        <f>data!BF62</f>
        <v>1571256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337.5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1685366.0300000003</v>
      </c>
      <c r="D238" s="14">
        <f>data!BA64</f>
        <v>35638.43</v>
      </c>
      <c r="E238" s="14">
        <f>data!BB64</f>
        <v>24.02</v>
      </c>
      <c r="F238" s="14">
        <f>data!BC64</f>
        <v>4277.57</v>
      </c>
      <c r="G238" s="14">
        <f>data!BD64</f>
        <v>43035.849999999991</v>
      </c>
      <c r="H238" s="14">
        <f>data!BE64</f>
        <v>536729.92000000004</v>
      </c>
      <c r="I238" s="14">
        <f>data!BF64</f>
        <v>355854.32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407.53</v>
      </c>
      <c r="H239" s="14">
        <f>data!BE65</f>
        <v>3871409.4499999997</v>
      </c>
      <c r="I239" s="14">
        <f>data!BF65</f>
        <v>456141.88999999996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137596.96000000002</v>
      </c>
      <c r="D240" s="14">
        <f>data!BA66</f>
        <v>-21433.52</v>
      </c>
      <c r="E240" s="14">
        <f>data!BB66</f>
        <v>233970.83</v>
      </c>
      <c r="F240" s="14">
        <f>data!BC66</f>
        <v>736.41000000000008</v>
      </c>
      <c r="G240" s="14">
        <f>data!BD66</f>
        <v>23490.2</v>
      </c>
      <c r="H240" s="14">
        <f>data!BE66</f>
        <v>3085291.46</v>
      </c>
      <c r="I240" s="14">
        <f>data!BF66</f>
        <v>-1009777.94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767044</v>
      </c>
      <c r="D241" s="14">
        <f>data!BA67</f>
        <v>8492</v>
      </c>
      <c r="E241" s="14">
        <f>data!BB67</f>
        <v>0</v>
      </c>
      <c r="F241" s="14">
        <f>data!BC67</f>
        <v>20785</v>
      </c>
      <c r="G241" s="14">
        <f>data!BD67</f>
        <v>77447</v>
      </c>
      <c r="H241" s="14">
        <f>data!BE67</f>
        <v>6391240</v>
      </c>
      <c r="I241" s="14">
        <f>data!BF67</f>
        <v>47011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8564.14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3511441.94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269.5</v>
      </c>
      <c r="D243" s="14">
        <f>data!BA69</f>
        <v>0</v>
      </c>
      <c r="E243" s="14">
        <f>data!BB69</f>
        <v>6531.49</v>
      </c>
      <c r="F243" s="14">
        <f>data!BC69</f>
        <v>4172</v>
      </c>
      <c r="G243" s="14">
        <f>data!BD69</f>
        <v>169972.35</v>
      </c>
      <c r="H243" s="14">
        <f>data!BE69</f>
        <v>187353.59</v>
      </c>
      <c r="I243" s="14">
        <f>data!BF69</f>
        <v>1926.89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-2015880.9040000001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-763.55</v>
      </c>
      <c r="H244" s="14">
        <f>-data!BE70</f>
        <v>-6054425.7599999998</v>
      </c>
      <c r="I244" s="14">
        <f>-data!BF70</f>
        <v>-17035.98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4344413.7059999993</v>
      </c>
      <c r="D245" s="14">
        <f>data!BA71</f>
        <v>373719.39999999997</v>
      </c>
      <c r="E245" s="14">
        <f>data!BB71</f>
        <v>240526.33999999997</v>
      </c>
      <c r="F245" s="14">
        <f>data!BC71</f>
        <v>447925.42999999993</v>
      </c>
      <c r="G245" s="14">
        <f>data!BD71</f>
        <v>2794288.4400000009</v>
      </c>
      <c r="H245" s="14">
        <f>data!BE71</f>
        <v>15547051.300000003</v>
      </c>
      <c r="I245" s="14">
        <f>data!BF71</f>
        <v>5809572.1299999999</v>
      </c>
    </row>
    <row r="246" spans="1:9" ht="20.100000000000001" customHeight="1" x14ac:dyDescent="0.25">
      <c r="A246" s="23">
        <v>17</v>
      </c>
      <c r="B246" s="14" t="s">
        <v>244</v>
      </c>
      <c r="C246" s="210"/>
      <c r="D246" s="210"/>
      <c r="E246" s="210"/>
      <c r="F246" s="210"/>
      <c r="G246" s="210"/>
      <c r="H246" s="210"/>
      <c r="I246" s="210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2" t="str">
        <f>IF(data!AZ73&gt;0,data!AZ73,"")</f>
        <v>x</v>
      </c>
      <c r="D248" s="212" t="str">
        <f>IF(data!BA73&gt;0,data!BA73,"")</f>
        <v>x</v>
      </c>
      <c r="E248" s="212" t="str">
        <f>IF(data!BB73&gt;0,data!BB73,"")</f>
        <v>x</v>
      </c>
      <c r="F248" s="212" t="str">
        <f>IF(data!BC73&gt;0,data!BC73,"")</f>
        <v>x</v>
      </c>
      <c r="G248" s="212" t="str">
        <f>IF(data!BD73&gt;0,data!BD73,"")</f>
        <v>x</v>
      </c>
      <c r="H248" s="212" t="str">
        <f>IF(data!BE73&gt;0,data!BE73,"")</f>
        <v>x</v>
      </c>
      <c r="I248" s="212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2" t="str">
        <f>IF(data!AZ74&gt;0,data!AZ74,"")</f>
        <v>x</v>
      </c>
      <c r="D249" s="212" t="str">
        <f>IF(data!BA74&gt;0,data!BA74,"")</f>
        <v>x</v>
      </c>
      <c r="E249" s="212" t="str">
        <f>IF(data!BB74&gt;0,data!BB74,"")</f>
        <v>x</v>
      </c>
      <c r="F249" s="212" t="str">
        <f>IF(data!BC74&gt;0,data!BC74,"")</f>
        <v>x</v>
      </c>
      <c r="G249" s="212" t="str">
        <f>IF(data!BD74&gt;0,data!BD74,"")</f>
        <v>x</v>
      </c>
      <c r="H249" s="212" t="str">
        <f>IF(data!BE74&gt;0,data!BE74,"")</f>
        <v>x</v>
      </c>
      <c r="I249" s="212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2" t="str">
        <f>IF(data!AZ75&gt;0,data!AZ75,"")</f>
        <v>x</v>
      </c>
      <c r="D250" s="212" t="str">
        <f>IF(data!BA75&gt;0,data!BA75,"")</f>
        <v>x</v>
      </c>
      <c r="E250" s="212" t="str">
        <f>IF(data!BB75&gt;0,data!BB75,"")</f>
        <v>x</v>
      </c>
      <c r="F250" s="212" t="str">
        <f>IF(data!BC75&gt;0,data!BC75,"")</f>
        <v>x</v>
      </c>
      <c r="G250" s="212" t="str">
        <f>IF(data!BD75&gt;0,data!BD75,"")</f>
        <v>x</v>
      </c>
      <c r="H250" s="212" t="str">
        <f>IF(data!BE75&gt;0,data!BE75,"")</f>
        <v>x</v>
      </c>
      <c r="I250" s="212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0"/>
      <c r="D251" s="210"/>
      <c r="E251" s="210"/>
      <c r="F251" s="210"/>
      <c r="G251" s="210"/>
      <c r="H251" s="210"/>
      <c r="I251" s="210"/>
    </row>
    <row r="252" spans="1:9" ht="20.100000000000001" customHeight="1" x14ac:dyDescent="0.25">
      <c r="A252" s="23">
        <v>22</v>
      </c>
      <c r="B252" s="14" t="s">
        <v>1186</v>
      </c>
      <c r="C252" s="84">
        <f>data!AZ76</f>
        <v>23008</v>
      </c>
      <c r="D252" s="84">
        <f>data!BA76</f>
        <v>3589</v>
      </c>
      <c r="E252" s="84">
        <f>data!BB76</f>
        <v>0</v>
      </c>
      <c r="F252" s="84">
        <f>data!BC76</f>
        <v>0</v>
      </c>
      <c r="G252" s="84">
        <f>data!BD76</f>
        <v>9663</v>
      </c>
      <c r="H252" s="84">
        <f>data!BE76</f>
        <v>782365</v>
      </c>
      <c r="I252" s="84">
        <f>data!BF76</f>
        <v>9475</v>
      </c>
    </row>
    <row r="253" spans="1:9" ht="20.100000000000001" customHeight="1" x14ac:dyDescent="0.25">
      <c r="A253" s="23">
        <v>23</v>
      </c>
      <c r="B253" s="14" t="s">
        <v>1187</v>
      </c>
      <c r="C253" s="84">
        <f>data!AZ77</f>
        <v>0</v>
      </c>
      <c r="D253" s="84">
        <f>data!BA77</f>
        <v>0</v>
      </c>
      <c r="E253" s="84">
        <f>data!BB77</f>
        <v>0</v>
      </c>
      <c r="F253" s="84">
        <f>data!BC77</f>
        <v>0</v>
      </c>
      <c r="G253" s="212" t="str">
        <f>IF(data!BD77&gt;0,data!BD77,"")</f>
        <v>x</v>
      </c>
      <c r="H253" s="212" t="str">
        <f>IF(data!BE77&gt;0,data!BE77,"")</f>
        <v>x</v>
      </c>
      <c r="I253" s="84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2" t="str">
        <f>IF(data!AZ78&gt;0,data!AZ78,"")</f>
        <v>x</v>
      </c>
      <c r="D254" s="84">
        <f>data!BA78</f>
        <v>395</v>
      </c>
      <c r="E254" s="84">
        <f>data!BB78</f>
        <v>0</v>
      </c>
      <c r="F254" s="84">
        <f>data!BC78</f>
        <v>0</v>
      </c>
      <c r="G254" s="212" t="str">
        <f>IF(data!BD78&gt;0,data!BD78,"")</f>
        <v>x</v>
      </c>
      <c r="H254" s="212" t="str">
        <f>IF(data!BE78&gt;0,data!BE78,"")</f>
        <v>x</v>
      </c>
      <c r="I254" s="212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2" t="str">
        <f>IF(data!AZ79&gt;0,data!AZ79,"")</f>
        <v>x</v>
      </c>
      <c r="D255" s="212" t="str">
        <f>IF(data!BA79&gt;0,data!BA79,"")</f>
        <v>x</v>
      </c>
      <c r="E255" s="84">
        <f>data!BB79</f>
        <v>0</v>
      </c>
      <c r="F255" s="84">
        <f>data!BC79</f>
        <v>0</v>
      </c>
      <c r="G255" s="212" t="str">
        <f>IF(data!BD79&gt;0,data!BD79,"")</f>
        <v>x</v>
      </c>
      <c r="H255" s="212" t="str">
        <f>IF(data!BE79&gt;0,data!BE79,"")</f>
        <v>x</v>
      </c>
      <c r="I255" s="212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2" t="str">
        <f>IF(data!AZ80&gt;0,data!AZ80,"")</f>
        <v>x</v>
      </c>
      <c r="D256" s="212" t="str">
        <f>IF(data!BA80&gt;0,data!BA80,"")</f>
        <v>x</v>
      </c>
      <c r="E256" s="212" t="str">
        <f>IF(data!BB80&gt;0,data!BB80,"")</f>
        <v>x</v>
      </c>
      <c r="F256" s="212" t="str">
        <f>IF(data!BC80&gt;0,data!BC80,"")</f>
        <v>x</v>
      </c>
      <c r="G256" s="212" t="str">
        <f>IF(data!BD80&gt;0,data!BD80,"")</f>
        <v>x</v>
      </c>
      <c r="H256" s="212" t="str">
        <f>IF(data!BE80&gt;0,data!BE80,"")</f>
        <v>x</v>
      </c>
      <c r="I256" s="212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6"/>
      <c r="C258" s="76"/>
      <c r="D258" s="45"/>
      <c r="E258" s="76"/>
      <c r="F258" s="76"/>
      <c r="G258" s="76"/>
      <c r="H258" s="76"/>
      <c r="I258" s="167" t="s">
        <v>1219</v>
      </c>
    </row>
    <row r="259" spans="1:9" ht="20.100000000000001" customHeight="1" x14ac:dyDescent="0.25">
      <c r="A259" s="45"/>
      <c r="B259" s="76"/>
      <c r="C259" s="76"/>
      <c r="D259" s="76"/>
      <c r="E259" s="76"/>
      <c r="F259" s="76"/>
      <c r="G259" s="76"/>
      <c r="H259" s="76"/>
      <c r="I259" s="76"/>
    </row>
    <row r="260" spans="1:9" ht="20.100000000000001" customHeight="1" x14ac:dyDescent="0.25">
      <c r="A260" s="78" t="str">
        <f>"HOSPITAL NAME: "&amp;data!C84</f>
        <v>HOSPITAL NAME: EvergreenHealth</v>
      </c>
      <c r="B260" s="76"/>
      <c r="C260" s="76"/>
      <c r="D260" s="76"/>
      <c r="E260" s="76"/>
      <c r="F260" s="76"/>
      <c r="G260" s="79"/>
      <c r="H260" s="78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0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1"/>
      <c r="B263" s="82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1"/>
      <c r="D264" s="211"/>
      <c r="E264" s="211"/>
      <c r="F264" s="211"/>
      <c r="G264" s="211"/>
      <c r="H264" s="211"/>
      <c r="I264" s="211"/>
    </row>
    <row r="265" spans="1:9" ht="20.100000000000001" customHeight="1" x14ac:dyDescent="0.25">
      <c r="A265" s="23">
        <v>4</v>
      </c>
      <c r="B265" s="14" t="s">
        <v>233</v>
      </c>
      <c r="C265" s="211"/>
      <c r="D265" s="211"/>
      <c r="E265" s="211"/>
      <c r="F265" s="211"/>
      <c r="G265" s="211"/>
      <c r="H265" s="211"/>
      <c r="I265" s="211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19.892105769230771</v>
      </c>
      <c r="D266" s="26">
        <f>data!BH60</f>
        <v>96.049288461538467</v>
      </c>
      <c r="E266" s="26">
        <f>data!BI60</f>
        <v>18.307504807692307</v>
      </c>
      <c r="F266" s="26">
        <f>data!BJ60</f>
        <v>17.856812500000004</v>
      </c>
      <c r="G266" s="26">
        <f>data!BK60</f>
        <v>93.38579326923076</v>
      </c>
      <c r="H266" s="26">
        <f>data!BL60</f>
        <v>67.692423076923077</v>
      </c>
      <c r="I266" s="26">
        <f>data!BM60</f>
        <v>24.102009615384617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1093320.8399999999</v>
      </c>
      <c r="D267" s="14">
        <f>data!BH61</f>
        <v>10083580.625000002</v>
      </c>
      <c r="E267" s="14">
        <f>data!BI61</f>
        <v>1727988.3500000006</v>
      </c>
      <c r="F267" s="14">
        <f>data!BJ61</f>
        <v>1401852.9</v>
      </c>
      <c r="G267" s="14">
        <f>data!BK61</f>
        <v>5053855.28</v>
      </c>
      <c r="H267" s="14">
        <f>data!BL61</f>
        <v>3373689.61</v>
      </c>
      <c r="I267" s="14">
        <f>data!BM61</f>
        <v>2478411.35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336853</v>
      </c>
      <c r="D268" s="14">
        <f>data!BH62</f>
        <v>2302942</v>
      </c>
      <c r="E268" s="14">
        <f>data!BI62</f>
        <v>402940</v>
      </c>
      <c r="F268" s="14">
        <f>data!BJ62</f>
        <v>359790</v>
      </c>
      <c r="G268" s="14">
        <f>data!BK62</f>
        <v>1560825</v>
      </c>
      <c r="H268" s="14">
        <f>data!BL62</f>
        <v>1075860</v>
      </c>
      <c r="I268" s="14">
        <f>data!BM62</f>
        <v>648829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38610</v>
      </c>
      <c r="E269" s="14">
        <f>data!BI63</f>
        <v>0</v>
      </c>
      <c r="F269" s="14">
        <f>data!BJ63</f>
        <v>252690</v>
      </c>
      <c r="G269" s="14">
        <f>data!BK63</f>
        <v>460452.72</v>
      </c>
      <c r="H269" s="14">
        <f>data!BL63</f>
        <v>37891.480000000003</v>
      </c>
      <c r="I269" s="14">
        <f>data!BM63</f>
        <v>35850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137024.88</v>
      </c>
      <c r="D270" s="14">
        <f>data!BH64</f>
        <v>689229.6399999999</v>
      </c>
      <c r="E270" s="14">
        <f>data!BI64</f>
        <v>35157.740000000005</v>
      </c>
      <c r="F270" s="14">
        <f>data!BJ64</f>
        <v>13535.15</v>
      </c>
      <c r="G270" s="14">
        <f>data!BK64</f>
        <v>72724.180000000008</v>
      </c>
      <c r="H270" s="14">
        <f>data!BL64</f>
        <v>39660.31</v>
      </c>
      <c r="I270" s="14">
        <f>data!BM64</f>
        <v>8446.1500000000015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1035162.73</v>
      </c>
      <c r="D271" s="14">
        <f>data!BH65</f>
        <v>17508.38</v>
      </c>
      <c r="E271" s="14">
        <f>data!BI65</f>
        <v>4843.0300000000007</v>
      </c>
      <c r="F271" s="14">
        <f>data!BJ65</f>
        <v>0</v>
      </c>
      <c r="G271" s="14">
        <f>data!BK65</f>
        <v>114408.26</v>
      </c>
      <c r="H271" s="14">
        <f>data!BL65</f>
        <v>810.9</v>
      </c>
      <c r="I271" s="14">
        <f>data!BM65</f>
        <v>188.09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121004.45999999999</v>
      </c>
      <c r="D272" s="14">
        <f>data!BH66</f>
        <v>11392860.119999997</v>
      </c>
      <c r="E272" s="14">
        <f>data!BI66</f>
        <v>278779.49</v>
      </c>
      <c r="F272" s="14">
        <f>data!BJ66</f>
        <v>61163.79</v>
      </c>
      <c r="G272" s="14">
        <f>data!BK66</f>
        <v>2859365.4999999995</v>
      </c>
      <c r="H272" s="14">
        <f>data!BL66</f>
        <v>171454.44</v>
      </c>
      <c r="I272" s="14">
        <f>data!BM66</f>
        <v>618781.37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24373</v>
      </c>
      <c r="D273" s="14">
        <f>data!BH67</f>
        <v>4495560</v>
      </c>
      <c r="E273" s="14">
        <f>data!BI67</f>
        <v>173619</v>
      </c>
      <c r="F273" s="14">
        <f>data!BJ67</f>
        <v>73563</v>
      </c>
      <c r="G273" s="14">
        <f>data!BK67</f>
        <v>135198</v>
      </c>
      <c r="H273" s="14">
        <f>data!BL67</f>
        <v>29324</v>
      </c>
      <c r="I273" s="14">
        <f>data!BM67</f>
        <v>59503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2284.38</v>
      </c>
      <c r="D274" s="14">
        <f>data!BH68</f>
        <v>0</v>
      </c>
      <c r="E274" s="14">
        <f>data!BI68</f>
        <v>1193160.97</v>
      </c>
      <c r="F274" s="14">
        <f>data!BJ68</f>
        <v>0</v>
      </c>
      <c r="G274" s="14">
        <f>data!BK68</f>
        <v>126943.97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9819.9699999999993</v>
      </c>
      <c r="D275" s="14">
        <f>data!BH69</f>
        <v>38428.160000000003</v>
      </c>
      <c r="E275" s="14">
        <f>data!BI69</f>
        <v>35856.390000000007</v>
      </c>
      <c r="F275" s="14">
        <f>data!BJ69</f>
        <v>2852.55</v>
      </c>
      <c r="G275" s="14">
        <f>data!BK69</f>
        <v>4170.71</v>
      </c>
      <c r="H275" s="14">
        <f>data!BL69</f>
        <v>929.09</v>
      </c>
      <c r="I275" s="14">
        <f>data!BM69</f>
        <v>17635.59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-490285.83</v>
      </c>
      <c r="D276" s="14">
        <f>-data!BH70</f>
        <v>-145804.57</v>
      </c>
      <c r="E276" s="14">
        <f>-data!BI70</f>
        <v>-1154744.51</v>
      </c>
      <c r="F276" s="14">
        <f>-data!BJ70</f>
        <v>-223108.28</v>
      </c>
      <c r="G276" s="14">
        <f>-data!BK70</f>
        <v>-273.52</v>
      </c>
      <c r="H276" s="14">
        <f>-data!BL70</f>
        <v>-361119.15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2269557.4299999997</v>
      </c>
      <c r="D277" s="14">
        <f>data!BH71</f>
        <v>28912914.355</v>
      </c>
      <c r="E277" s="14">
        <f>data!BI71</f>
        <v>2697600.46</v>
      </c>
      <c r="F277" s="14">
        <f>data!BJ71</f>
        <v>1942339.1099999996</v>
      </c>
      <c r="G277" s="14">
        <f>data!BK71</f>
        <v>10387670.100000001</v>
      </c>
      <c r="H277" s="14">
        <f>data!BL71</f>
        <v>4368500.68</v>
      </c>
      <c r="I277" s="14">
        <f>data!BM71</f>
        <v>3867644.55</v>
      </c>
    </row>
    <row r="278" spans="1:9" ht="20.100000000000001" customHeight="1" x14ac:dyDescent="0.25">
      <c r="A278" s="23">
        <v>17</v>
      </c>
      <c r="B278" s="14" t="s">
        <v>244</v>
      </c>
      <c r="C278" s="210"/>
      <c r="D278" s="210"/>
      <c r="E278" s="210"/>
      <c r="F278" s="210"/>
      <c r="G278" s="210"/>
      <c r="H278" s="210"/>
      <c r="I278" s="210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2" t="str">
        <f>IF(data!BG73&gt;0,data!BG73,"")</f>
        <v>x</v>
      </c>
      <c r="D280" s="212" t="str">
        <f>IF(data!BH73&gt;0,data!BH73,"")</f>
        <v>x</v>
      </c>
      <c r="E280" s="212" t="str">
        <f>IF(data!BI73&gt;0,data!BI73,"")</f>
        <v>x</v>
      </c>
      <c r="F280" s="212" t="str">
        <f>IF(data!BJ73&gt;0,data!BJ73,"")</f>
        <v>x</v>
      </c>
      <c r="G280" s="212" t="str">
        <f>IF(data!BK73&gt;0,data!BK73,"")</f>
        <v>x</v>
      </c>
      <c r="H280" s="212" t="str">
        <f>IF(data!BL73&gt;0,data!BL73,"")</f>
        <v>x</v>
      </c>
      <c r="I280" s="212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2" t="str">
        <f>IF(data!BG74&gt;0,data!BG74,"")</f>
        <v>x</v>
      </c>
      <c r="D281" s="212" t="str">
        <f>IF(data!BH74&gt;0,data!BH74,"")</f>
        <v>x</v>
      </c>
      <c r="E281" s="212" t="str">
        <f>IF(data!BI74&gt;0,data!BI74,"")</f>
        <v>x</v>
      </c>
      <c r="F281" s="212" t="str">
        <f>IF(data!BJ74&gt;0,data!BJ74,"")</f>
        <v>x</v>
      </c>
      <c r="G281" s="212" t="str">
        <f>IF(data!BK74&gt;0,data!BK74,"")</f>
        <v>x</v>
      </c>
      <c r="H281" s="212" t="str">
        <f>IF(data!BL74&gt;0,data!BL74,"")</f>
        <v>x</v>
      </c>
      <c r="I281" s="212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2" t="str">
        <f>IF(data!BG75&gt;0,data!BG75,"")</f>
        <v>x</v>
      </c>
      <c r="D282" s="212" t="str">
        <f>IF(data!BH75&gt;0,data!BH75,"")</f>
        <v>x</v>
      </c>
      <c r="E282" s="212" t="str">
        <f>IF(data!BI75&gt;0,data!BI75,"")</f>
        <v>x</v>
      </c>
      <c r="F282" s="212" t="str">
        <f>IF(data!BJ75&gt;0,data!BJ75,"")</f>
        <v>x</v>
      </c>
      <c r="G282" s="212" t="str">
        <f>IF(data!BK75&gt;0,data!BK75,"")</f>
        <v>x</v>
      </c>
      <c r="H282" s="212" t="str">
        <f>IF(data!BL75&gt;0,data!BL75,"")</f>
        <v>x</v>
      </c>
      <c r="I282" s="212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4"/>
      <c r="D283" s="214"/>
      <c r="E283" s="214"/>
      <c r="F283" s="214"/>
      <c r="G283" s="214"/>
      <c r="H283" s="214"/>
      <c r="I283" s="214"/>
    </row>
    <row r="284" spans="1:9" ht="20.100000000000001" customHeight="1" x14ac:dyDescent="0.25">
      <c r="A284" s="23">
        <v>22</v>
      </c>
      <c r="B284" s="14" t="s">
        <v>1186</v>
      </c>
      <c r="C284" s="84">
        <f>data!BG76</f>
        <v>4982</v>
      </c>
      <c r="D284" s="84">
        <f>data!BH76</f>
        <v>18298</v>
      </c>
      <c r="E284" s="84">
        <f>data!BI76</f>
        <v>71116</v>
      </c>
      <c r="F284" s="84">
        <f>data!BJ76</f>
        <v>4264</v>
      </c>
      <c r="G284" s="84">
        <f>data!BK76</f>
        <v>16303</v>
      </c>
      <c r="H284" s="84">
        <f>data!BL76</f>
        <v>4540</v>
      </c>
      <c r="I284" s="84">
        <f>data!BM76</f>
        <v>4747</v>
      </c>
    </row>
    <row r="285" spans="1:9" ht="20.100000000000001" customHeight="1" x14ac:dyDescent="0.25">
      <c r="A285" s="23">
        <v>23</v>
      </c>
      <c r="B285" s="14" t="s">
        <v>1187</v>
      </c>
      <c r="C285" s="212" t="str">
        <f>IF(data!BG77&gt;0,data!BG77,"")</f>
        <v>x</v>
      </c>
      <c r="D285" s="84">
        <f>data!BH77</f>
        <v>0</v>
      </c>
      <c r="E285" s="84">
        <f>data!BI77</f>
        <v>0</v>
      </c>
      <c r="F285" s="212" t="str">
        <f>IF(data!BJ77&gt;0,data!BJ77,"")</f>
        <v>x</v>
      </c>
      <c r="G285" s="84">
        <f>data!BK77</f>
        <v>0</v>
      </c>
      <c r="H285" s="84">
        <f>data!BL77</f>
        <v>0</v>
      </c>
      <c r="I285" s="84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2" t="str">
        <f>IF(data!BG78&gt;0,data!BG78,"")</f>
        <v>x</v>
      </c>
      <c r="D286" s="84">
        <f>data!BH78</f>
        <v>2015</v>
      </c>
      <c r="E286" s="84">
        <f>data!BI78</f>
        <v>7830</v>
      </c>
      <c r="F286" s="212" t="str">
        <f>IF(data!BJ78&gt;0,data!BJ78,"")</f>
        <v>x</v>
      </c>
      <c r="G286" s="84">
        <f>data!BK78</f>
        <v>1795</v>
      </c>
      <c r="H286" s="84">
        <f>data!BL78</f>
        <v>500</v>
      </c>
      <c r="I286" s="84">
        <f>data!BM78</f>
        <v>523</v>
      </c>
    </row>
    <row r="287" spans="1:9" ht="20.100000000000001" customHeight="1" x14ac:dyDescent="0.25">
      <c r="A287" s="23">
        <v>25</v>
      </c>
      <c r="B287" s="14" t="s">
        <v>1189</v>
      </c>
      <c r="C287" s="212" t="str">
        <f>IF(data!BG79&gt;0,data!BG79,"")</f>
        <v>x</v>
      </c>
      <c r="D287" s="84">
        <f>data!BH79</f>
        <v>0</v>
      </c>
      <c r="E287" s="84">
        <f>data!BI79</f>
        <v>0</v>
      </c>
      <c r="F287" s="212" t="str">
        <f>IF(data!BJ79&gt;0,data!BJ79,"")</f>
        <v>x</v>
      </c>
      <c r="G287" s="84">
        <f>data!BK79</f>
        <v>0</v>
      </c>
      <c r="H287" s="84">
        <f>data!BL79</f>
        <v>0</v>
      </c>
      <c r="I287" s="84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2" t="str">
        <f>IF(data!BG80&gt;0,data!BG80,"")</f>
        <v>x</v>
      </c>
      <c r="D288" s="212" t="str">
        <f>IF(data!BH80&gt;0,data!BH80,"")</f>
        <v>x</v>
      </c>
      <c r="E288" s="212" t="str">
        <f>IF(data!BI80&gt;0,data!BI80,"")</f>
        <v>x</v>
      </c>
      <c r="F288" s="212" t="str">
        <f>IF(data!BJ80&gt;0,data!BJ80,"")</f>
        <v>x</v>
      </c>
      <c r="G288" s="212" t="str">
        <f>IF(data!BK80&gt;0,data!BK80,"")</f>
        <v>x</v>
      </c>
      <c r="H288" s="212" t="str">
        <f>IF(data!BL80&gt;0,data!BL80,"")</f>
        <v>x</v>
      </c>
      <c r="I288" s="212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6"/>
      <c r="B290" s="76"/>
      <c r="C290" s="76"/>
      <c r="D290" s="45"/>
      <c r="E290" s="76"/>
      <c r="F290" s="76"/>
      <c r="G290" s="76"/>
      <c r="H290" s="76"/>
      <c r="I290" s="167" t="s">
        <v>1223</v>
      </c>
    </row>
    <row r="291" spans="1:9" ht="20.100000000000001" customHeight="1" x14ac:dyDescent="0.25">
      <c r="A291" s="45"/>
      <c r="B291" s="76"/>
      <c r="C291" s="76"/>
      <c r="D291" s="76"/>
      <c r="E291" s="76"/>
      <c r="F291" s="76"/>
      <c r="G291" s="76"/>
      <c r="H291" s="76"/>
      <c r="I291" s="76"/>
    </row>
    <row r="292" spans="1:9" ht="20.100000000000001" customHeight="1" x14ac:dyDescent="0.25">
      <c r="A292" s="78" t="str">
        <f>"HOSPITAL NAME: "&amp;data!C84</f>
        <v>HOSPITAL NAME: EvergreenHealth</v>
      </c>
      <c r="B292" s="76"/>
      <c r="C292" s="76"/>
      <c r="D292" s="76"/>
      <c r="E292" s="76"/>
      <c r="F292" s="76"/>
      <c r="G292" s="79"/>
      <c r="H292" s="78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0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1"/>
      <c r="B295" s="82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1"/>
      <c r="D296" s="211"/>
      <c r="E296" s="211"/>
      <c r="F296" s="211"/>
      <c r="G296" s="211"/>
      <c r="H296" s="211"/>
      <c r="I296" s="211"/>
    </row>
    <row r="297" spans="1:9" ht="20.100000000000001" customHeight="1" x14ac:dyDescent="0.25">
      <c r="A297" s="23">
        <v>4</v>
      </c>
      <c r="B297" s="14" t="s">
        <v>233</v>
      </c>
      <c r="C297" s="211"/>
      <c r="D297" s="211"/>
      <c r="E297" s="211"/>
      <c r="F297" s="211"/>
      <c r="G297" s="211"/>
      <c r="H297" s="211"/>
      <c r="I297" s="211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24.263903846153845</v>
      </c>
      <c r="D298" s="26">
        <f>data!BO60</f>
        <v>6.7150528846153845</v>
      </c>
      <c r="E298" s="26">
        <f>data!BP60</f>
        <v>7.7197500000000003</v>
      </c>
      <c r="F298" s="26">
        <f>data!BQ60</f>
        <v>3.4907115384615386</v>
      </c>
      <c r="G298" s="26">
        <f>data!BR60</f>
        <v>25.748423076923078</v>
      </c>
      <c r="H298" s="26">
        <f>data!BS60</f>
        <v>4.6359038461538464</v>
      </c>
      <c r="I298" s="26">
        <f>data!BT60</f>
        <v>1.8753798076923076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6447902.9299999997</v>
      </c>
      <c r="D299" s="14">
        <f>data!BO61</f>
        <v>710882.46</v>
      </c>
      <c r="E299" s="14">
        <f>data!BP61</f>
        <v>750189.7699999999</v>
      </c>
      <c r="F299" s="14">
        <f>data!BQ61</f>
        <v>435209.2</v>
      </c>
      <c r="G299" s="14">
        <f>data!BR61</f>
        <v>2392532.62</v>
      </c>
      <c r="H299" s="14">
        <f>data!BS61</f>
        <v>280600.87</v>
      </c>
      <c r="I299" s="14">
        <f>data!BT61</f>
        <v>121891.5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1694219</v>
      </c>
      <c r="D300" s="14">
        <f>data!BO62</f>
        <v>128762</v>
      </c>
      <c r="E300" s="14">
        <f>data!BP62</f>
        <v>303942</v>
      </c>
      <c r="F300" s="14">
        <f>data!BQ62</f>
        <v>101445</v>
      </c>
      <c r="G300" s="14">
        <f>data!BR62</f>
        <v>561908</v>
      </c>
      <c r="H300" s="14">
        <f>data!BS62</f>
        <v>72149</v>
      </c>
      <c r="I300" s="14">
        <f>data!BT62</f>
        <v>48691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2756846.3400000003</v>
      </c>
      <c r="D301" s="14">
        <f>data!BO63</f>
        <v>580.4</v>
      </c>
      <c r="E301" s="14">
        <f>data!BP63</f>
        <v>16800</v>
      </c>
      <c r="F301" s="14">
        <f>data!BQ63</f>
        <v>0</v>
      </c>
      <c r="G301" s="14">
        <f>data!BR63</f>
        <v>748980.96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39821.130000000005</v>
      </c>
      <c r="D302" s="14">
        <f>data!BO64</f>
        <v>184669.07000000007</v>
      </c>
      <c r="E302" s="14">
        <f>data!BP64</f>
        <v>72381.73000000001</v>
      </c>
      <c r="F302" s="14">
        <f>data!BQ64</f>
        <v>3623.54</v>
      </c>
      <c r="G302" s="14">
        <f>data!BR64</f>
        <v>38074.270000000004</v>
      </c>
      <c r="H302" s="14">
        <f>data!BS64</f>
        <v>453653.34</v>
      </c>
      <c r="I302" s="14">
        <f>data!BT64</f>
        <v>209.54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5446.96</v>
      </c>
      <c r="D303" s="14">
        <f>data!BO65</f>
        <v>47.3</v>
      </c>
      <c r="E303" s="14">
        <f>data!BP65</f>
        <v>600</v>
      </c>
      <c r="F303" s="14">
        <f>data!BQ65</f>
        <v>14.47</v>
      </c>
      <c r="G303" s="14">
        <f>data!BR65</f>
        <v>268.52999999999997</v>
      </c>
      <c r="H303" s="14">
        <f>data!BS65</f>
        <v>1481.38</v>
      </c>
      <c r="I303" s="14">
        <f>data!BT65</f>
        <v>4932.5200000000004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507366.75</v>
      </c>
      <c r="D304" s="14">
        <f>data!BO66</f>
        <v>29215.868000000002</v>
      </c>
      <c r="E304" s="14">
        <f>data!BP66</f>
        <v>3122652.03</v>
      </c>
      <c r="F304" s="14">
        <f>data!BQ66</f>
        <v>5584.2100000000009</v>
      </c>
      <c r="G304" s="14">
        <f>data!BR66</f>
        <v>599825.89</v>
      </c>
      <c r="H304" s="14">
        <f>data!BS66</f>
        <v>21125.54</v>
      </c>
      <c r="I304" s="14">
        <f>data!BT66</f>
        <v>1501.01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225864</v>
      </c>
      <c r="D305" s="14">
        <f>data!BO67</f>
        <v>36912</v>
      </c>
      <c r="E305" s="14">
        <f>data!BP67</f>
        <v>92707</v>
      </c>
      <c r="F305" s="14">
        <f>data!BQ67</f>
        <v>4790</v>
      </c>
      <c r="G305" s="14">
        <f>data!BR67</f>
        <v>12459</v>
      </c>
      <c r="H305" s="14">
        <f>data!BS67</f>
        <v>17758</v>
      </c>
      <c r="I305" s="14">
        <f>data!BT67</f>
        <v>23472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3160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769425.37</v>
      </c>
      <c r="D307" s="14">
        <f>data!BO69</f>
        <v>6524.89</v>
      </c>
      <c r="E307" s="14">
        <f>data!BP69</f>
        <v>11392.64</v>
      </c>
      <c r="F307" s="14">
        <f>data!BQ69</f>
        <v>2930.22</v>
      </c>
      <c r="G307" s="14">
        <f>data!BR69</f>
        <v>24978.91</v>
      </c>
      <c r="H307" s="14">
        <f>data!BS69</f>
        <v>1795.06</v>
      </c>
      <c r="I307" s="14">
        <f>data!BT69</f>
        <v>177.24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-1350</v>
      </c>
      <c r="D308" s="14">
        <f>-data!BO70</f>
        <v>-526</v>
      </c>
      <c r="E308" s="14">
        <f>-data!BP70</f>
        <v>-5000</v>
      </c>
      <c r="F308" s="14">
        <f>-data!BQ70</f>
        <v>-61925</v>
      </c>
      <c r="G308" s="14">
        <f>-data!BR70</f>
        <v>-134.58000000000001</v>
      </c>
      <c r="H308" s="14">
        <f>-data!BS70</f>
        <v>-714822.55</v>
      </c>
      <c r="I308" s="14">
        <f>-data!BT70</f>
        <v>-249.92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12445542.48</v>
      </c>
      <c r="D309" s="14">
        <f>data!BO71</f>
        <v>1097067.9879999999</v>
      </c>
      <c r="E309" s="14">
        <f>data!BP71</f>
        <v>4365665.169999999</v>
      </c>
      <c r="F309" s="14">
        <f>data!BQ71</f>
        <v>491671.6399999999</v>
      </c>
      <c r="G309" s="14">
        <f>data!BR71</f>
        <v>4382053.5999999996</v>
      </c>
      <c r="H309" s="14">
        <f>data!BS71</f>
        <v>133740.64000000001</v>
      </c>
      <c r="I309" s="14">
        <f>data!BT71</f>
        <v>200624.88999999998</v>
      </c>
    </row>
    <row r="310" spans="1:9" ht="20.100000000000001" customHeight="1" x14ac:dyDescent="0.25">
      <c r="A310" s="23">
        <v>17</v>
      </c>
      <c r="B310" s="14" t="s">
        <v>244</v>
      </c>
      <c r="C310" s="210"/>
      <c r="D310" s="210"/>
      <c r="E310" s="210"/>
      <c r="F310" s="210"/>
      <c r="G310" s="210"/>
      <c r="H310" s="210"/>
      <c r="I310" s="210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2" t="str">
        <f>IF(data!BN73&gt;0,data!BN73,"")</f>
        <v>x</v>
      </c>
      <c r="D312" s="212" t="str">
        <f>IF(data!BO73&gt;0,data!BO73,"")</f>
        <v>x</v>
      </c>
      <c r="E312" s="212" t="str">
        <f>IF(data!BP73&gt;0,data!BP73,"")</f>
        <v>x</v>
      </c>
      <c r="F312" s="212" t="str">
        <f>IF(data!BQ73&gt;0,data!BQ73,"")</f>
        <v>x</v>
      </c>
      <c r="G312" s="212" t="str">
        <f>IF(data!BR73&gt;0,data!BR73,"")</f>
        <v>x</v>
      </c>
      <c r="H312" s="212" t="str">
        <f>IF(data!BS73&gt;0,data!BS73,"")</f>
        <v>x</v>
      </c>
      <c r="I312" s="212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2" t="str">
        <f>IF(data!BN74&gt;0,data!BN74,"")</f>
        <v>x</v>
      </c>
      <c r="D313" s="212" t="str">
        <f>IF(data!BO74&gt;0,data!BO74,"")</f>
        <v>x</v>
      </c>
      <c r="E313" s="212" t="str">
        <f>IF(data!BP74&gt;0,data!BP74,"")</f>
        <v>x</v>
      </c>
      <c r="F313" s="212" t="str">
        <f>IF(data!BQ74&gt;0,data!BQ74,"")</f>
        <v>x</v>
      </c>
      <c r="G313" s="212" t="str">
        <f>IF(data!BR74&gt;0,data!BR74,"")</f>
        <v>x</v>
      </c>
      <c r="H313" s="212" t="str">
        <f>IF(data!BS74&gt;0,data!BS74,"")</f>
        <v>x</v>
      </c>
      <c r="I313" s="212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2" t="str">
        <f>IF(data!BN75&gt;0,data!BN75,"")</f>
        <v>x</v>
      </c>
      <c r="D314" s="212" t="str">
        <f>IF(data!BO75&gt;0,data!BO75,"")</f>
        <v>x</v>
      </c>
      <c r="E314" s="212" t="str">
        <f>IF(data!BP75&gt;0,data!BP75,"")</f>
        <v>x</v>
      </c>
      <c r="F314" s="212" t="str">
        <f>IF(data!BQ75&gt;0,data!BQ75,"")</f>
        <v>x</v>
      </c>
      <c r="G314" s="212" t="str">
        <f>IF(data!BR75&gt;0,data!BR75,"")</f>
        <v>x</v>
      </c>
      <c r="H314" s="212" t="str">
        <f>IF(data!BS75&gt;0,data!BS75,"")</f>
        <v>x</v>
      </c>
      <c r="I314" s="212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0"/>
      <c r="D315" s="210"/>
      <c r="E315" s="210"/>
      <c r="F315" s="210"/>
      <c r="G315" s="210"/>
      <c r="H315" s="210"/>
      <c r="I315" s="210"/>
    </row>
    <row r="316" spans="1:9" ht="20.100000000000001" customHeight="1" x14ac:dyDescent="0.25">
      <c r="A316" s="23">
        <v>22</v>
      </c>
      <c r="B316" s="14" t="s">
        <v>1186</v>
      </c>
      <c r="C316" s="84">
        <f>data!BN76</f>
        <v>14047</v>
      </c>
      <c r="D316" s="84">
        <f>data!BO76</f>
        <v>2093</v>
      </c>
      <c r="E316" s="84">
        <f>data!BP76</f>
        <v>1894</v>
      </c>
      <c r="F316" s="84">
        <f>data!BQ76</f>
        <v>1677</v>
      </c>
      <c r="G316" s="84">
        <f>data!BR76</f>
        <v>3476</v>
      </c>
      <c r="H316" s="84">
        <f>data!BS76</f>
        <v>3652</v>
      </c>
      <c r="I316" s="84">
        <f>data!BT76</f>
        <v>947</v>
      </c>
    </row>
    <row r="317" spans="1:9" ht="20.100000000000001" customHeight="1" x14ac:dyDescent="0.25">
      <c r="A317" s="23">
        <v>23</v>
      </c>
      <c r="B317" s="14" t="s">
        <v>1187</v>
      </c>
      <c r="C317" s="212" t="str">
        <f>IF(data!BN77&gt;0,data!BN77,"")</f>
        <v>x</v>
      </c>
      <c r="D317" s="212" t="str">
        <f>IF(data!BO77&gt;0,data!BO77,"")</f>
        <v>x</v>
      </c>
      <c r="E317" s="212" t="str">
        <f>IF(data!BP77&gt;0,data!BP77,"")</f>
        <v>x</v>
      </c>
      <c r="F317" s="212" t="str">
        <f>IF(data!BQ77&gt;0,data!BQ77,"")</f>
        <v>x</v>
      </c>
      <c r="G317" s="84">
        <f>data!BR77</f>
        <v>0</v>
      </c>
      <c r="H317" s="84">
        <f>data!BS77</f>
        <v>0</v>
      </c>
      <c r="I317" s="84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2" t="str">
        <f>IF(data!BN78&gt;0,data!BN78,"")</f>
        <v>x</v>
      </c>
      <c r="D318" s="212" t="str">
        <f>IF(data!BO78&gt;0,data!BO78,"")</f>
        <v>x</v>
      </c>
      <c r="E318" s="212" t="str">
        <f>IF(data!BP78&gt;0,data!BP78,"")</f>
        <v>x</v>
      </c>
      <c r="F318" s="212" t="str">
        <f>IF(data!BQ78&gt;0,data!BQ78,"")</f>
        <v>x</v>
      </c>
      <c r="G318" s="212" t="str">
        <f>IF(data!BR78&gt;0,data!BR78,"")</f>
        <v>x</v>
      </c>
      <c r="H318" s="84">
        <f>data!BS78</f>
        <v>402</v>
      </c>
      <c r="I318" s="84">
        <f>data!BT78</f>
        <v>104</v>
      </c>
    </row>
    <row r="319" spans="1:9" ht="20.100000000000001" customHeight="1" x14ac:dyDescent="0.25">
      <c r="A319" s="23">
        <v>25</v>
      </c>
      <c r="B319" s="14" t="s">
        <v>1189</v>
      </c>
      <c r="C319" s="212" t="str">
        <f>IF(data!BN79&gt;0,data!BN79,"")</f>
        <v>x</v>
      </c>
      <c r="D319" s="212" t="str">
        <f>IF(data!BO79&gt;0,data!BO79,"")</f>
        <v>x</v>
      </c>
      <c r="E319" s="212" t="str">
        <f>IF(data!BP79&gt;0,data!BP79,"")</f>
        <v>x</v>
      </c>
      <c r="F319" s="212" t="str">
        <f>IF(data!BQ79&gt;0,data!BQ79,"")</f>
        <v>x</v>
      </c>
      <c r="G319" s="212" t="str">
        <f>IF(data!BR79&gt;0,data!BR79,"")</f>
        <v>x</v>
      </c>
      <c r="H319" s="84">
        <f>data!BS79</f>
        <v>0</v>
      </c>
      <c r="I319" s="84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5" t="str">
        <f>IF(data!BN80&gt;0,data!BN80,"")</f>
        <v>x</v>
      </c>
      <c r="D320" s="215" t="str">
        <f>IF(data!BO80&gt;0,data!BO80,"")</f>
        <v>x</v>
      </c>
      <c r="E320" s="215" t="str">
        <f>IF(data!BP80&gt;0,data!BP80,"")</f>
        <v>x</v>
      </c>
      <c r="F320" s="215" t="str">
        <f>IF(data!BQ80&gt;0,data!BQ80,"")</f>
        <v>x</v>
      </c>
      <c r="G320" s="215" t="str">
        <f>IF(data!BR80&gt;0,data!BR80,"")</f>
        <v>x</v>
      </c>
      <c r="H320" s="215" t="str">
        <f>IF(data!BS80&gt;0,data!BS80,"")</f>
        <v>x</v>
      </c>
      <c r="I320" s="215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6"/>
      <c r="B322" s="76"/>
      <c r="C322" s="76"/>
      <c r="D322" s="45"/>
      <c r="E322" s="76"/>
      <c r="F322" s="76"/>
      <c r="G322" s="76"/>
      <c r="H322" s="76"/>
      <c r="I322" s="167" t="s">
        <v>1225</v>
      </c>
    </row>
    <row r="323" spans="1:9" ht="20.100000000000001" customHeight="1" x14ac:dyDescent="0.25">
      <c r="A323" s="45"/>
      <c r="B323" s="76"/>
      <c r="C323" s="76"/>
      <c r="D323" s="76"/>
      <c r="E323" s="76"/>
      <c r="F323" s="76"/>
      <c r="G323" s="76"/>
      <c r="H323" s="76"/>
      <c r="I323" s="76"/>
    </row>
    <row r="324" spans="1:9" ht="20.100000000000001" customHeight="1" x14ac:dyDescent="0.25">
      <c r="A324" s="78" t="str">
        <f>"HOSPITAL NAME: "&amp;data!C84</f>
        <v>HOSPITAL NAME: EvergreenHealth</v>
      </c>
      <c r="B324" s="76"/>
      <c r="C324" s="76"/>
      <c r="D324" s="76"/>
      <c r="E324" s="76"/>
      <c r="F324" s="76"/>
      <c r="G324" s="79"/>
      <c r="H324" s="78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0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1"/>
      <c r="B327" s="82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1"/>
      <c r="D328" s="211"/>
      <c r="E328" s="211"/>
      <c r="F328" s="211"/>
      <c r="G328" s="211"/>
      <c r="H328" s="211"/>
      <c r="I328" s="211"/>
    </row>
    <row r="329" spans="1:9" ht="20.100000000000001" customHeight="1" x14ac:dyDescent="0.25">
      <c r="A329" s="23">
        <v>4</v>
      </c>
      <c r="B329" s="14" t="s">
        <v>233</v>
      </c>
      <c r="C329" s="211"/>
      <c r="D329" s="211"/>
      <c r="E329" s="211"/>
      <c r="F329" s="211"/>
      <c r="G329" s="211"/>
      <c r="H329" s="211"/>
      <c r="I329" s="211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56.269466346153848</v>
      </c>
      <c r="E330" s="26">
        <f>data!BW60</f>
        <v>6.5753894230769241</v>
      </c>
      <c r="F330" s="26">
        <f>data!BX60</f>
        <v>49.80228846153846</v>
      </c>
      <c r="G330" s="26">
        <f>data!BY60</f>
        <v>16.693725961538462</v>
      </c>
      <c r="H330" s="26">
        <f>data!BZ60</f>
        <v>39.983149038461541</v>
      </c>
      <c r="I330" s="26">
        <f>data!CA60</f>
        <v>8.1659567307692296</v>
      </c>
    </row>
    <row r="331" spans="1:9" ht="20.100000000000001" customHeight="1" x14ac:dyDescent="0.25">
      <c r="A331" s="23">
        <v>6</v>
      </c>
      <c r="B331" s="14" t="s">
        <v>235</v>
      </c>
      <c r="C331" s="85">
        <f>data!BU61</f>
        <v>0</v>
      </c>
      <c r="D331" s="85">
        <f>data!BV61</f>
        <v>3603110.2720000008</v>
      </c>
      <c r="E331" s="85">
        <f>data!BW61</f>
        <v>1115218.5999999999</v>
      </c>
      <c r="F331" s="85">
        <f>data!BX61</f>
        <v>5288120.1400000006</v>
      </c>
      <c r="G331" s="85">
        <f>data!BY61</f>
        <v>1694172.77</v>
      </c>
      <c r="H331" s="85">
        <f>data!BZ61</f>
        <v>3046372.6100000003</v>
      </c>
      <c r="I331" s="85">
        <f>data!CA61</f>
        <v>733927.19999999984</v>
      </c>
    </row>
    <row r="332" spans="1:9" ht="20.100000000000001" customHeight="1" x14ac:dyDescent="0.25">
      <c r="A332" s="23">
        <v>7</v>
      </c>
      <c r="B332" s="14" t="s">
        <v>3</v>
      </c>
      <c r="C332" s="85">
        <f>data!BU62</f>
        <v>0</v>
      </c>
      <c r="D332" s="85">
        <f>data!BV62</f>
        <v>1019491</v>
      </c>
      <c r="E332" s="85">
        <f>data!BW62</f>
        <v>115129</v>
      </c>
      <c r="F332" s="85">
        <f>data!BX62</f>
        <v>1092923</v>
      </c>
      <c r="G332" s="85">
        <f>data!BY62</f>
        <v>396170</v>
      </c>
      <c r="H332" s="85">
        <f>data!BZ62</f>
        <v>1114601</v>
      </c>
      <c r="I332" s="85">
        <f>data!CA62</f>
        <v>165842</v>
      </c>
    </row>
    <row r="333" spans="1:9" ht="20.100000000000001" customHeight="1" x14ac:dyDescent="0.25">
      <c r="A333" s="23">
        <v>8</v>
      </c>
      <c r="B333" s="14" t="s">
        <v>236</v>
      </c>
      <c r="C333" s="85">
        <f>data!BU63</f>
        <v>0</v>
      </c>
      <c r="D333" s="85">
        <f>data!BV63</f>
        <v>0</v>
      </c>
      <c r="E333" s="85">
        <f>data!BW63</f>
        <v>1353757.517</v>
      </c>
      <c r="F333" s="85">
        <f>data!BX63</f>
        <v>181710.82</v>
      </c>
      <c r="G333" s="85">
        <f>data!BY63</f>
        <v>12500</v>
      </c>
      <c r="H333" s="85">
        <f>data!BZ63</f>
        <v>220</v>
      </c>
      <c r="I333" s="85">
        <f>data!CA63</f>
        <v>860121.5</v>
      </c>
    </row>
    <row r="334" spans="1:9" ht="20.100000000000001" customHeight="1" x14ac:dyDescent="0.25">
      <c r="A334" s="23">
        <v>9</v>
      </c>
      <c r="B334" s="14" t="s">
        <v>237</v>
      </c>
      <c r="C334" s="85">
        <f>data!BU64</f>
        <v>0</v>
      </c>
      <c r="D334" s="85">
        <f>data!BV64</f>
        <v>24516.9</v>
      </c>
      <c r="E334" s="85">
        <f>data!BW64</f>
        <v>42710.32</v>
      </c>
      <c r="F334" s="85">
        <f>data!BX64</f>
        <v>45158.479999999996</v>
      </c>
      <c r="G334" s="85">
        <f>data!BY64</f>
        <v>2317.7300000000005</v>
      </c>
      <c r="H334" s="85">
        <f>data!BZ64</f>
        <v>404.02000000000004</v>
      </c>
      <c r="I334" s="85">
        <f>data!CA64</f>
        <v>43319.69</v>
      </c>
    </row>
    <row r="335" spans="1:9" ht="20.100000000000001" customHeight="1" x14ac:dyDescent="0.25">
      <c r="A335" s="23">
        <v>10</v>
      </c>
      <c r="B335" s="14" t="s">
        <v>444</v>
      </c>
      <c r="C335" s="85">
        <f>data!BU65</f>
        <v>0</v>
      </c>
      <c r="D335" s="85">
        <f>data!BV65</f>
        <v>1149.6300000000001</v>
      </c>
      <c r="E335" s="85">
        <f>data!BW65</f>
        <v>0</v>
      </c>
      <c r="F335" s="85">
        <f>data!BX65</f>
        <v>2925.3</v>
      </c>
      <c r="G335" s="85">
        <f>data!BY65</f>
        <v>2241.8199999999997</v>
      </c>
      <c r="H335" s="85">
        <f>data!BZ65</f>
        <v>0</v>
      </c>
      <c r="I335" s="85">
        <f>data!CA65</f>
        <v>-61.67</v>
      </c>
    </row>
    <row r="336" spans="1:9" ht="20.100000000000001" customHeight="1" x14ac:dyDescent="0.25">
      <c r="A336" s="23">
        <v>11</v>
      </c>
      <c r="B336" s="14" t="s">
        <v>445</v>
      </c>
      <c r="C336" s="85">
        <f>data!BU66</f>
        <v>0</v>
      </c>
      <c r="D336" s="85">
        <f>data!BV66</f>
        <v>1254444.43</v>
      </c>
      <c r="E336" s="85">
        <f>data!BW66</f>
        <v>118455.98999999999</v>
      </c>
      <c r="F336" s="85">
        <f>data!BX66</f>
        <v>501872.07000000007</v>
      </c>
      <c r="G336" s="85">
        <f>data!BY66</f>
        <v>13966.019999999999</v>
      </c>
      <c r="H336" s="85">
        <f>data!BZ66</f>
        <v>0</v>
      </c>
      <c r="I336" s="85">
        <f>data!CA66</f>
        <v>131716.85999999999</v>
      </c>
    </row>
    <row r="337" spans="1:9" ht="20.100000000000001" customHeight="1" x14ac:dyDescent="0.25">
      <c r="A337" s="23">
        <v>12</v>
      </c>
      <c r="B337" s="14" t="s">
        <v>6</v>
      </c>
      <c r="C337" s="85">
        <f>data!BU67</f>
        <v>163</v>
      </c>
      <c r="D337" s="85">
        <f>data!BV67</f>
        <v>74172</v>
      </c>
      <c r="E337" s="85">
        <f>data!BW67</f>
        <v>25535</v>
      </c>
      <c r="F337" s="85">
        <f>data!BX67</f>
        <v>20728</v>
      </c>
      <c r="G337" s="85">
        <f>data!BY67</f>
        <v>283714</v>
      </c>
      <c r="H337" s="85">
        <f>data!BZ67</f>
        <v>11465</v>
      </c>
      <c r="I337" s="85">
        <f>data!CA67</f>
        <v>4539</v>
      </c>
    </row>
    <row r="338" spans="1:9" ht="20.100000000000001" customHeight="1" x14ac:dyDescent="0.25">
      <c r="A338" s="23">
        <v>13</v>
      </c>
      <c r="B338" s="14" t="s">
        <v>474</v>
      </c>
      <c r="C338" s="85">
        <f>data!BU68</f>
        <v>0</v>
      </c>
      <c r="D338" s="85">
        <f>data!BV68</f>
        <v>77925.05</v>
      </c>
      <c r="E338" s="85">
        <f>data!BW68</f>
        <v>0</v>
      </c>
      <c r="F338" s="85">
        <f>data!BX68</f>
        <v>0</v>
      </c>
      <c r="G338" s="85">
        <f>data!BY68</f>
        <v>0</v>
      </c>
      <c r="H338" s="85">
        <f>data!BZ68</f>
        <v>0</v>
      </c>
      <c r="I338" s="85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5">
        <f>data!BU69</f>
        <v>245208.04</v>
      </c>
      <c r="D339" s="85">
        <f>data!BV69</f>
        <v>4787.83</v>
      </c>
      <c r="E339" s="85">
        <f>data!BW69</f>
        <v>69807.56</v>
      </c>
      <c r="F339" s="85">
        <f>data!BX69</f>
        <v>43157.69</v>
      </c>
      <c r="G339" s="85">
        <f>data!BY69</f>
        <v>22108.1</v>
      </c>
      <c r="H339" s="85">
        <f>data!BZ69</f>
        <v>9583.7800000000007</v>
      </c>
      <c r="I339" s="85">
        <f>data!CA69</f>
        <v>382958.15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-15000</v>
      </c>
      <c r="D340" s="14">
        <f>-data!BV70</f>
        <v>-675</v>
      </c>
      <c r="E340" s="14">
        <f>-data!BW70</f>
        <v>-112109.83</v>
      </c>
      <c r="F340" s="14">
        <f>-data!BX70</f>
        <v>0</v>
      </c>
      <c r="G340" s="14">
        <f>-data!BY70</f>
        <v>-19946.830000000002</v>
      </c>
      <c r="H340" s="14">
        <f>-data!BZ70</f>
        <v>0</v>
      </c>
      <c r="I340" s="14">
        <f>-data!CA70</f>
        <v>-87859.34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230371.04</v>
      </c>
      <c r="D341" s="14">
        <f>data!BV71</f>
        <v>6058922.1120000007</v>
      </c>
      <c r="E341" s="14">
        <f>data!BW71</f>
        <v>2728504.1569999992</v>
      </c>
      <c r="F341" s="14">
        <f>data!BX71</f>
        <v>7176595.5000000019</v>
      </c>
      <c r="G341" s="14">
        <f>data!BY71</f>
        <v>2407243.61</v>
      </c>
      <c r="H341" s="14">
        <f>data!BZ71</f>
        <v>4182646.41</v>
      </c>
      <c r="I341" s="14">
        <f>data!CA71</f>
        <v>2234503.3899999997</v>
      </c>
    </row>
    <row r="342" spans="1:9" ht="20.100000000000001" customHeight="1" x14ac:dyDescent="0.25">
      <c r="A342" s="23">
        <v>17</v>
      </c>
      <c r="B342" s="14" t="s">
        <v>244</v>
      </c>
      <c r="C342" s="210"/>
      <c r="D342" s="210"/>
      <c r="E342" s="210"/>
      <c r="F342" s="210"/>
      <c r="G342" s="210"/>
      <c r="H342" s="210"/>
      <c r="I342" s="210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2" t="str">
        <f>IF(data!BU73&gt;0,data!BU73,"")</f>
        <v>x</v>
      </c>
      <c r="D344" s="212" t="str">
        <f>IF(data!BV73&gt;0,data!BV73,"")</f>
        <v>x</v>
      </c>
      <c r="E344" s="212" t="str">
        <f>IF(data!BW73&gt;0,data!BW73,"")</f>
        <v>x</v>
      </c>
      <c r="F344" s="212" t="str">
        <f>IF(data!BX73&gt;0,data!BX73,"")</f>
        <v>x</v>
      </c>
      <c r="G344" s="212" t="str">
        <f>IF(data!BY73&gt;0,data!BY73,"")</f>
        <v>x</v>
      </c>
      <c r="H344" s="212" t="str">
        <f>IF(data!BZ73&gt;0,data!BZ73,"")</f>
        <v>x</v>
      </c>
      <c r="I344" s="212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2" t="str">
        <f>IF(data!BU74&gt;0,data!BU74,"")</f>
        <v>x</v>
      </c>
      <c r="D345" s="212" t="str">
        <f>IF(data!BV74&gt;0,data!BV74,"")</f>
        <v>x</v>
      </c>
      <c r="E345" s="212" t="str">
        <f>IF(data!BW74&gt;0,data!BW74,"")</f>
        <v>x</v>
      </c>
      <c r="F345" s="212" t="str">
        <f>IF(data!BX74&gt;0,data!BX74,"")</f>
        <v>x</v>
      </c>
      <c r="G345" s="212" t="str">
        <f>IF(data!BY74&gt;0,data!BY74,"")</f>
        <v>x</v>
      </c>
      <c r="H345" s="212" t="str">
        <f>IF(data!BZ74&gt;0,data!BZ74,"")</f>
        <v>x</v>
      </c>
      <c r="I345" s="212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2" t="str">
        <f>IF(data!BU75&gt;0,data!BU75,"")</f>
        <v>x</v>
      </c>
      <c r="D346" s="212" t="str">
        <f>IF(data!BV75&gt;0,data!BV75,"")</f>
        <v>x</v>
      </c>
      <c r="E346" s="212" t="str">
        <f>IF(data!BW75&gt;0,data!BW75,"")</f>
        <v>x</v>
      </c>
      <c r="F346" s="212" t="str">
        <f>IF(data!BX75&gt;0,data!BX75,"")</f>
        <v>x</v>
      </c>
      <c r="G346" s="212" t="str">
        <f>IF(data!BY75&gt;0,data!BY75,"")</f>
        <v>x</v>
      </c>
      <c r="H346" s="212" t="str">
        <f>IF(data!BZ75&gt;0,data!BZ75,"")</f>
        <v>x</v>
      </c>
      <c r="I346" s="212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0"/>
      <c r="D347" s="210"/>
      <c r="E347" s="210"/>
      <c r="F347" s="210"/>
      <c r="G347" s="210"/>
      <c r="H347" s="210"/>
      <c r="I347" s="210"/>
    </row>
    <row r="348" spans="1:9" ht="20.100000000000001" customHeight="1" x14ac:dyDescent="0.25">
      <c r="A348" s="23">
        <v>22</v>
      </c>
      <c r="B348" s="14" t="s">
        <v>1186</v>
      </c>
      <c r="C348" s="84">
        <f>data!BU76</f>
        <v>418</v>
      </c>
      <c r="D348" s="84">
        <f>data!BV76</f>
        <v>7657</v>
      </c>
      <c r="E348" s="84">
        <f>data!BW76</f>
        <v>3255</v>
      </c>
      <c r="F348" s="84">
        <f>data!BX76</f>
        <v>16753</v>
      </c>
      <c r="G348" s="84">
        <f>data!BY76</f>
        <v>3146</v>
      </c>
      <c r="H348" s="84">
        <f>data!BZ76</f>
        <v>0</v>
      </c>
      <c r="I348" s="84">
        <f>data!CA76</f>
        <v>3557</v>
      </c>
    </row>
    <row r="349" spans="1:9" ht="20.100000000000001" customHeight="1" x14ac:dyDescent="0.25">
      <c r="A349" s="23">
        <v>23</v>
      </c>
      <c r="B349" s="14" t="s">
        <v>1187</v>
      </c>
      <c r="C349" s="84">
        <f>data!BU77</f>
        <v>0</v>
      </c>
      <c r="D349" s="84">
        <f>data!BV77</f>
        <v>0</v>
      </c>
      <c r="E349" s="84">
        <f>data!BW77</f>
        <v>0</v>
      </c>
      <c r="F349" s="84">
        <f>data!BX77</f>
        <v>0</v>
      </c>
      <c r="G349" s="84">
        <f>data!BY77</f>
        <v>0</v>
      </c>
      <c r="H349" s="84">
        <f>data!BZ77</f>
        <v>0</v>
      </c>
      <c r="I349" s="84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4">
        <f>data!BU78</f>
        <v>46</v>
      </c>
      <c r="D350" s="84">
        <f>data!BV78</f>
        <v>843</v>
      </c>
      <c r="E350" s="84">
        <f>data!BW78</f>
        <v>358</v>
      </c>
      <c r="F350" s="84">
        <f>data!BX78</f>
        <v>1845</v>
      </c>
      <c r="G350" s="84">
        <f>data!BY78</f>
        <v>346</v>
      </c>
      <c r="H350" s="84">
        <f>data!BZ78</f>
        <v>0</v>
      </c>
      <c r="I350" s="84">
        <f>data!CA78</f>
        <v>392</v>
      </c>
    </row>
    <row r="351" spans="1:9" ht="20.100000000000001" customHeight="1" x14ac:dyDescent="0.25">
      <c r="A351" s="23">
        <v>25</v>
      </c>
      <c r="B351" s="14" t="s">
        <v>1189</v>
      </c>
      <c r="C351" s="84">
        <f>data!BU79</f>
        <v>0</v>
      </c>
      <c r="D351" s="84">
        <f>data!BV79</f>
        <v>0</v>
      </c>
      <c r="E351" s="84">
        <f>data!BW79</f>
        <v>0</v>
      </c>
      <c r="F351" s="84">
        <f>data!BX79</f>
        <v>0</v>
      </c>
      <c r="G351" s="84">
        <f>data!BY79</f>
        <v>0</v>
      </c>
      <c r="H351" s="84">
        <f>data!BZ79</f>
        <v>0</v>
      </c>
      <c r="I351" s="84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5" t="str">
        <f>IF(data!BU80&gt;0,data!BU80,"")</f>
        <v/>
      </c>
      <c r="D352" s="215" t="str">
        <f>IF(data!BV80&gt;0,data!BV80,"")</f>
        <v/>
      </c>
      <c r="E352" s="215" t="str">
        <f>IF(data!BW80&gt;0,data!BW80,"")</f>
        <v/>
      </c>
      <c r="F352" s="215" t="str">
        <f>IF(data!BX80&gt;0,data!BX80,"")</f>
        <v/>
      </c>
      <c r="G352" s="215" t="str">
        <f>IF(data!BY80&gt;0,data!BY80,"")</f>
        <v/>
      </c>
      <c r="H352" s="215" t="str">
        <f>IF(data!BZ80&gt;0,data!BZ80,"")</f>
        <v/>
      </c>
      <c r="I352" s="215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6"/>
      <c r="B354" s="76"/>
      <c r="C354" s="76"/>
      <c r="D354" s="45"/>
      <c r="E354" s="76"/>
      <c r="F354" s="76"/>
      <c r="G354" s="76"/>
      <c r="H354" s="76"/>
      <c r="I354" s="167" t="s">
        <v>1226</v>
      </c>
    </row>
    <row r="355" spans="1:9" ht="20.100000000000001" customHeight="1" x14ac:dyDescent="0.25">
      <c r="A355" s="45"/>
      <c r="B355" s="76"/>
      <c r="C355" s="76"/>
      <c r="D355" s="76"/>
      <c r="E355" s="76"/>
      <c r="F355" s="76"/>
      <c r="G355" s="76"/>
      <c r="H355" s="76"/>
      <c r="I355" s="76"/>
    </row>
    <row r="356" spans="1:9" ht="20.100000000000001" customHeight="1" x14ac:dyDescent="0.25">
      <c r="A356" s="78" t="str">
        <f>"HOSPITAL NAME: "&amp;data!C84</f>
        <v>HOSPITAL NAME: EvergreenHealth</v>
      </c>
      <c r="B356" s="76"/>
      <c r="C356" s="76"/>
      <c r="D356" s="76"/>
      <c r="E356" s="76"/>
      <c r="F356" s="76"/>
      <c r="G356" s="79"/>
      <c r="H356" s="78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89"/>
      <c r="G357" s="89"/>
      <c r="H357" s="89"/>
      <c r="I357" s="15"/>
    </row>
    <row r="358" spans="1:9" ht="20.100000000000001" customHeight="1" x14ac:dyDescent="0.25">
      <c r="A358" s="80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0"/>
      <c r="G358" s="90"/>
      <c r="H358" s="90"/>
      <c r="I358" s="18" t="s">
        <v>161</v>
      </c>
    </row>
    <row r="359" spans="1:9" ht="20.100000000000001" customHeight="1" x14ac:dyDescent="0.25">
      <c r="A359" s="81"/>
      <c r="B359" s="82"/>
      <c r="C359" s="18" t="s">
        <v>201</v>
      </c>
      <c r="D359" s="18" t="s">
        <v>1227</v>
      </c>
      <c r="E359" s="18" t="s">
        <v>213</v>
      </c>
      <c r="F359" s="90"/>
      <c r="G359" s="90"/>
      <c r="H359" s="90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1"/>
      <c r="D360" s="211"/>
      <c r="E360" s="211"/>
      <c r="F360" s="211"/>
      <c r="G360" s="211"/>
      <c r="H360" s="211"/>
      <c r="I360" s="211"/>
    </row>
    <row r="361" spans="1:9" ht="20.100000000000001" customHeight="1" x14ac:dyDescent="0.25">
      <c r="A361" s="23">
        <v>4</v>
      </c>
      <c r="B361" s="14" t="s">
        <v>233</v>
      </c>
      <c r="C361" s="211"/>
      <c r="D361" s="211"/>
      <c r="E361" s="211"/>
      <c r="F361" s="211"/>
      <c r="G361" s="211"/>
      <c r="H361" s="211"/>
      <c r="I361" s="211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62.042774038461538</v>
      </c>
      <c r="D362" s="26">
        <f>data!CC60</f>
        <v>39.191312500000002</v>
      </c>
      <c r="E362" s="216"/>
      <c r="F362" s="210"/>
      <c r="G362" s="210"/>
      <c r="H362" s="210"/>
      <c r="I362" s="86">
        <f>data!CE60</f>
        <v>3750.7922451923091</v>
      </c>
    </row>
    <row r="363" spans="1:9" ht="20.100000000000001" customHeight="1" x14ac:dyDescent="0.25">
      <c r="A363" s="23">
        <v>6</v>
      </c>
      <c r="B363" s="14" t="s">
        <v>235</v>
      </c>
      <c r="C363" s="85">
        <f>data!CB61</f>
        <v>4416680.0669999998</v>
      </c>
      <c r="D363" s="85">
        <f>data!CC61</f>
        <v>5300547.5199999996</v>
      </c>
      <c r="E363" s="217"/>
      <c r="F363" s="218"/>
      <c r="G363" s="218"/>
      <c r="H363" s="218"/>
      <c r="I363" s="85">
        <f>data!CE61</f>
        <v>375148454.51999992</v>
      </c>
    </row>
    <row r="364" spans="1:9" ht="20.100000000000001" customHeight="1" x14ac:dyDescent="0.25">
      <c r="A364" s="23">
        <v>7</v>
      </c>
      <c r="B364" s="14" t="s">
        <v>3</v>
      </c>
      <c r="C364" s="85">
        <f>data!CB62</f>
        <v>1220777</v>
      </c>
      <c r="D364" s="85">
        <f>data!CC62</f>
        <v>1000534</v>
      </c>
      <c r="E364" s="217"/>
      <c r="F364" s="218"/>
      <c r="G364" s="218"/>
      <c r="H364" s="218"/>
      <c r="I364" s="85">
        <f>data!CE62</f>
        <v>84783812</v>
      </c>
    </row>
    <row r="365" spans="1:9" ht="20.100000000000001" customHeight="1" x14ac:dyDescent="0.25">
      <c r="A365" s="23">
        <v>8</v>
      </c>
      <c r="B365" s="14" t="s">
        <v>236</v>
      </c>
      <c r="C365" s="85">
        <f>data!CB63</f>
        <v>0</v>
      </c>
      <c r="D365" s="85">
        <f>data!CC63</f>
        <v>410000</v>
      </c>
      <c r="E365" s="217"/>
      <c r="F365" s="218"/>
      <c r="G365" s="218"/>
      <c r="H365" s="218"/>
      <c r="I365" s="85">
        <f>data!CE63</f>
        <v>13770196.049000002</v>
      </c>
    </row>
    <row r="366" spans="1:9" ht="20.100000000000001" customHeight="1" x14ac:dyDescent="0.25">
      <c r="A366" s="23">
        <v>9</v>
      </c>
      <c r="B366" s="14" t="s">
        <v>237</v>
      </c>
      <c r="C366" s="85">
        <f>data!CB64</f>
        <v>94417.820000000022</v>
      </c>
      <c r="D366" s="85">
        <f>data!CC64</f>
        <v>-1577175.96</v>
      </c>
      <c r="E366" s="217"/>
      <c r="F366" s="218"/>
      <c r="G366" s="218"/>
      <c r="H366" s="218"/>
      <c r="I366" s="85">
        <f>data!CE64</f>
        <v>95623016.941999972</v>
      </c>
    </row>
    <row r="367" spans="1:9" ht="20.100000000000001" customHeight="1" x14ac:dyDescent="0.25">
      <c r="A367" s="23">
        <v>10</v>
      </c>
      <c r="B367" s="14" t="s">
        <v>444</v>
      </c>
      <c r="C367" s="85">
        <f>data!CB65</f>
        <v>7699.6500000000005</v>
      </c>
      <c r="D367" s="85">
        <f>data!CC65</f>
        <v>42789.759999999995</v>
      </c>
      <c r="E367" s="217"/>
      <c r="F367" s="218"/>
      <c r="G367" s="218"/>
      <c r="H367" s="218"/>
      <c r="I367" s="85">
        <f>data!CE65</f>
        <v>6490158.9899999993</v>
      </c>
    </row>
    <row r="368" spans="1:9" ht="20.100000000000001" customHeight="1" x14ac:dyDescent="0.25">
      <c r="A368" s="23">
        <v>11</v>
      </c>
      <c r="B368" s="14" t="s">
        <v>445</v>
      </c>
      <c r="C368" s="85">
        <f>data!CB66</f>
        <v>211669.86999999997</v>
      </c>
      <c r="D368" s="85">
        <f>data!CC66</f>
        <v>2210846.4300000002</v>
      </c>
      <c r="E368" s="217"/>
      <c r="F368" s="218"/>
      <c r="G368" s="218"/>
      <c r="H368" s="218"/>
      <c r="I368" s="85">
        <f>data!CE66</f>
        <v>51362045.508000001</v>
      </c>
    </row>
    <row r="369" spans="1:9" ht="20.100000000000001" customHeight="1" x14ac:dyDescent="0.25">
      <c r="A369" s="23">
        <v>12</v>
      </c>
      <c r="B369" s="14" t="s">
        <v>6</v>
      </c>
      <c r="C369" s="85">
        <f>data!CB67</f>
        <v>88308</v>
      </c>
      <c r="D369" s="85">
        <f>data!CC67</f>
        <v>89266</v>
      </c>
      <c r="E369" s="217"/>
      <c r="F369" s="218"/>
      <c r="G369" s="218"/>
      <c r="H369" s="218"/>
      <c r="I369" s="85">
        <f>data!CE67</f>
        <v>35523008</v>
      </c>
    </row>
    <row r="370" spans="1:9" ht="20.100000000000001" customHeight="1" x14ac:dyDescent="0.25">
      <c r="A370" s="23">
        <v>13</v>
      </c>
      <c r="B370" s="14" t="s">
        <v>474</v>
      </c>
      <c r="C370" s="85">
        <f>data!CB68</f>
        <v>142306.88</v>
      </c>
      <c r="D370" s="85">
        <f>data!CC68</f>
        <v>1075</v>
      </c>
      <c r="E370" s="217"/>
      <c r="F370" s="218"/>
      <c r="G370" s="218"/>
      <c r="H370" s="218"/>
      <c r="I370" s="85">
        <f>data!CE68</f>
        <v>15230523.930000003</v>
      </c>
    </row>
    <row r="371" spans="1:9" ht="20.100000000000001" customHeight="1" x14ac:dyDescent="0.25">
      <c r="A371" s="23">
        <v>14</v>
      </c>
      <c r="B371" s="14" t="s">
        <v>241</v>
      </c>
      <c r="C371" s="85">
        <f>data!CB69</f>
        <v>13677.07</v>
      </c>
      <c r="D371" s="85">
        <f>data!CC69</f>
        <v>2191950.0299999998</v>
      </c>
      <c r="E371" s="85">
        <f>data!CD69</f>
        <v>9913000.879999999</v>
      </c>
      <c r="F371" s="218"/>
      <c r="G371" s="218"/>
      <c r="H371" s="218"/>
      <c r="I371" s="85">
        <f>data!CE69</f>
        <v>18740438.419999998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-947053.91</v>
      </c>
      <c r="D372" s="14">
        <f>-data!CC70</f>
        <v>-10189993.16</v>
      </c>
      <c r="E372" s="228">
        <f>data!CD70</f>
        <v>92184.31</v>
      </c>
      <c r="F372" s="219"/>
      <c r="G372" s="219"/>
      <c r="H372" s="219"/>
      <c r="I372" s="14">
        <f>-data!CE70</f>
        <v>-35920553.053000003</v>
      </c>
    </row>
    <row r="373" spans="1:9" ht="20.100000000000001" customHeight="1" x14ac:dyDescent="0.25">
      <c r="A373" s="23">
        <v>16</v>
      </c>
      <c r="B373" s="48" t="s">
        <v>1180</v>
      </c>
      <c r="C373" s="85">
        <f>data!CB71</f>
        <v>5248482.4470000006</v>
      </c>
      <c r="D373" s="85">
        <f>data!CC71</f>
        <v>-520160.38000000082</v>
      </c>
      <c r="E373" s="85">
        <f>data!CD71</f>
        <v>9820816.5699999984</v>
      </c>
      <c r="F373" s="218"/>
      <c r="G373" s="218"/>
      <c r="H373" s="218"/>
      <c r="I373" s="14">
        <f>data!CE71</f>
        <v>660751101.30599988</v>
      </c>
    </row>
    <row r="374" spans="1:9" ht="20.100000000000001" customHeight="1" x14ac:dyDescent="0.25">
      <c r="A374" s="23">
        <v>17</v>
      </c>
      <c r="B374" s="14" t="s">
        <v>244</v>
      </c>
      <c r="C374" s="218"/>
      <c r="D374" s="218"/>
      <c r="E374" s="218"/>
      <c r="F374" s="218"/>
      <c r="G374" s="218"/>
      <c r="H374" s="218"/>
      <c r="I374" s="14">
        <f>-data!CE72</f>
        <v>-26216729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2" t="str">
        <f>IF(data!CB73&gt;0,data!CB73,"")</f>
        <v>x</v>
      </c>
      <c r="D376" s="212" t="str">
        <f>IF(data!CC73&gt;0,data!CC73,"")</f>
        <v>x</v>
      </c>
      <c r="E376" s="213"/>
      <c r="F376" s="210"/>
      <c r="G376" s="210"/>
      <c r="H376" s="210"/>
      <c r="I376" s="84">
        <f>data!CE73</f>
        <v>781301600.66999996</v>
      </c>
    </row>
    <row r="377" spans="1:9" ht="20.100000000000001" customHeight="1" x14ac:dyDescent="0.25">
      <c r="A377" s="23">
        <v>20</v>
      </c>
      <c r="B377" s="48" t="s">
        <v>1183</v>
      </c>
      <c r="C377" s="212" t="str">
        <f>IF(data!CB74&gt;0,data!CB74,"")</f>
        <v>x</v>
      </c>
      <c r="D377" s="212" t="str">
        <f>IF(data!CC74&gt;0,data!CC74,"")</f>
        <v>x</v>
      </c>
      <c r="E377" s="213"/>
      <c r="F377" s="210"/>
      <c r="G377" s="210"/>
      <c r="H377" s="210"/>
      <c r="I377" s="84">
        <f>data!CE74</f>
        <v>1084636034.6600001</v>
      </c>
    </row>
    <row r="378" spans="1:9" ht="20.100000000000001" customHeight="1" x14ac:dyDescent="0.25">
      <c r="A378" s="23">
        <v>21</v>
      </c>
      <c r="B378" s="48" t="s">
        <v>1184</v>
      </c>
      <c r="C378" s="212" t="str">
        <f>IF(data!CB75&gt;0,data!CB75,"")</f>
        <v>x</v>
      </c>
      <c r="D378" s="212" t="str">
        <f>IF(data!CC75&gt;0,data!CC75,"")</f>
        <v>x</v>
      </c>
      <c r="E378" s="213"/>
      <c r="F378" s="210"/>
      <c r="G378" s="210"/>
      <c r="H378" s="210"/>
      <c r="I378" s="84">
        <f>data!CE75</f>
        <v>1865937635.3300002</v>
      </c>
    </row>
    <row r="379" spans="1:9" ht="20.100000000000001" customHeight="1" x14ac:dyDescent="0.25">
      <c r="A379" s="23" t="s">
        <v>1185</v>
      </c>
      <c r="B379" s="60"/>
      <c r="C379" s="210"/>
      <c r="D379" s="210"/>
      <c r="E379" s="210"/>
      <c r="F379" s="210"/>
      <c r="G379" s="210"/>
      <c r="H379" s="210"/>
      <c r="I379" s="210"/>
    </row>
    <row r="380" spans="1:9" ht="20.100000000000001" customHeight="1" x14ac:dyDescent="0.25">
      <c r="A380" s="23">
        <v>22</v>
      </c>
      <c r="B380" s="14" t="s">
        <v>1186</v>
      </c>
      <c r="C380" s="84">
        <f>data!CB76</f>
        <v>7255</v>
      </c>
      <c r="D380" s="84">
        <f>data!CC76</f>
        <v>6428</v>
      </c>
      <c r="E380" s="213"/>
      <c r="F380" s="210"/>
      <c r="G380" s="210"/>
      <c r="H380" s="210"/>
      <c r="I380" s="14">
        <f>data!CE76</f>
        <v>1906540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2" t="str">
        <f>IF(data!CC77&gt;0,data!CC77,"")</f>
        <v>x</v>
      </c>
      <c r="E381" s="213"/>
      <c r="F381" s="210"/>
      <c r="G381" s="210"/>
      <c r="H381" s="210"/>
      <c r="I381" s="14">
        <f>data!CE77</f>
        <v>189152</v>
      </c>
    </row>
    <row r="382" spans="1:9" ht="20.100000000000001" customHeight="1" x14ac:dyDescent="0.25">
      <c r="A382" s="23">
        <v>24</v>
      </c>
      <c r="B382" s="14" t="s">
        <v>1188</v>
      </c>
      <c r="C382" s="14">
        <f>IF(data!CB78&gt;0,data!CB78,"")</f>
        <v>799</v>
      </c>
      <c r="D382" s="212" t="str">
        <f>IF(data!CC78&gt;0,data!CC78,"")</f>
        <v>x</v>
      </c>
      <c r="E382" s="213"/>
      <c r="F382" s="210"/>
      <c r="G382" s="210"/>
      <c r="H382" s="210"/>
      <c r="I382" s="14">
        <f>data!CE78</f>
        <v>114862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2" t="str">
        <f>IF(data!CC79&gt;0,data!CC79,"")</f>
        <v>x</v>
      </c>
      <c r="E383" s="213"/>
      <c r="F383" s="210"/>
      <c r="G383" s="210"/>
      <c r="H383" s="210"/>
      <c r="I383" s="14">
        <f>data!CE79</f>
        <v>2145199.13</v>
      </c>
    </row>
    <row r="384" spans="1:9" ht="20.100000000000001" customHeight="1" x14ac:dyDescent="0.25">
      <c r="A384" s="23">
        <v>26</v>
      </c>
      <c r="B384" s="14" t="s">
        <v>252</v>
      </c>
      <c r="C384" s="212" t="str">
        <f>IF(data!CB80&gt;0,data!CB80,"")</f>
        <v/>
      </c>
      <c r="D384" s="212" t="str">
        <f>IF(data!CC80&gt;0,data!CC80,"")</f>
        <v>x</v>
      </c>
      <c r="E384" s="216"/>
      <c r="F384" s="210"/>
      <c r="G384" s="210"/>
      <c r="H384" s="210"/>
      <c r="I384" s="83">
        <f>data!CE80</f>
        <v>926.31720192307648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EvergreenHealth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2019-06-27T21:27:44Z</cp:lastPrinted>
  <dcterms:created xsi:type="dcterms:W3CDTF">1999-06-02T22:01:56Z</dcterms:created>
  <dcterms:modified xsi:type="dcterms:W3CDTF">2019-06-27T21:48:08Z</dcterms:modified>
</cp:coreProperties>
</file>