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YearEnd\YearEnd2Web\"/>
    </mc:Choice>
  </mc:AlternateContent>
  <bookViews>
    <workbookView xWindow="-8208" yWindow="2016" windowWidth="19200" windowHeight="8064" tabRatio="847"/>
  </bookViews>
  <sheets>
    <sheet name="data" sheetId="1" r:id="rId1"/>
    <sheet name="Transmittal" sheetId="2" r:id="rId2"/>
    <sheet name="INFO_PG1" sheetId="3" r:id="rId3"/>
    <sheet name="INFO_PG2" sheetId="4" r:id="rId4"/>
    <sheet name="SS2_3_5_6" sheetId="5" r:id="rId5"/>
    <sheet name="SS4" sheetId="6" r:id="rId6"/>
    <sheet name="SS8" sheetId="7" r:id="rId7"/>
    <sheet name="FS" sheetId="8" r:id="rId8"/>
    <sheet name="CC's" sheetId="9" r:id="rId9"/>
    <sheet name="Prior Year" sheetId="10" r:id="rId10"/>
  </sheets>
  <definedNames>
    <definedName name="_Fill" localSheetId="9" hidden="1">'Prior Year'!$DR$819:$DR$864</definedName>
    <definedName name="_Fill" hidden="1">data!$DR$823:$DR$868</definedName>
    <definedName name="Costcenter" localSheetId="9">'Prior Year'!#REF!</definedName>
    <definedName name="Costcenter">data!#REF!</definedName>
    <definedName name="Edit" localSheetId="9">'Prior Year'!$A$410:$E$477</definedName>
    <definedName name="Edit">data!$A$411:$E$478</definedName>
    <definedName name="Funds" localSheetId="9">'Prior Year'!#REF!</definedName>
    <definedName name="Funds">data!#REF!</definedName>
    <definedName name="Hospital" localSheetId="9">'Prior Year'!#REF!</definedName>
    <definedName name="Hospital">data!#REF!</definedName>
    <definedName name="_xlnm.Print_Area" localSheetId="8">'CC''s'!$A$1:$I$384</definedName>
    <definedName name="_xlnm.Print_Area" localSheetId="0">data!$A$411:$E$478</definedName>
    <definedName name="_xlnm.Print_Area" localSheetId="7">FS!$A$1:$D$153</definedName>
    <definedName name="_xlnm.Print_Area" localSheetId="2">INFO_PG1!$A$1:$G$40</definedName>
    <definedName name="_xlnm.Print_Area" localSheetId="3">INFO_PG2!$A$1:$G$33</definedName>
    <definedName name="_xlnm.Print_Area" localSheetId="9">'Prior Year'!$A$410:$E$477</definedName>
    <definedName name="_xlnm.Print_Area" localSheetId="4">SS2_3_5_6!$A$1:$C$40</definedName>
    <definedName name="_xlnm.Print_Area" localSheetId="5">'SS4'!$A$1:$F$32</definedName>
    <definedName name="_xlnm.Print_Area" localSheetId="6">'SS8'!$A$1:$D$34</definedName>
    <definedName name="Support" localSheetId="9">'Prior Year'!#REF!</definedName>
    <definedName name="Support">data!#REF!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D69" i="1" l="1"/>
  <c r="C327" i="1"/>
  <c r="C200" i="1" l="1"/>
  <c r="C382" i="1"/>
  <c r="C250" i="1"/>
  <c r="C363" i="1"/>
  <c r="C384" i="1"/>
  <c r="C262" i="1"/>
  <c r="C365" i="1"/>
  <c r="C223" i="1"/>
  <c r="B198" i="1"/>
  <c r="C370" i="1"/>
  <c r="C324" i="1"/>
  <c r="C332" i="1"/>
  <c r="C271" i="1"/>
  <c r="B203" i="1"/>
  <c r="C306" i="1"/>
  <c r="C167" i="1"/>
  <c r="C325" i="1"/>
  <c r="C274" i="1"/>
  <c r="C378" i="1"/>
  <c r="B213" i="1"/>
  <c r="C310" i="1"/>
  <c r="C380" i="1"/>
  <c r="C253" i="1"/>
  <c r="C359" i="1"/>
  <c r="B200" i="1"/>
  <c r="C364" i="1"/>
  <c r="C282" i="1"/>
  <c r="C224" i="1"/>
  <c r="B195" i="1"/>
  <c r="C168" i="1"/>
  <c r="C360" i="1"/>
  <c r="C165" i="1"/>
  <c r="C313" i="1"/>
  <c r="C264" i="1"/>
  <c r="B196" i="1"/>
  <c r="B197" i="1"/>
  <c r="C272" i="1"/>
  <c r="C385" i="1"/>
  <c r="C255" i="1"/>
  <c r="C307" i="1"/>
  <c r="C166" i="1"/>
  <c r="C268" i="1"/>
  <c r="C267" i="1"/>
  <c r="C381" i="1"/>
  <c r="C227" i="1"/>
  <c r="C276" i="1"/>
  <c r="C383" i="1"/>
  <c r="C258" i="1"/>
  <c r="C386" i="1"/>
  <c r="C257" i="1"/>
  <c r="C371" i="1"/>
  <c r="B209" i="1"/>
  <c r="C269" i="1"/>
  <c r="C379" i="1"/>
  <c r="C252" i="1"/>
  <c r="F493" i="1" l="1"/>
  <c r="D493" i="1"/>
  <c r="B493" i="1"/>
  <c r="B575" i="1" l="1"/>
  <c r="B568" i="1"/>
  <c r="B560" i="1"/>
  <c r="B552" i="1"/>
  <c r="B550" i="1"/>
  <c r="B544" i="1"/>
  <c r="B536" i="1"/>
  <c r="B528" i="1"/>
  <c r="B520" i="1"/>
  <c r="B516" i="1"/>
  <c r="O816" i="10"/>
  <c r="M816" i="10"/>
  <c r="L816" i="10"/>
  <c r="K816" i="10"/>
  <c r="J816" i="10"/>
  <c r="I816" i="10"/>
  <c r="H816" i="10"/>
  <c r="G816" i="10"/>
  <c r="F816" i="10"/>
  <c r="E816" i="10"/>
  <c r="D816" i="10"/>
  <c r="W812" i="10"/>
  <c r="W814" i="10" s="1"/>
  <c r="Y812" i="10"/>
  <c r="Y814" i="10" s="1"/>
  <c r="X812" i="10"/>
  <c r="X814" i="10" s="1"/>
  <c r="V812" i="10"/>
  <c r="V814" i="10" s="1"/>
  <c r="U812" i="10"/>
  <c r="U814" i="10" s="1"/>
  <c r="A812" i="10"/>
  <c r="T811" i="10"/>
  <c r="S811" i="10"/>
  <c r="R811" i="10"/>
  <c r="Q811" i="10"/>
  <c r="P811" i="10"/>
  <c r="M811" i="10"/>
  <c r="L811" i="10"/>
  <c r="K811" i="10"/>
  <c r="I811" i="10"/>
  <c r="H811" i="10"/>
  <c r="G811" i="10"/>
  <c r="F811" i="10"/>
  <c r="D811" i="10"/>
  <c r="C811" i="10"/>
  <c r="A811" i="10"/>
  <c r="T810" i="10"/>
  <c r="S810" i="10"/>
  <c r="R810" i="10"/>
  <c r="Q810" i="10"/>
  <c r="P810" i="10"/>
  <c r="M810" i="10"/>
  <c r="L810" i="10"/>
  <c r="K810" i="10"/>
  <c r="I810" i="10"/>
  <c r="H810" i="10"/>
  <c r="G810" i="10"/>
  <c r="F810" i="10"/>
  <c r="D810" i="10"/>
  <c r="C810" i="10"/>
  <c r="A810" i="10"/>
  <c r="T809" i="10"/>
  <c r="S809" i="10"/>
  <c r="R809" i="10"/>
  <c r="Q809" i="10"/>
  <c r="P809" i="10"/>
  <c r="M809" i="10"/>
  <c r="L809" i="10"/>
  <c r="K809" i="10"/>
  <c r="I809" i="10"/>
  <c r="H809" i="10"/>
  <c r="G809" i="10"/>
  <c r="F809" i="10"/>
  <c r="D809" i="10"/>
  <c r="C809" i="10"/>
  <c r="A809" i="10"/>
  <c r="T808" i="10"/>
  <c r="S808" i="10"/>
  <c r="R808" i="10"/>
  <c r="Q808" i="10"/>
  <c r="P808" i="10"/>
  <c r="M808" i="10"/>
  <c r="L808" i="10"/>
  <c r="K808" i="10"/>
  <c r="I808" i="10"/>
  <c r="H808" i="10"/>
  <c r="G808" i="10"/>
  <c r="F808" i="10"/>
  <c r="D808" i="10"/>
  <c r="C808" i="10"/>
  <c r="A808" i="10"/>
  <c r="T807" i="10"/>
  <c r="S807" i="10"/>
  <c r="R807" i="10"/>
  <c r="Q807" i="10"/>
  <c r="P807" i="10"/>
  <c r="M807" i="10"/>
  <c r="L807" i="10"/>
  <c r="K807" i="10"/>
  <c r="I807" i="10"/>
  <c r="H807" i="10"/>
  <c r="G807" i="10"/>
  <c r="F807" i="10"/>
  <c r="D807" i="10"/>
  <c r="C807" i="10"/>
  <c r="A807" i="10"/>
  <c r="T806" i="10"/>
  <c r="S806" i="10"/>
  <c r="R806" i="10"/>
  <c r="Q806" i="10"/>
  <c r="P806" i="10"/>
  <c r="M806" i="10"/>
  <c r="L806" i="10"/>
  <c r="K806" i="10"/>
  <c r="I806" i="10"/>
  <c r="H806" i="10"/>
  <c r="G806" i="10"/>
  <c r="F806" i="10"/>
  <c r="D806" i="10"/>
  <c r="C806" i="10"/>
  <c r="A806" i="10"/>
  <c r="T805" i="10"/>
  <c r="S805" i="10"/>
  <c r="R805" i="10"/>
  <c r="Q805" i="10"/>
  <c r="P805" i="10"/>
  <c r="M805" i="10"/>
  <c r="L805" i="10"/>
  <c r="K805" i="10"/>
  <c r="I805" i="10"/>
  <c r="H805" i="10"/>
  <c r="G805" i="10"/>
  <c r="F805" i="10"/>
  <c r="D805" i="10"/>
  <c r="C805" i="10"/>
  <c r="A805" i="10"/>
  <c r="T804" i="10"/>
  <c r="S804" i="10"/>
  <c r="R804" i="10"/>
  <c r="Q804" i="10"/>
  <c r="P804" i="10"/>
  <c r="M804" i="10"/>
  <c r="L804" i="10"/>
  <c r="K804" i="10"/>
  <c r="I804" i="10"/>
  <c r="H804" i="10"/>
  <c r="G804" i="10"/>
  <c r="F804" i="10"/>
  <c r="D804" i="10"/>
  <c r="C804" i="10"/>
  <c r="A804" i="10"/>
  <c r="T803" i="10"/>
  <c r="S803" i="10"/>
  <c r="R803" i="10"/>
  <c r="Q803" i="10"/>
  <c r="P803" i="10"/>
  <c r="M803" i="10"/>
  <c r="L803" i="10"/>
  <c r="K803" i="10"/>
  <c r="I803" i="10"/>
  <c r="H803" i="10"/>
  <c r="G803" i="10"/>
  <c r="F803" i="10"/>
  <c r="D803" i="10"/>
  <c r="C803" i="10"/>
  <c r="A803" i="10"/>
  <c r="T802" i="10"/>
  <c r="S802" i="10"/>
  <c r="R802" i="10"/>
  <c r="Q802" i="10"/>
  <c r="P802" i="10"/>
  <c r="M802" i="10"/>
  <c r="L802" i="10"/>
  <c r="K802" i="10"/>
  <c r="I802" i="10"/>
  <c r="H802" i="10"/>
  <c r="G802" i="10"/>
  <c r="F802" i="10"/>
  <c r="D802" i="10"/>
  <c r="C802" i="10"/>
  <c r="A802" i="10"/>
  <c r="T801" i="10"/>
  <c r="S801" i="10"/>
  <c r="R801" i="10"/>
  <c r="Q801" i="10"/>
  <c r="P801" i="10"/>
  <c r="M801" i="10"/>
  <c r="L801" i="10"/>
  <c r="K801" i="10"/>
  <c r="I801" i="10"/>
  <c r="H801" i="10"/>
  <c r="G801" i="10"/>
  <c r="F801" i="10"/>
  <c r="D801" i="10"/>
  <c r="C801" i="10"/>
  <c r="A801" i="10"/>
  <c r="T800" i="10"/>
  <c r="S800" i="10"/>
  <c r="R800" i="10"/>
  <c r="Q800" i="10"/>
  <c r="P800" i="10"/>
  <c r="M800" i="10"/>
  <c r="L800" i="10"/>
  <c r="K800" i="10"/>
  <c r="I800" i="10"/>
  <c r="H800" i="10"/>
  <c r="G800" i="10"/>
  <c r="F800" i="10"/>
  <c r="D800" i="10"/>
  <c r="C800" i="10"/>
  <c r="A800" i="10"/>
  <c r="T799" i="10"/>
  <c r="S799" i="10"/>
  <c r="R799" i="10"/>
  <c r="Q799" i="10"/>
  <c r="P799" i="10"/>
  <c r="M799" i="10"/>
  <c r="L799" i="10"/>
  <c r="K799" i="10"/>
  <c r="I799" i="10"/>
  <c r="H799" i="10"/>
  <c r="G799" i="10"/>
  <c r="F799" i="10"/>
  <c r="D799" i="10"/>
  <c r="C799" i="10"/>
  <c r="A799" i="10"/>
  <c r="T798" i="10"/>
  <c r="S798" i="10"/>
  <c r="R798" i="10"/>
  <c r="Q798" i="10"/>
  <c r="P798" i="10"/>
  <c r="M798" i="10"/>
  <c r="L798" i="10"/>
  <c r="K798" i="10"/>
  <c r="I798" i="10"/>
  <c r="H798" i="10"/>
  <c r="G798" i="10"/>
  <c r="F798" i="10"/>
  <c r="D798" i="10"/>
  <c r="C798" i="10"/>
  <c r="A798" i="10"/>
  <c r="T797" i="10"/>
  <c r="S797" i="10"/>
  <c r="R797" i="10"/>
  <c r="Q797" i="10"/>
  <c r="P797" i="10"/>
  <c r="M797" i="10"/>
  <c r="L797" i="10"/>
  <c r="K797" i="10"/>
  <c r="I797" i="10"/>
  <c r="H797" i="10"/>
  <c r="G797" i="10"/>
  <c r="F797" i="10"/>
  <c r="D797" i="10"/>
  <c r="C797" i="10"/>
  <c r="A797" i="10"/>
  <c r="T796" i="10"/>
  <c r="S796" i="10"/>
  <c r="R796" i="10"/>
  <c r="Q796" i="10"/>
  <c r="P796" i="10"/>
  <c r="M796" i="10"/>
  <c r="L796" i="10"/>
  <c r="K796" i="10"/>
  <c r="I796" i="10"/>
  <c r="H796" i="10"/>
  <c r="G796" i="10"/>
  <c r="F796" i="10"/>
  <c r="D796" i="10"/>
  <c r="C796" i="10"/>
  <c r="A796" i="10"/>
  <c r="T795" i="10"/>
  <c r="S795" i="10"/>
  <c r="R795" i="10"/>
  <c r="Q795" i="10"/>
  <c r="P795" i="10"/>
  <c r="M795" i="10"/>
  <c r="L795" i="10"/>
  <c r="K795" i="10"/>
  <c r="I795" i="10"/>
  <c r="H795" i="10"/>
  <c r="G795" i="10"/>
  <c r="F795" i="10"/>
  <c r="D795" i="10"/>
  <c r="C795" i="10"/>
  <c r="A795" i="10"/>
  <c r="T794" i="10"/>
  <c r="S794" i="10"/>
  <c r="R794" i="10"/>
  <c r="Q794" i="10"/>
  <c r="P794" i="10"/>
  <c r="M794" i="10"/>
  <c r="L794" i="10"/>
  <c r="K794" i="10"/>
  <c r="I794" i="10"/>
  <c r="H794" i="10"/>
  <c r="G794" i="10"/>
  <c r="F794" i="10"/>
  <c r="D794" i="10"/>
  <c r="C794" i="10"/>
  <c r="A794" i="10"/>
  <c r="T793" i="10"/>
  <c r="S793" i="10"/>
  <c r="R793" i="10"/>
  <c r="Q793" i="10"/>
  <c r="P793" i="10"/>
  <c r="M793" i="10"/>
  <c r="L793" i="10"/>
  <c r="K793" i="10"/>
  <c r="I793" i="10"/>
  <c r="H793" i="10"/>
  <c r="G793" i="10"/>
  <c r="F793" i="10"/>
  <c r="D793" i="10"/>
  <c r="C793" i="10"/>
  <c r="A793" i="10"/>
  <c r="T792" i="10"/>
  <c r="S792" i="10"/>
  <c r="R792" i="10"/>
  <c r="Q792" i="10"/>
  <c r="P792" i="10"/>
  <c r="M792" i="10"/>
  <c r="L792" i="10"/>
  <c r="K792" i="10"/>
  <c r="I792" i="10"/>
  <c r="H792" i="10"/>
  <c r="G792" i="10"/>
  <c r="F792" i="10"/>
  <c r="D792" i="10"/>
  <c r="C792" i="10"/>
  <c r="A792" i="10"/>
  <c r="T791" i="10"/>
  <c r="S791" i="10"/>
  <c r="R791" i="10"/>
  <c r="Q791" i="10"/>
  <c r="P791" i="10"/>
  <c r="M791" i="10"/>
  <c r="L791" i="10"/>
  <c r="K791" i="10"/>
  <c r="I791" i="10"/>
  <c r="H791" i="10"/>
  <c r="G791" i="10"/>
  <c r="F791" i="10"/>
  <c r="D791" i="10"/>
  <c r="C791" i="10"/>
  <c r="A791" i="10"/>
  <c r="T790" i="10"/>
  <c r="S790" i="10"/>
  <c r="R790" i="10"/>
  <c r="Q790" i="10"/>
  <c r="P790" i="10"/>
  <c r="M790" i="10"/>
  <c r="L790" i="10"/>
  <c r="K790" i="10"/>
  <c r="I790" i="10"/>
  <c r="H790" i="10"/>
  <c r="G790" i="10"/>
  <c r="F790" i="10"/>
  <c r="D790" i="10"/>
  <c r="C790" i="10"/>
  <c r="A790" i="10"/>
  <c r="T789" i="10"/>
  <c r="S789" i="10"/>
  <c r="R789" i="10"/>
  <c r="Q789" i="10"/>
  <c r="P789" i="10"/>
  <c r="M789" i="10"/>
  <c r="L789" i="10"/>
  <c r="K789" i="10"/>
  <c r="I789" i="10"/>
  <c r="H789" i="10"/>
  <c r="G789" i="10"/>
  <c r="F789" i="10"/>
  <c r="D789" i="10"/>
  <c r="C789" i="10"/>
  <c r="A789" i="10"/>
  <c r="T788" i="10"/>
  <c r="S788" i="10"/>
  <c r="R788" i="10"/>
  <c r="Q788" i="10"/>
  <c r="P788" i="10"/>
  <c r="M788" i="10"/>
  <c r="L788" i="10"/>
  <c r="K788" i="10"/>
  <c r="I788" i="10"/>
  <c r="H788" i="10"/>
  <c r="G788" i="10"/>
  <c r="F788" i="10"/>
  <c r="D788" i="10"/>
  <c r="C788" i="10"/>
  <c r="A788" i="10"/>
  <c r="T787" i="10"/>
  <c r="S787" i="10"/>
  <c r="R787" i="10"/>
  <c r="Q787" i="10"/>
  <c r="P787" i="10"/>
  <c r="M787" i="10"/>
  <c r="L787" i="10"/>
  <c r="K787" i="10"/>
  <c r="I787" i="10"/>
  <c r="H787" i="10"/>
  <c r="G787" i="10"/>
  <c r="F787" i="10"/>
  <c r="D787" i="10"/>
  <c r="C787" i="10"/>
  <c r="B787" i="10"/>
  <c r="A787" i="10"/>
  <c r="T786" i="10"/>
  <c r="S786" i="10"/>
  <c r="R786" i="10"/>
  <c r="Q786" i="10"/>
  <c r="P786" i="10"/>
  <c r="M786" i="10"/>
  <c r="L786" i="10"/>
  <c r="K786" i="10"/>
  <c r="I786" i="10"/>
  <c r="H786" i="10"/>
  <c r="G786" i="10"/>
  <c r="F786" i="10"/>
  <c r="D786" i="10"/>
  <c r="C786" i="10"/>
  <c r="A786" i="10"/>
  <c r="T785" i="10"/>
  <c r="S785" i="10"/>
  <c r="R785" i="10"/>
  <c r="Q785" i="10"/>
  <c r="P785" i="10"/>
  <c r="M785" i="10"/>
  <c r="L785" i="10"/>
  <c r="K785" i="10"/>
  <c r="I785" i="10"/>
  <c r="H785" i="10"/>
  <c r="G785" i="10"/>
  <c r="F785" i="10"/>
  <c r="D785" i="10"/>
  <c r="C785" i="10"/>
  <c r="A785" i="10"/>
  <c r="T784" i="10"/>
  <c r="S784" i="10"/>
  <c r="R784" i="10"/>
  <c r="Q784" i="10"/>
  <c r="P784" i="10"/>
  <c r="M784" i="10"/>
  <c r="L784" i="10"/>
  <c r="K784" i="10"/>
  <c r="I784" i="10"/>
  <c r="H784" i="10"/>
  <c r="G784" i="10"/>
  <c r="F784" i="10"/>
  <c r="D784" i="10"/>
  <c r="C784" i="10"/>
  <c r="A784" i="10"/>
  <c r="T783" i="10"/>
  <c r="S783" i="10"/>
  <c r="R783" i="10"/>
  <c r="Q783" i="10"/>
  <c r="P783" i="10"/>
  <c r="M783" i="10"/>
  <c r="L783" i="10"/>
  <c r="K783" i="10"/>
  <c r="I783" i="10"/>
  <c r="H783" i="10"/>
  <c r="G783" i="10"/>
  <c r="F783" i="10"/>
  <c r="D783" i="10"/>
  <c r="C783" i="10"/>
  <c r="B783" i="10"/>
  <c r="A783" i="10"/>
  <c r="T782" i="10"/>
  <c r="S782" i="10"/>
  <c r="R782" i="10"/>
  <c r="Q782" i="10"/>
  <c r="P782" i="10"/>
  <c r="M782" i="10"/>
  <c r="L782" i="10"/>
  <c r="K782" i="10"/>
  <c r="I782" i="10"/>
  <c r="H782" i="10"/>
  <c r="G782" i="10"/>
  <c r="F782" i="10"/>
  <c r="D782" i="10"/>
  <c r="C782" i="10"/>
  <c r="B782" i="10"/>
  <c r="A782" i="10"/>
  <c r="T781" i="10"/>
  <c r="S781" i="10"/>
  <c r="R781" i="10"/>
  <c r="Q781" i="10"/>
  <c r="P781" i="10"/>
  <c r="M781" i="10"/>
  <c r="L781" i="10"/>
  <c r="K781" i="10"/>
  <c r="I781" i="10"/>
  <c r="H781" i="10"/>
  <c r="G781" i="10"/>
  <c r="F781" i="10"/>
  <c r="D781" i="10"/>
  <c r="C781" i="10"/>
  <c r="B781" i="10"/>
  <c r="A781" i="10"/>
  <c r="T780" i="10"/>
  <c r="S780" i="10"/>
  <c r="R780" i="10"/>
  <c r="Q780" i="10"/>
  <c r="P780" i="10"/>
  <c r="M780" i="10"/>
  <c r="L780" i="10"/>
  <c r="K780" i="10"/>
  <c r="I780" i="10"/>
  <c r="H780" i="10"/>
  <c r="G780" i="10"/>
  <c r="F780" i="10"/>
  <c r="D780" i="10"/>
  <c r="C780" i="10"/>
  <c r="A780" i="10"/>
  <c r="T779" i="10"/>
  <c r="S779" i="10"/>
  <c r="R779" i="10"/>
  <c r="Q779" i="10"/>
  <c r="P779" i="10"/>
  <c r="M779" i="10"/>
  <c r="L779" i="10"/>
  <c r="K779" i="10"/>
  <c r="I779" i="10"/>
  <c r="H779" i="10"/>
  <c r="G779" i="10"/>
  <c r="F779" i="10"/>
  <c r="D779" i="10"/>
  <c r="C779" i="10"/>
  <c r="A779" i="10"/>
  <c r="T778" i="10"/>
  <c r="S778" i="10"/>
  <c r="R778" i="10"/>
  <c r="Q778" i="10"/>
  <c r="P778" i="10"/>
  <c r="O778" i="10"/>
  <c r="M778" i="10"/>
  <c r="L778" i="10"/>
  <c r="K778" i="10"/>
  <c r="I778" i="10"/>
  <c r="H778" i="10"/>
  <c r="G778" i="10"/>
  <c r="F778" i="10"/>
  <c r="D778" i="10"/>
  <c r="C778" i="10"/>
  <c r="A778" i="10"/>
  <c r="T777" i="10"/>
  <c r="S777" i="10"/>
  <c r="R777" i="10"/>
  <c r="Q777" i="10"/>
  <c r="P777" i="10"/>
  <c r="O777" i="10"/>
  <c r="M777" i="10"/>
  <c r="L777" i="10"/>
  <c r="K777" i="10"/>
  <c r="I777" i="10"/>
  <c r="H777" i="10"/>
  <c r="G777" i="10"/>
  <c r="F777" i="10"/>
  <c r="D777" i="10"/>
  <c r="C777" i="10"/>
  <c r="B777" i="10"/>
  <c r="A777" i="10"/>
  <c r="T776" i="10"/>
  <c r="S776" i="10"/>
  <c r="R776" i="10"/>
  <c r="Q776" i="10"/>
  <c r="P776" i="10"/>
  <c r="O776" i="10"/>
  <c r="M776" i="10"/>
  <c r="L776" i="10"/>
  <c r="K776" i="10"/>
  <c r="I776" i="10"/>
  <c r="H776" i="10"/>
  <c r="G776" i="10"/>
  <c r="F776" i="10"/>
  <c r="D776" i="10"/>
  <c r="C776" i="10"/>
  <c r="B776" i="10"/>
  <c r="A776" i="10"/>
  <c r="T775" i="10"/>
  <c r="S775" i="10"/>
  <c r="R775" i="10"/>
  <c r="Q775" i="10"/>
  <c r="P775" i="10"/>
  <c r="O775" i="10"/>
  <c r="M775" i="10"/>
  <c r="L775" i="10"/>
  <c r="K775" i="10"/>
  <c r="I775" i="10"/>
  <c r="H775" i="10"/>
  <c r="G775" i="10"/>
  <c r="F775" i="10"/>
  <c r="D775" i="10"/>
  <c r="C775" i="10"/>
  <c r="B775" i="10"/>
  <c r="A775" i="10"/>
  <c r="T774" i="10"/>
  <c r="S774" i="10"/>
  <c r="R774" i="10"/>
  <c r="Q774" i="10"/>
  <c r="P774" i="10"/>
  <c r="O774" i="10"/>
  <c r="M774" i="10"/>
  <c r="L774" i="10"/>
  <c r="K774" i="10"/>
  <c r="I774" i="10"/>
  <c r="H774" i="10"/>
  <c r="G774" i="10"/>
  <c r="F774" i="10"/>
  <c r="D774" i="10"/>
  <c r="C774" i="10"/>
  <c r="B774" i="10"/>
  <c r="A774" i="10"/>
  <c r="T773" i="10"/>
  <c r="S773" i="10"/>
  <c r="R773" i="10"/>
  <c r="Q773" i="10"/>
  <c r="P773" i="10"/>
  <c r="O773" i="10"/>
  <c r="M773" i="10"/>
  <c r="L773" i="10"/>
  <c r="K773" i="10"/>
  <c r="I773" i="10"/>
  <c r="H773" i="10"/>
  <c r="G773" i="10"/>
  <c r="F773" i="10"/>
  <c r="D773" i="10"/>
  <c r="C773" i="10"/>
  <c r="B773" i="10"/>
  <c r="A773" i="10"/>
  <c r="T772" i="10"/>
  <c r="S772" i="10"/>
  <c r="R772" i="10"/>
  <c r="Q772" i="10"/>
  <c r="P772" i="10"/>
  <c r="O772" i="10"/>
  <c r="M772" i="10"/>
  <c r="L772" i="10"/>
  <c r="K772" i="10"/>
  <c r="I772" i="10"/>
  <c r="H772" i="10"/>
  <c r="G772" i="10"/>
  <c r="F772" i="10"/>
  <c r="D772" i="10"/>
  <c r="C772" i="10"/>
  <c r="B772" i="10"/>
  <c r="A772" i="10"/>
  <c r="T771" i="10"/>
  <c r="S771" i="10"/>
  <c r="R771" i="10"/>
  <c r="Q771" i="10"/>
  <c r="P771" i="10"/>
  <c r="O771" i="10"/>
  <c r="M771" i="10"/>
  <c r="L771" i="10"/>
  <c r="K771" i="10"/>
  <c r="I771" i="10"/>
  <c r="H771" i="10"/>
  <c r="G771" i="10"/>
  <c r="F771" i="10"/>
  <c r="D771" i="10"/>
  <c r="C771" i="10"/>
  <c r="B771" i="10"/>
  <c r="A771" i="10"/>
  <c r="T770" i="10"/>
  <c r="S770" i="10"/>
  <c r="R770" i="10"/>
  <c r="Q770" i="10"/>
  <c r="P770" i="10"/>
  <c r="O770" i="10"/>
  <c r="M770" i="10"/>
  <c r="L770" i="10"/>
  <c r="K770" i="10"/>
  <c r="I770" i="10"/>
  <c r="H770" i="10"/>
  <c r="G770" i="10"/>
  <c r="F770" i="10"/>
  <c r="D770" i="10"/>
  <c r="C770" i="10"/>
  <c r="B770" i="10"/>
  <c r="A770" i="10"/>
  <c r="T769" i="10"/>
  <c r="S769" i="10"/>
  <c r="R769" i="10"/>
  <c r="Q769" i="10"/>
  <c r="P769" i="10"/>
  <c r="O769" i="10"/>
  <c r="M769" i="10"/>
  <c r="L769" i="10"/>
  <c r="K769" i="10"/>
  <c r="I769" i="10"/>
  <c r="H769" i="10"/>
  <c r="G769" i="10"/>
  <c r="F769" i="10"/>
  <c r="D769" i="10"/>
  <c r="C769" i="10"/>
  <c r="B769" i="10"/>
  <c r="A769" i="10"/>
  <c r="T768" i="10"/>
  <c r="S768" i="10"/>
  <c r="R768" i="10"/>
  <c r="Q768" i="10"/>
  <c r="P768" i="10"/>
  <c r="O768" i="10"/>
  <c r="M768" i="10"/>
  <c r="L768" i="10"/>
  <c r="K768" i="10"/>
  <c r="I768" i="10"/>
  <c r="H768" i="10"/>
  <c r="G768" i="10"/>
  <c r="F768" i="10"/>
  <c r="D768" i="10"/>
  <c r="C768" i="10"/>
  <c r="B768" i="10"/>
  <c r="A768" i="10"/>
  <c r="T767" i="10"/>
  <c r="S767" i="10"/>
  <c r="R767" i="10"/>
  <c r="Q767" i="10"/>
  <c r="P767" i="10"/>
  <c r="O767" i="10"/>
  <c r="M767" i="10"/>
  <c r="L767" i="10"/>
  <c r="K767" i="10"/>
  <c r="I767" i="10"/>
  <c r="H767" i="10"/>
  <c r="G767" i="10"/>
  <c r="F767" i="10"/>
  <c r="D767" i="10"/>
  <c r="C767" i="10"/>
  <c r="B767" i="10"/>
  <c r="A767" i="10"/>
  <c r="T766" i="10"/>
  <c r="S766" i="10"/>
  <c r="R766" i="10"/>
  <c r="Q766" i="10"/>
  <c r="P766" i="10"/>
  <c r="O766" i="10"/>
  <c r="M766" i="10"/>
  <c r="L766" i="10"/>
  <c r="K766" i="10"/>
  <c r="I766" i="10"/>
  <c r="H766" i="10"/>
  <c r="G766" i="10"/>
  <c r="F766" i="10"/>
  <c r="D766" i="10"/>
  <c r="C766" i="10"/>
  <c r="B766" i="10"/>
  <c r="A766" i="10"/>
  <c r="T765" i="10"/>
  <c r="S765" i="10"/>
  <c r="R765" i="10"/>
  <c r="Q765" i="10"/>
  <c r="P765" i="10"/>
  <c r="O765" i="10"/>
  <c r="M765" i="10"/>
  <c r="L765" i="10"/>
  <c r="K765" i="10"/>
  <c r="I765" i="10"/>
  <c r="H765" i="10"/>
  <c r="G765" i="10"/>
  <c r="F765" i="10"/>
  <c r="D765" i="10"/>
  <c r="C765" i="10"/>
  <c r="B765" i="10"/>
  <c r="A765" i="10"/>
  <c r="T764" i="10"/>
  <c r="S764" i="10"/>
  <c r="R764" i="10"/>
  <c r="Q764" i="10"/>
  <c r="P764" i="10"/>
  <c r="O764" i="10"/>
  <c r="M764" i="10"/>
  <c r="L764" i="10"/>
  <c r="K764" i="10"/>
  <c r="I764" i="10"/>
  <c r="H764" i="10"/>
  <c r="G764" i="10"/>
  <c r="F764" i="10"/>
  <c r="D764" i="10"/>
  <c r="C764" i="10"/>
  <c r="B764" i="10"/>
  <c r="A764" i="10"/>
  <c r="T763" i="10"/>
  <c r="S763" i="10"/>
  <c r="R763" i="10"/>
  <c r="Q763" i="10"/>
  <c r="P763" i="10"/>
  <c r="O763" i="10"/>
  <c r="M763" i="10"/>
  <c r="L763" i="10"/>
  <c r="K763" i="10"/>
  <c r="I763" i="10"/>
  <c r="H763" i="10"/>
  <c r="G763" i="10"/>
  <c r="F763" i="10"/>
  <c r="D763" i="10"/>
  <c r="C763" i="10"/>
  <c r="B763" i="10"/>
  <c r="A763" i="10"/>
  <c r="T762" i="10"/>
  <c r="S762" i="10"/>
  <c r="R762" i="10"/>
  <c r="Q762" i="10"/>
  <c r="P762" i="10"/>
  <c r="O762" i="10"/>
  <c r="M762" i="10"/>
  <c r="L762" i="10"/>
  <c r="K762" i="10"/>
  <c r="I762" i="10"/>
  <c r="H762" i="10"/>
  <c r="G762" i="10"/>
  <c r="F762" i="10"/>
  <c r="D762" i="10"/>
  <c r="C762" i="10"/>
  <c r="B762" i="10"/>
  <c r="A762" i="10"/>
  <c r="T761" i="10"/>
  <c r="S761" i="10"/>
  <c r="R761" i="10"/>
  <c r="Q761" i="10"/>
  <c r="P761" i="10"/>
  <c r="O761" i="10"/>
  <c r="M761" i="10"/>
  <c r="L761" i="10"/>
  <c r="K761" i="10"/>
  <c r="I761" i="10"/>
  <c r="H761" i="10"/>
  <c r="G761" i="10"/>
  <c r="F761" i="10"/>
  <c r="D761" i="10"/>
  <c r="C761" i="10"/>
  <c r="B761" i="10"/>
  <c r="A761" i="10"/>
  <c r="T760" i="10"/>
  <c r="S760" i="10"/>
  <c r="R760" i="10"/>
  <c r="Q760" i="10"/>
  <c r="P760" i="10"/>
  <c r="O760" i="10"/>
  <c r="M760" i="10"/>
  <c r="L760" i="10"/>
  <c r="K760" i="10"/>
  <c r="I760" i="10"/>
  <c r="H760" i="10"/>
  <c r="G760" i="10"/>
  <c r="F760" i="10"/>
  <c r="D760" i="10"/>
  <c r="C760" i="10"/>
  <c r="B760" i="10"/>
  <c r="A760" i="10"/>
  <c r="T759" i="10"/>
  <c r="S759" i="10"/>
  <c r="R759" i="10"/>
  <c r="Q759" i="10"/>
  <c r="P759" i="10"/>
  <c r="O759" i="10"/>
  <c r="M759" i="10"/>
  <c r="L759" i="10"/>
  <c r="K759" i="10"/>
  <c r="I759" i="10"/>
  <c r="H759" i="10"/>
  <c r="G759" i="10"/>
  <c r="F759" i="10"/>
  <c r="D759" i="10"/>
  <c r="C759" i="10"/>
  <c r="B759" i="10"/>
  <c r="A759" i="10"/>
  <c r="T758" i="10"/>
  <c r="S758" i="10"/>
  <c r="R758" i="10"/>
  <c r="Q758" i="10"/>
  <c r="P758" i="10"/>
  <c r="O758" i="10"/>
  <c r="M758" i="10"/>
  <c r="L758" i="10"/>
  <c r="K758" i="10"/>
  <c r="I758" i="10"/>
  <c r="H758" i="10"/>
  <c r="G758" i="10"/>
  <c r="F758" i="10"/>
  <c r="D758" i="10"/>
  <c r="C758" i="10"/>
  <c r="A758" i="10"/>
  <c r="T757" i="10"/>
  <c r="S757" i="10"/>
  <c r="R757" i="10"/>
  <c r="Q757" i="10"/>
  <c r="P757" i="10"/>
  <c r="O757" i="10"/>
  <c r="M757" i="10"/>
  <c r="L757" i="10"/>
  <c r="K757" i="10"/>
  <c r="I757" i="10"/>
  <c r="H757" i="10"/>
  <c r="G757" i="10"/>
  <c r="F757" i="10"/>
  <c r="D757" i="10"/>
  <c r="C757" i="10"/>
  <c r="B757" i="10"/>
  <c r="A757" i="10"/>
  <c r="T756" i="10"/>
  <c r="S756" i="10"/>
  <c r="R756" i="10"/>
  <c r="Q756" i="10"/>
  <c r="P756" i="10"/>
  <c r="O756" i="10"/>
  <c r="M756" i="10"/>
  <c r="L756" i="10"/>
  <c r="K756" i="10"/>
  <c r="I756" i="10"/>
  <c r="H756" i="10"/>
  <c r="G756" i="10"/>
  <c r="F756" i="10"/>
  <c r="D756" i="10"/>
  <c r="C756" i="10"/>
  <c r="B756" i="10"/>
  <c r="A756" i="10"/>
  <c r="T755" i="10"/>
  <c r="S755" i="10"/>
  <c r="R755" i="10"/>
  <c r="Q755" i="10"/>
  <c r="P755" i="10"/>
  <c r="O755" i="10"/>
  <c r="M755" i="10"/>
  <c r="L755" i="10"/>
  <c r="K755" i="10"/>
  <c r="I755" i="10"/>
  <c r="H755" i="10"/>
  <c r="G755" i="10"/>
  <c r="F755" i="10"/>
  <c r="D755" i="10"/>
  <c r="C755" i="10"/>
  <c r="B755" i="10"/>
  <c r="A755" i="10"/>
  <c r="T754" i="10"/>
  <c r="S754" i="10"/>
  <c r="R754" i="10"/>
  <c r="Q754" i="10"/>
  <c r="P754" i="10"/>
  <c r="O754" i="10"/>
  <c r="M754" i="10"/>
  <c r="L754" i="10"/>
  <c r="K754" i="10"/>
  <c r="I754" i="10"/>
  <c r="H754" i="10"/>
  <c r="G754" i="10"/>
  <c r="F754" i="10"/>
  <c r="D754" i="10"/>
  <c r="C754" i="10"/>
  <c r="B754" i="10"/>
  <c r="A754" i="10"/>
  <c r="T753" i="10"/>
  <c r="S753" i="10"/>
  <c r="R753" i="10"/>
  <c r="Q753" i="10"/>
  <c r="P753" i="10"/>
  <c r="O753" i="10"/>
  <c r="M753" i="10"/>
  <c r="L753" i="10"/>
  <c r="K753" i="10"/>
  <c r="I753" i="10"/>
  <c r="H753" i="10"/>
  <c r="G753" i="10"/>
  <c r="F753" i="10"/>
  <c r="D753" i="10"/>
  <c r="C753" i="10"/>
  <c r="B753" i="10"/>
  <c r="A753" i="10"/>
  <c r="T752" i="10"/>
  <c r="S752" i="10"/>
  <c r="R752" i="10"/>
  <c r="Q752" i="10"/>
  <c r="P752" i="10"/>
  <c r="O752" i="10"/>
  <c r="M752" i="10"/>
  <c r="L752" i="10"/>
  <c r="K752" i="10"/>
  <c r="I752" i="10"/>
  <c r="H752" i="10"/>
  <c r="G752" i="10"/>
  <c r="F752" i="10"/>
  <c r="D752" i="10"/>
  <c r="C752" i="10"/>
  <c r="B752" i="10"/>
  <c r="A752" i="10"/>
  <c r="T751" i="10"/>
  <c r="S751" i="10"/>
  <c r="R751" i="10"/>
  <c r="Q751" i="10"/>
  <c r="P751" i="10"/>
  <c r="O751" i="10"/>
  <c r="M751" i="10"/>
  <c r="L751" i="10"/>
  <c r="K751" i="10"/>
  <c r="I751" i="10"/>
  <c r="H751" i="10"/>
  <c r="G751" i="10"/>
  <c r="F751" i="10"/>
  <c r="D751" i="10"/>
  <c r="C751" i="10"/>
  <c r="B751" i="10"/>
  <c r="A751" i="10"/>
  <c r="T750" i="10"/>
  <c r="S750" i="10"/>
  <c r="R750" i="10"/>
  <c r="Q750" i="10"/>
  <c r="P750" i="10"/>
  <c r="O750" i="10"/>
  <c r="M750" i="10"/>
  <c r="L750" i="10"/>
  <c r="K750" i="10"/>
  <c r="I750" i="10"/>
  <c r="H750" i="10"/>
  <c r="G750" i="10"/>
  <c r="F750" i="10"/>
  <c r="D750" i="10"/>
  <c r="C750" i="10"/>
  <c r="A750" i="10"/>
  <c r="T749" i="10"/>
  <c r="S749" i="10"/>
  <c r="R749" i="10"/>
  <c r="Q749" i="10"/>
  <c r="P749" i="10"/>
  <c r="O749" i="10"/>
  <c r="M749" i="10"/>
  <c r="L749" i="10"/>
  <c r="K749" i="10"/>
  <c r="I749" i="10"/>
  <c r="H749" i="10"/>
  <c r="G749" i="10"/>
  <c r="F749" i="10"/>
  <c r="D749" i="10"/>
  <c r="C749" i="10"/>
  <c r="A749" i="10"/>
  <c r="T748" i="10"/>
  <c r="S748" i="10"/>
  <c r="R748" i="10"/>
  <c r="Q748" i="10"/>
  <c r="P748" i="10"/>
  <c r="O748" i="10"/>
  <c r="M748" i="10"/>
  <c r="L748" i="10"/>
  <c r="K748" i="10"/>
  <c r="I748" i="10"/>
  <c r="H748" i="10"/>
  <c r="G748" i="10"/>
  <c r="F748" i="10"/>
  <c r="D748" i="10"/>
  <c r="C748" i="10"/>
  <c r="B748" i="10"/>
  <c r="A748" i="10"/>
  <c r="T747" i="10"/>
  <c r="S747" i="10"/>
  <c r="R747" i="10"/>
  <c r="Q747" i="10"/>
  <c r="P747" i="10"/>
  <c r="O747" i="10"/>
  <c r="M747" i="10"/>
  <c r="L747" i="10"/>
  <c r="K747" i="10"/>
  <c r="I747" i="10"/>
  <c r="H747" i="10"/>
  <c r="G747" i="10"/>
  <c r="F747" i="10"/>
  <c r="D747" i="10"/>
  <c r="C747" i="10"/>
  <c r="B747" i="10"/>
  <c r="A747" i="10"/>
  <c r="T746" i="10"/>
  <c r="S746" i="10"/>
  <c r="R746" i="10"/>
  <c r="Q746" i="10"/>
  <c r="P746" i="10"/>
  <c r="O746" i="10"/>
  <c r="M746" i="10"/>
  <c r="L746" i="10"/>
  <c r="K746" i="10"/>
  <c r="I746" i="10"/>
  <c r="H746" i="10"/>
  <c r="G746" i="10"/>
  <c r="F746" i="10"/>
  <c r="D746" i="10"/>
  <c r="C746" i="10"/>
  <c r="B746" i="10"/>
  <c r="A746" i="10"/>
  <c r="T745" i="10"/>
  <c r="S745" i="10"/>
  <c r="R745" i="10"/>
  <c r="Q745" i="10"/>
  <c r="P745" i="10"/>
  <c r="O745" i="10"/>
  <c r="M745" i="10"/>
  <c r="L745" i="10"/>
  <c r="K745" i="10"/>
  <c r="I745" i="10"/>
  <c r="H745" i="10"/>
  <c r="G745" i="10"/>
  <c r="F745" i="10"/>
  <c r="D745" i="10"/>
  <c r="C745" i="10"/>
  <c r="B745" i="10"/>
  <c r="A745" i="10"/>
  <c r="T744" i="10"/>
  <c r="S744" i="10"/>
  <c r="R744" i="10"/>
  <c r="Q744" i="10"/>
  <c r="P744" i="10"/>
  <c r="O744" i="10"/>
  <c r="M744" i="10"/>
  <c r="L744" i="10"/>
  <c r="K744" i="10"/>
  <c r="I744" i="10"/>
  <c r="H744" i="10"/>
  <c r="G744" i="10"/>
  <c r="F744" i="10"/>
  <c r="D744" i="10"/>
  <c r="C744" i="10"/>
  <c r="B744" i="10"/>
  <c r="A744" i="10"/>
  <c r="T743" i="10"/>
  <c r="S743" i="10"/>
  <c r="R743" i="10"/>
  <c r="Q743" i="10"/>
  <c r="P743" i="10"/>
  <c r="O743" i="10"/>
  <c r="M743" i="10"/>
  <c r="L743" i="10"/>
  <c r="K743" i="10"/>
  <c r="I743" i="10"/>
  <c r="H743" i="10"/>
  <c r="G743" i="10"/>
  <c r="F743" i="10"/>
  <c r="D743" i="10"/>
  <c r="C743" i="10"/>
  <c r="B743" i="10"/>
  <c r="A743" i="10"/>
  <c r="T742" i="10"/>
  <c r="S742" i="10"/>
  <c r="R742" i="10"/>
  <c r="Q742" i="10"/>
  <c r="P742" i="10"/>
  <c r="O742" i="10"/>
  <c r="M742" i="10"/>
  <c r="L742" i="10"/>
  <c r="K742" i="10"/>
  <c r="I742" i="10"/>
  <c r="H742" i="10"/>
  <c r="G742" i="10"/>
  <c r="F742" i="10"/>
  <c r="D742" i="10"/>
  <c r="C742" i="10"/>
  <c r="B742" i="10"/>
  <c r="A742" i="10"/>
  <c r="T741" i="10"/>
  <c r="S741" i="10"/>
  <c r="R741" i="10"/>
  <c r="Q741" i="10"/>
  <c r="P741" i="10"/>
  <c r="O741" i="10"/>
  <c r="M741" i="10"/>
  <c r="L741" i="10"/>
  <c r="K741" i="10"/>
  <c r="I741" i="10"/>
  <c r="H741" i="10"/>
  <c r="G741" i="10"/>
  <c r="F741" i="10"/>
  <c r="D741" i="10"/>
  <c r="C741" i="10"/>
  <c r="B741" i="10"/>
  <c r="A741" i="10"/>
  <c r="T740" i="10"/>
  <c r="S740" i="10"/>
  <c r="R740" i="10"/>
  <c r="Q740" i="10"/>
  <c r="P740" i="10"/>
  <c r="O740" i="10"/>
  <c r="M740" i="10"/>
  <c r="L740" i="10"/>
  <c r="K740" i="10"/>
  <c r="I740" i="10"/>
  <c r="H740" i="10"/>
  <c r="G740" i="10"/>
  <c r="F740" i="10"/>
  <c r="D740" i="10"/>
  <c r="C740" i="10"/>
  <c r="B740" i="10"/>
  <c r="A740" i="10"/>
  <c r="T739" i="10"/>
  <c r="S739" i="10"/>
  <c r="R739" i="10"/>
  <c r="Q739" i="10"/>
  <c r="P739" i="10"/>
  <c r="O739" i="10"/>
  <c r="M739" i="10"/>
  <c r="L739" i="10"/>
  <c r="K739" i="10"/>
  <c r="I739" i="10"/>
  <c r="H739" i="10"/>
  <c r="G739" i="10"/>
  <c r="F739" i="10"/>
  <c r="D739" i="10"/>
  <c r="C739" i="10"/>
  <c r="B739" i="10"/>
  <c r="A739" i="10"/>
  <c r="T738" i="10"/>
  <c r="S738" i="10"/>
  <c r="R738" i="10"/>
  <c r="Q738" i="10"/>
  <c r="P738" i="10"/>
  <c r="O738" i="10"/>
  <c r="M738" i="10"/>
  <c r="L738" i="10"/>
  <c r="K738" i="10"/>
  <c r="I738" i="10"/>
  <c r="H738" i="10"/>
  <c r="G738" i="10"/>
  <c r="F738" i="10"/>
  <c r="D738" i="10"/>
  <c r="C738" i="10"/>
  <c r="B738" i="10"/>
  <c r="A738" i="10"/>
  <c r="T737" i="10"/>
  <c r="S737" i="10"/>
  <c r="R737" i="10"/>
  <c r="Q737" i="10"/>
  <c r="P737" i="10"/>
  <c r="P814" i="10" s="1"/>
  <c r="O737" i="10"/>
  <c r="M737" i="10"/>
  <c r="L737" i="10"/>
  <c r="K737" i="10"/>
  <c r="I737" i="10"/>
  <c r="H737" i="10"/>
  <c r="G737" i="10"/>
  <c r="F737" i="10"/>
  <c r="D737" i="10"/>
  <c r="C737" i="10"/>
  <c r="B737" i="10"/>
  <c r="A737" i="10"/>
  <c r="T736" i="10"/>
  <c r="S736" i="10"/>
  <c r="R736" i="10"/>
  <c r="Q736" i="10"/>
  <c r="P736" i="10"/>
  <c r="O736" i="10"/>
  <c r="M736" i="10"/>
  <c r="L736" i="10"/>
  <c r="K736" i="10"/>
  <c r="I736" i="10"/>
  <c r="H736" i="10"/>
  <c r="G736" i="10"/>
  <c r="F736" i="10"/>
  <c r="D736" i="10"/>
  <c r="C736" i="10"/>
  <c r="B736" i="10"/>
  <c r="A736" i="10"/>
  <c r="T735" i="10"/>
  <c r="S735" i="10"/>
  <c r="R735" i="10"/>
  <c r="Q735" i="10"/>
  <c r="P735" i="10"/>
  <c r="O735" i="10"/>
  <c r="M735" i="10"/>
  <c r="L735" i="10"/>
  <c r="K735" i="10"/>
  <c r="I735" i="10"/>
  <c r="H735" i="10"/>
  <c r="G735" i="10"/>
  <c r="F735" i="10"/>
  <c r="D735" i="10"/>
  <c r="C735" i="10"/>
  <c r="B735" i="10"/>
  <c r="A735" i="10"/>
  <c r="T734" i="10"/>
  <c r="S734" i="10"/>
  <c r="R734" i="10"/>
  <c r="Q734" i="10"/>
  <c r="P734" i="10"/>
  <c r="O734" i="10"/>
  <c r="M734" i="10"/>
  <c r="L734" i="10"/>
  <c r="K734" i="10"/>
  <c r="I734" i="10"/>
  <c r="H734" i="10"/>
  <c r="G734" i="10"/>
  <c r="F734" i="10"/>
  <c r="F814" i="10" s="1"/>
  <c r="D734" i="10"/>
  <c r="C734" i="10"/>
  <c r="B734" i="10"/>
  <c r="A734" i="10"/>
  <c r="T733" i="10"/>
  <c r="S733" i="10"/>
  <c r="R733" i="10"/>
  <c r="Q733" i="10"/>
  <c r="P733" i="10"/>
  <c r="O733" i="10"/>
  <c r="M733" i="10"/>
  <c r="L733" i="10"/>
  <c r="K733" i="10"/>
  <c r="K814" i="10" s="1"/>
  <c r="I733" i="10"/>
  <c r="H733" i="10"/>
  <c r="H814" i="10" s="1"/>
  <c r="G733" i="10"/>
  <c r="F733" i="10"/>
  <c r="D733" i="10"/>
  <c r="C733" i="10"/>
  <c r="B733" i="10"/>
  <c r="A733" i="10"/>
  <c r="CF729" i="10"/>
  <c r="CE729" i="10"/>
  <c r="CD729" i="10"/>
  <c r="CC729" i="10"/>
  <c r="CB729" i="10"/>
  <c r="CA729" i="10"/>
  <c r="BZ729" i="10"/>
  <c r="BY729" i="10"/>
  <c r="BX729" i="10"/>
  <c r="BW729" i="10"/>
  <c r="BV729" i="10"/>
  <c r="BU729" i="10"/>
  <c r="BT729" i="10"/>
  <c r="BS729" i="10"/>
  <c r="BR729" i="10"/>
  <c r="BQ729" i="10"/>
  <c r="BP729" i="10"/>
  <c r="BO729" i="10"/>
  <c r="BN729" i="10"/>
  <c r="BM729" i="10"/>
  <c r="BL729" i="10"/>
  <c r="BK729" i="10"/>
  <c r="BJ729" i="10"/>
  <c r="BF729" i="10"/>
  <c r="BE729" i="10"/>
  <c r="BB729" i="10"/>
  <c r="BA729" i="10"/>
  <c r="AZ729" i="10"/>
  <c r="AY729" i="10"/>
  <c r="AX729" i="10"/>
  <c r="AW729" i="10"/>
  <c r="AV729" i="10"/>
  <c r="AU729" i="10"/>
  <c r="AT729" i="10"/>
  <c r="AS729" i="10"/>
  <c r="AR729" i="10"/>
  <c r="AQ729" i="10"/>
  <c r="AP729" i="10"/>
  <c r="AO729" i="10"/>
  <c r="AN729" i="10"/>
  <c r="AM729" i="10"/>
  <c r="AL729" i="10"/>
  <c r="AK729" i="10"/>
  <c r="AJ729" i="10"/>
  <c r="AI729" i="10"/>
  <c r="AH729" i="10"/>
  <c r="AG729" i="10"/>
  <c r="AF729" i="10"/>
  <c r="AE729" i="10"/>
  <c r="AD729" i="10"/>
  <c r="AC729" i="10"/>
  <c r="AB729" i="10"/>
  <c r="AA729" i="10"/>
  <c r="Z729" i="10"/>
  <c r="Y729" i="10"/>
  <c r="X729" i="10"/>
  <c r="W729" i="10"/>
  <c r="V729" i="10"/>
  <c r="U729" i="10"/>
  <c r="T729" i="10"/>
  <c r="S729" i="10"/>
  <c r="R729" i="10"/>
  <c r="Q729" i="10"/>
  <c r="P729" i="10"/>
  <c r="O729" i="10"/>
  <c r="N729" i="10"/>
  <c r="M729" i="10"/>
  <c r="L729" i="10"/>
  <c r="K729" i="10"/>
  <c r="J729" i="10"/>
  <c r="I729" i="10"/>
  <c r="H729" i="10"/>
  <c r="G729" i="10"/>
  <c r="F729" i="10"/>
  <c r="E729" i="10"/>
  <c r="D729" i="10"/>
  <c r="C729" i="10"/>
  <c r="B729" i="10"/>
  <c r="A729" i="10"/>
  <c r="BR725" i="10"/>
  <c r="BQ725" i="10"/>
  <c r="BP725" i="10"/>
  <c r="BO725" i="10"/>
  <c r="BN725" i="10"/>
  <c r="BM725" i="10"/>
  <c r="BL725" i="10"/>
  <c r="BK725" i="10"/>
  <c r="BJ725" i="10"/>
  <c r="BI725" i="10"/>
  <c r="BH725" i="10"/>
  <c r="BG725" i="10"/>
  <c r="BF725" i="10"/>
  <c r="BE725" i="10"/>
  <c r="BD725" i="10"/>
  <c r="BC725" i="10"/>
  <c r="BB725" i="10"/>
  <c r="BA725" i="10"/>
  <c r="AZ725" i="10"/>
  <c r="AY725" i="10"/>
  <c r="AX725" i="10"/>
  <c r="AW725" i="10"/>
  <c r="AV725" i="10"/>
  <c r="AU725" i="10"/>
  <c r="AT725" i="10"/>
  <c r="AS725" i="10"/>
  <c r="AR725" i="10"/>
  <c r="AQ725" i="10"/>
  <c r="AP725" i="10"/>
  <c r="AO725" i="10"/>
  <c r="AN725" i="10"/>
  <c r="AM725" i="10"/>
  <c r="AL725" i="10"/>
  <c r="AK725" i="10"/>
  <c r="AJ725" i="10"/>
  <c r="AI725" i="10"/>
  <c r="AH725" i="10"/>
  <c r="AG725" i="10"/>
  <c r="AF725" i="10"/>
  <c r="AE725" i="10"/>
  <c r="AD725" i="10"/>
  <c r="AC725" i="10"/>
  <c r="AB725" i="10"/>
  <c r="AA725" i="10"/>
  <c r="Z725" i="10"/>
  <c r="Y725" i="10"/>
  <c r="X725" i="10"/>
  <c r="W725" i="10"/>
  <c r="V725" i="10"/>
  <c r="U725" i="10"/>
  <c r="S725" i="10"/>
  <c r="R725" i="10"/>
  <c r="Q725" i="10"/>
  <c r="P725" i="10"/>
  <c r="O725" i="10"/>
  <c r="N725" i="10"/>
  <c r="M725" i="10"/>
  <c r="L725" i="10"/>
  <c r="K725" i="10"/>
  <c r="J725" i="10"/>
  <c r="I725" i="10"/>
  <c r="H725" i="10"/>
  <c r="G725" i="10"/>
  <c r="F725" i="10"/>
  <c r="E725" i="10"/>
  <c r="D725" i="10"/>
  <c r="C725" i="10"/>
  <c r="B725" i="10"/>
  <c r="A725" i="10"/>
  <c r="CC721" i="10"/>
  <c r="CB721" i="10"/>
  <c r="CA721" i="10"/>
  <c r="BZ721" i="10"/>
  <c r="BY721" i="10"/>
  <c r="BX721" i="10"/>
  <c r="BW721" i="10"/>
  <c r="BV721" i="10"/>
  <c r="BU721" i="10"/>
  <c r="BT721" i="10"/>
  <c r="BS721" i="10"/>
  <c r="BR721" i="10"/>
  <c r="BQ721" i="10"/>
  <c r="BP721" i="10"/>
  <c r="BO721" i="10"/>
  <c r="BN721" i="10"/>
  <c r="BM721" i="10"/>
  <c r="BL721" i="10"/>
  <c r="BK721" i="10"/>
  <c r="BJ721" i="10"/>
  <c r="BI721" i="10"/>
  <c r="BH721" i="10"/>
  <c r="BG721" i="10"/>
  <c r="BF721" i="10"/>
  <c r="BE721" i="10"/>
  <c r="BD721" i="10"/>
  <c r="BC721" i="10"/>
  <c r="BB721" i="10"/>
  <c r="BA721" i="10"/>
  <c r="AZ721" i="10"/>
  <c r="AY721" i="10"/>
  <c r="AX721" i="10"/>
  <c r="AW721" i="10"/>
  <c r="AV721" i="10"/>
  <c r="AR721" i="10"/>
  <c r="AQ721" i="10"/>
  <c r="AP721" i="10"/>
  <c r="AO721" i="10"/>
  <c r="AN721" i="10"/>
  <c r="AM721" i="10"/>
  <c r="AL721" i="10"/>
  <c r="AK721" i="10"/>
  <c r="AJ721" i="10"/>
  <c r="AI721" i="10"/>
  <c r="AH721" i="10"/>
  <c r="AG721" i="10"/>
  <c r="AF721" i="10"/>
  <c r="AE721" i="10"/>
  <c r="AD721" i="10"/>
  <c r="AC721" i="10"/>
  <c r="AB721" i="10"/>
  <c r="AA721" i="10"/>
  <c r="Z721" i="10"/>
  <c r="Y721" i="10"/>
  <c r="X721" i="10"/>
  <c r="W721" i="10"/>
  <c r="V721" i="10"/>
  <c r="U721" i="10"/>
  <c r="T721" i="10"/>
  <c r="S721" i="10"/>
  <c r="R721" i="10"/>
  <c r="Q721" i="10"/>
  <c r="P721" i="10"/>
  <c r="O721" i="10"/>
  <c r="N721" i="10"/>
  <c r="M721" i="10"/>
  <c r="L721" i="10"/>
  <c r="K721" i="10"/>
  <c r="J721" i="10"/>
  <c r="I721" i="10"/>
  <c r="H721" i="10"/>
  <c r="G721" i="10"/>
  <c r="F721" i="10"/>
  <c r="E721" i="10"/>
  <c r="D721" i="10"/>
  <c r="C721" i="10"/>
  <c r="B721" i="10"/>
  <c r="A721" i="10"/>
  <c r="C614" i="10"/>
  <c r="E549" i="10"/>
  <c r="E545" i="10"/>
  <c r="E544" i="10"/>
  <c r="E543" i="10"/>
  <c r="E539" i="10"/>
  <c r="F539" i="10"/>
  <c r="E538" i="10"/>
  <c r="F538" i="10"/>
  <c r="E537" i="10"/>
  <c r="H537" i="10"/>
  <c r="E536" i="10"/>
  <c r="H536" i="10"/>
  <c r="H535" i="10"/>
  <c r="E535" i="10"/>
  <c r="F535" i="10"/>
  <c r="E534" i="10"/>
  <c r="E533" i="10"/>
  <c r="H533" i="10"/>
  <c r="E532" i="10"/>
  <c r="H532" i="10"/>
  <c r="E531" i="10"/>
  <c r="F531" i="10"/>
  <c r="E530" i="10"/>
  <c r="F530" i="10"/>
  <c r="E529" i="10"/>
  <c r="E528" i="10"/>
  <c r="E527" i="10"/>
  <c r="F527" i="10"/>
  <c r="E526" i="10"/>
  <c r="F526" i="10"/>
  <c r="E525" i="10"/>
  <c r="E524" i="10"/>
  <c r="E523" i="10"/>
  <c r="E522" i="10"/>
  <c r="F522" i="10"/>
  <c r="E521" i="10"/>
  <c r="E519" i="10"/>
  <c r="F518" i="10"/>
  <c r="E518" i="10"/>
  <c r="E517" i="10"/>
  <c r="E516" i="10"/>
  <c r="E515" i="10"/>
  <c r="E514" i="10"/>
  <c r="F514" i="10"/>
  <c r="E513" i="10"/>
  <c r="F512" i="10"/>
  <c r="F511" i="10"/>
  <c r="E510" i="10"/>
  <c r="F510" i="10"/>
  <c r="E509" i="10"/>
  <c r="F509" i="10"/>
  <c r="E508" i="10"/>
  <c r="F508" i="10"/>
  <c r="E507" i="10"/>
  <c r="F506" i="10"/>
  <c r="E506" i="10"/>
  <c r="H506" i="10"/>
  <c r="H505" i="10"/>
  <c r="E505" i="10"/>
  <c r="F505" i="10"/>
  <c r="H504" i="10"/>
  <c r="E504" i="10"/>
  <c r="F504" i="10"/>
  <c r="E503" i="10"/>
  <c r="H503" i="10"/>
  <c r="F502" i="10"/>
  <c r="E502" i="10"/>
  <c r="H502" i="10"/>
  <c r="H501" i="10"/>
  <c r="E501" i="10"/>
  <c r="F501" i="10"/>
  <c r="E500" i="10"/>
  <c r="F500" i="10"/>
  <c r="E499" i="10"/>
  <c r="H499" i="10"/>
  <c r="F498" i="10"/>
  <c r="E498" i="10"/>
  <c r="H498" i="10"/>
  <c r="E497" i="10"/>
  <c r="F497" i="10"/>
  <c r="H496" i="10"/>
  <c r="E496" i="10"/>
  <c r="F496" i="10"/>
  <c r="E495" i="10"/>
  <c r="G492" i="10"/>
  <c r="E492" i="10"/>
  <c r="C492" i="10"/>
  <c r="A492" i="10"/>
  <c r="B477" i="10"/>
  <c r="B474" i="10"/>
  <c r="C473" i="10"/>
  <c r="B473" i="10"/>
  <c r="B472" i="10"/>
  <c r="B471" i="10"/>
  <c r="B470" i="10"/>
  <c r="B469" i="10"/>
  <c r="B468" i="10"/>
  <c r="B467" i="10"/>
  <c r="B463" i="10"/>
  <c r="B462" i="10"/>
  <c r="C458" i="10"/>
  <c r="B458" i="10"/>
  <c r="B457" i="10"/>
  <c r="B454" i="10"/>
  <c r="B453" i="10"/>
  <c r="B452" i="10"/>
  <c r="C446" i="10"/>
  <c r="C445" i="10"/>
  <c r="B445" i="10"/>
  <c r="C444" i="10"/>
  <c r="B441" i="10"/>
  <c r="B437" i="10"/>
  <c r="B439" i="10"/>
  <c r="C439" i="10"/>
  <c r="C438" i="10"/>
  <c r="B438" i="10"/>
  <c r="C437" i="10"/>
  <c r="D436" i="10"/>
  <c r="B436" i="10"/>
  <c r="B435" i="10"/>
  <c r="B434" i="10"/>
  <c r="B433" i="10"/>
  <c r="B432" i="10"/>
  <c r="B431" i="10"/>
  <c r="H815" i="10"/>
  <c r="B430" i="10"/>
  <c r="B429" i="10"/>
  <c r="B428" i="10"/>
  <c r="D427" i="10"/>
  <c r="B427" i="10"/>
  <c r="B426" i="10"/>
  <c r="D423" i="10"/>
  <c r="B423" i="10"/>
  <c r="B422" i="10"/>
  <c r="D420" i="10"/>
  <c r="B420" i="10"/>
  <c r="B419" i="10"/>
  <c r="D417" i="10"/>
  <c r="B417" i="10"/>
  <c r="B416" i="10"/>
  <c r="D414" i="10"/>
  <c r="B414" i="10"/>
  <c r="B413" i="10"/>
  <c r="A411" i="10"/>
  <c r="N816" i="10"/>
  <c r="B446" i="10"/>
  <c r="B444" i="10"/>
  <c r="D432" i="10"/>
  <c r="C477" i="10"/>
  <c r="C474" i="10"/>
  <c r="C472" i="10"/>
  <c r="C471" i="10"/>
  <c r="C470" i="10"/>
  <c r="C469" i="10"/>
  <c r="C467" i="10"/>
  <c r="D433" i="10"/>
  <c r="D462" i="10"/>
  <c r="C420" i="10"/>
  <c r="C419" i="10"/>
  <c r="C417" i="10"/>
  <c r="C416" i="10"/>
  <c r="D463" i="10"/>
  <c r="C414" i="10"/>
  <c r="C413" i="10"/>
  <c r="T815" i="10"/>
  <c r="Q815" i="10"/>
  <c r="N778" i="10"/>
  <c r="N777" i="10"/>
  <c r="N776" i="10"/>
  <c r="N775" i="10"/>
  <c r="N774" i="10"/>
  <c r="N773" i="10"/>
  <c r="N772" i="10"/>
  <c r="N771" i="10"/>
  <c r="N770" i="10"/>
  <c r="N769" i="10"/>
  <c r="N768" i="10"/>
  <c r="N767" i="10"/>
  <c r="N766" i="10"/>
  <c r="N765" i="10"/>
  <c r="N764" i="10"/>
  <c r="N763" i="10"/>
  <c r="N762" i="10"/>
  <c r="N761" i="10"/>
  <c r="N760" i="10"/>
  <c r="N759" i="10"/>
  <c r="N758" i="10"/>
  <c r="N757" i="10"/>
  <c r="N756" i="10"/>
  <c r="N755" i="10"/>
  <c r="N754" i="10"/>
  <c r="N753" i="10"/>
  <c r="N752" i="10"/>
  <c r="N751" i="10"/>
  <c r="N750" i="10"/>
  <c r="N749" i="10"/>
  <c r="N748" i="10"/>
  <c r="N747" i="10"/>
  <c r="N746" i="10"/>
  <c r="N745" i="10"/>
  <c r="N744" i="10"/>
  <c r="N743" i="10"/>
  <c r="N742" i="10"/>
  <c r="N741" i="10"/>
  <c r="N740" i="10"/>
  <c r="N739" i="10"/>
  <c r="N738" i="10"/>
  <c r="N737" i="10"/>
  <c r="N736" i="10"/>
  <c r="N735" i="10"/>
  <c r="N734" i="10"/>
  <c r="N733" i="10"/>
  <c r="C463" i="10"/>
  <c r="O815" i="10"/>
  <c r="C574" i="10"/>
  <c r="C457" i="10"/>
  <c r="CE69" i="10"/>
  <c r="C433" i="10"/>
  <c r="K815" i="10"/>
  <c r="G815" i="10"/>
  <c r="F815" i="10"/>
  <c r="H531" i="10"/>
  <c r="F516" i="10"/>
  <c r="F523" i="10"/>
  <c r="H526" i="10"/>
  <c r="H527" i="10"/>
  <c r="F534" i="10"/>
  <c r="H538" i="10"/>
  <c r="H539" i="10"/>
  <c r="F549" i="10"/>
  <c r="E793" i="10"/>
  <c r="E757" i="10"/>
  <c r="E805" i="10"/>
  <c r="E753" i="10"/>
  <c r="E769" i="10"/>
  <c r="E785" i="10"/>
  <c r="E801" i="10"/>
  <c r="E761" i="10"/>
  <c r="E809" i="10"/>
  <c r="E789" i="10"/>
  <c r="E777" i="10"/>
  <c r="E773" i="10"/>
  <c r="E754" i="10"/>
  <c r="D815" i="10"/>
  <c r="C426" i="10"/>
  <c r="I815" i="10"/>
  <c r="C431" i="10"/>
  <c r="M815" i="10"/>
  <c r="D464" i="10"/>
  <c r="E765" i="10"/>
  <c r="E781" i="10"/>
  <c r="E797" i="10"/>
  <c r="E787" i="10"/>
  <c r="F611" i="10"/>
  <c r="C815" i="10"/>
  <c r="BI729" i="10"/>
  <c r="R815" i="10"/>
  <c r="I611" i="10"/>
  <c r="F515" i="10"/>
  <c r="F519" i="10"/>
  <c r="F520" i="10"/>
  <c r="F524" i="10"/>
  <c r="F528" i="10"/>
  <c r="F532" i="10"/>
  <c r="F536" i="10"/>
  <c r="F544" i="10"/>
  <c r="S815" i="10"/>
  <c r="J611" i="10"/>
  <c r="F495" i="10"/>
  <c r="F499" i="10"/>
  <c r="F503" i="10"/>
  <c r="F507" i="10"/>
  <c r="F513" i="10"/>
  <c r="F517" i="10"/>
  <c r="F543" i="10"/>
  <c r="F545" i="10"/>
  <c r="D434" i="10"/>
  <c r="F521" i="10"/>
  <c r="F525" i="10"/>
  <c r="F529" i="10"/>
  <c r="F533" i="10"/>
  <c r="F537" i="10"/>
  <c r="H611" i="10"/>
  <c r="C429" i="10"/>
  <c r="C462" i="10"/>
  <c r="B464" i="10"/>
  <c r="L611" i="10"/>
  <c r="C624" i="10"/>
  <c r="C691" i="10"/>
  <c r="E752" i="10"/>
  <c r="C626" i="10"/>
  <c r="C527" i="10"/>
  <c r="G527" i="10" s="1"/>
  <c r="C567" i="10"/>
  <c r="C535" i="10"/>
  <c r="G535" i="10" s="1"/>
  <c r="C551" i="10"/>
  <c r="C686" i="10"/>
  <c r="C688" i="10"/>
  <c r="A493" i="1"/>
  <c r="C115" i="8"/>
  <c r="C444" i="1"/>
  <c r="D367" i="1"/>
  <c r="D221" i="1"/>
  <c r="B444" i="1" s="1"/>
  <c r="D12" i="6"/>
  <c r="I286" i="9"/>
  <c r="G159" i="9"/>
  <c r="D127" i="9"/>
  <c r="I63" i="9"/>
  <c r="CE47" i="1"/>
  <c r="C101" i="8"/>
  <c r="C100" i="8"/>
  <c r="C91" i="8"/>
  <c r="C93" i="8"/>
  <c r="C95" i="8"/>
  <c r="C97" i="8"/>
  <c r="E20" i="2"/>
  <c r="E19" i="2"/>
  <c r="D550" i="1"/>
  <c r="D546" i="1"/>
  <c r="D545" i="1"/>
  <c r="D544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0" i="1"/>
  <c r="D519" i="1"/>
  <c r="D518" i="1"/>
  <c r="D517" i="1"/>
  <c r="D516" i="1"/>
  <c r="D515" i="1"/>
  <c r="D514" i="1"/>
  <c r="D511" i="1"/>
  <c r="D510" i="1"/>
  <c r="D509" i="1"/>
  <c r="D508" i="1"/>
  <c r="D507" i="1"/>
  <c r="D506" i="1"/>
  <c r="D505" i="1"/>
  <c r="D504" i="1"/>
  <c r="D503" i="1"/>
  <c r="D502" i="1"/>
  <c r="D501" i="1"/>
  <c r="D500" i="1"/>
  <c r="D499" i="1"/>
  <c r="D498" i="1"/>
  <c r="D497" i="1"/>
  <c r="D496" i="1"/>
  <c r="G221" i="9"/>
  <c r="C384" i="9"/>
  <c r="C383" i="9"/>
  <c r="C382" i="9"/>
  <c r="C381" i="9"/>
  <c r="D384" i="9"/>
  <c r="D383" i="9"/>
  <c r="D382" i="9"/>
  <c r="D381" i="9"/>
  <c r="I314" i="9"/>
  <c r="H314" i="9"/>
  <c r="G314" i="9"/>
  <c r="F314" i="9"/>
  <c r="E314" i="9"/>
  <c r="D314" i="9"/>
  <c r="C314" i="9"/>
  <c r="I313" i="9"/>
  <c r="H313" i="9"/>
  <c r="G313" i="9"/>
  <c r="F313" i="9"/>
  <c r="E313" i="9"/>
  <c r="D313" i="9"/>
  <c r="C313" i="9"/>
  <c r="D317" i="9"/>
  <c r="C352" i="9"/>
  <c r="I346" i="9"/>
  <c r="H346" i="9"/>
  <c r="G346" i="9"/>
  <c r="F346" i="9"/>
  <c r="E346" i="9"/>
  <c r="D346" i="9"/>
  <c r="C346" i="9"/>
  <c r="I345" i="9"/>
  <c r="H345" i="9"/>
  <c r="G345" i="9"/>
  <c r="F345" i="9"/>
  <c r="E345" i="9"/>
  <c r="D345" i="9"/>
  <c r="C345" i="9"/>
  <c r="I250" i="9"/>
  <c r="H250" i="9"/>
  <c r="G250" i="9"/>
  <c r="F250" i="9"/>
  <c r="E250" i="9"/>
  <c r="D250" i="9"/>
  <c r="C250" i="9"/>
  <c r="I249" i="9"/>
  <c r="H249" i="9"/>
  <c r="G249" i="9"/>
  <c r="F249" i="9"/>
  <c r="E249" i="9"/>
  <c r="D249" i="9"/>
  <c r="C249" i="9"/>
  <c r="H252" i="9"/>
  <c r="I374" i="9"/>
  <c r="I256" i="9"/>
  <c r="H221" i="9"/>
  <c r="I217" i="9"/>
  <c r="H217" i="9"/>
  <c r="I216" i="9"/>
  <c r="H216" i="9"/>
  <c r="A356" i="9"/>
  <c r="H356" i="9"/>
  <c r="H324" i="9"/>
  <c r="H292" i="9"/>
  <c r="H260" i="9"/>
  <c r="H228" i="9"/>
  <c r="H196" i="9"/>
  <c r="H164" i="9"/>
  <c r="H132" i="9"/>
  <c r="H100" i="9"/>
  <c r="H68" i="9"/>
  <c r="H36" i="9"/>
  <c r="H4" i="9"/>
  <c r="I352" i="9"/>
  <c r="H352" i="9"/>
  <c r="G352" i="9"/>
  <c r="F352" i="9"/>
  <c r="E352" i="9"/>
  <c r="D352" i="9"/>
  <c r="I351" i="9"/>
  <c r="H351" i="9"/>
  <c r="G351" i="9"/>
  <c r="F351" i="9"/>
  <c r="E351" i="9"/>
  <c r="D351" i="9"/>
  <c r="I350" i="9"/>
  <c r="H350" i="9"/>
  <c r="G350" i="9"/>
  <c r="F350" i="9"/>
  <c r="E350" i="9"/>
  <c r="D350" i="9"/>
  <c r="I349" i="9"/>
  <c r="H349" i="9"/>
  <c r="G349" i="9"/>
  <c r="F349" i="9"/>
  <c r="E349" i="9"/>
  <c r="D349" i="9"/>
  <c r="C351" i="9"/>
  <c r="C350" i="9"/>
  <c r="C349" i="9"/>
  <c r="I319" i="9"/>
  <c r="H319" i="9"/>
  <c r="I318" i="9"/>
  <c r="H318" i="9"/>
  <c r="I317" i="9"/>
  <c r="H317" i="9"/>
  <c r="G317" i="9"/>
  <c r="I287" i="9"/>
  <c r="H287" i="9"/>
  <c r="G287" i="9"/>
  <c r="H286" i="9"/>
  <c r="G286" i="9"/>
  <c r="I285" i="9"/>
  <c r="H285" i="9"/>
  <c r="G285" i="9"/>
  <c r="D287" i="9"/>
  <c r="D286" i="9"/>
  <c r="E285" i="9"/>
  <c r="D285" i="9"/>
  <c r="I253" i="9"/>
  <c r="I224" i="9"/>
  <c r="H224" i="9"/>
  <c r="I223" i="9"/>
  <c r="H223" i="9"/>
  <c r="I222" i="9"/>
  <c r="H222" i="9"/>
  <c r="I221" i="9"/>
  <c r="G224" i="9"/>
  <c r="G217" i="9"/>
  <c r="G216" i="9"/>
  <c r="A228" i="9"/>
  <c r="A196" i="9"/>
  <c r="D377" i="9"/>
  <c r="D376" i="9"/>
  <c r="C377" i="9"/>
  <c r="C376" i="9"/>
  <c r="I320" i="9"/>
  <c r="H320" i="9"/>
  <c r="G320" i="9"/>
  <c r="F320" i="9"/>
  <c r="E320" i="9"/>
  <c r="D320" i="9"/>
  <c r="G319" i="9"/>
  <c r="F319" i="9"/>
  <c r="E319" i="9"/>
  <c r="D319" i="9"/>
  <c r="G318" i="9"/>
  <c r="F318" i="9"/>
  <c r="E318" i="9"/>
  <c r="D318" i="9"/>
  <c r="F317" i="9"/>
  <c r="E317" i="9"/>
  <c r="I312" i="9"/>
  <c r="H312" i="9"/>
  <c r="G312" i="9"/>
  <c r="F312" i="9"/>
  <c r="E312" i="9"/>
  <c r="D312" i="9"/>
  <c r="C317" i="9"/>
  <c r="C318" i="9"/>
  <c r="I344" i="9"/>
  <c r="H344" i="9"/>
  <c r="G344" i="9"/>
  <c r="F344" i="9"/>
  <c r="E344" i="9"/>
  <c r="D344" i="9"/>
  <c r="C344" i="9"/>
  <c r="A324" i="9"/>
  <c r="C320" i="9"/>
  <c r="C319" i="9"/>
  <c r="C312" i="9"/>
  <c r="A292" i="9"/>
  <c r="I288" i="9"/>
  <c r="H288" i="9"/>
  <c r="G288" i="9"/>
  <c r="F288" i="9"/>
  <c r="E288" i="9"/>
  <c r="D288" i="9"/>
  <c r="F287" i="9"/>
  <c r="F286" i="9"/>
  <c r="F285" i="9"/>
  <c r="I281" i="9"/>
  <c r="H281" i="9"/>
  <c r="G281" i="9"/>
  <c r="F281" i="9"/>
  <c r="E281" i="9"/>
  <c r="D281" i="9"/>
  <c r="I280" i="9"/>
  <c r="H280" i="9"/>
  <c r="G280" i="9"/>
  <c r="F280" i="9"/>
  <c r="E280" i="9"/>
  <c r="D280" i="9"/>
  <c r="C288" i="9"/>
  <c r="C287" i="9"/>
  <c r="C286" i="9"/>
  <c r="C285" i="9"/>
  <c r="C281" i="9"/>
  <c r="C280" i="9"/>
  <c r="A260" i="9"/>
  <c r="I255" i="9"/>
  <c r="I254" i="9"/>
  <c r="H256" i="9"/>
  <c r="H255" i="9"/>
  <c r="H254" i="9"/>
  <c r="H253" i="9"/>
  <c r="G256" i="9"/>
  <c r="G255" i="9"/>
  <c r="G254" i="9"/>
  <c r="G253" i="9"/>
  <c r="F256" i="9"/>
  <c r="E256" i="9"/>
  <c r="D256" i="9"/>
  <c r="D255" i="9"/>
  <c r="I248" i="9"/>
  <c r="G248" i="9"/>
  <c r="F248" i="9"/>
  <c r="E248" i="9"/>
  <c r="H248" i="9"/>
  <c r="D248" i="9"/>
  <c r="C256" i="9"/>
  <c r="C255" i="9"/>
  <c r="C254" i="9"/>
  <c r="C248" i="9"/>
  <c r="A164" i="9"/>
  <c r="A132" i="9"/>
  <c r="A100" i="9"/>
  <c r="A68" i="9"/>
  <c r="A36" i="9"/>
  <c r="C31" i="9"/>
  <c r="C30" i="9"/>
  <c r="C29" i="9"/>
  <c r="C28" i="9"/>
  <c r="C20" i="9"/>
  <c r="A4" i="9"/>
  <c r="C32" i="9"/>
  <c r="I218" i="9"/>
  <c r="H218" i="9"/>
  <c r="G218" i="9"/>
  <c r="D378" i="9"/>
  <c r="C378" i="9"/>
  <c r="I282" i="9"/>
  <c r="H282" i="9"/>
  <c r="G282" i="9"/>
  <c r="F282" i="9"/>
  <c r="E282" i="9"/>
  <c r="D282" i="9"/>
  <c r="C282" i="9"/>
  <c r="C9" i="9"/>
  <c r="C15" i="9"/>
  <c r="C25" i="9"/>
  <c r="D32" i="9"/>
  <c r="D31" i="9"/>
  <c r="D30" i="9"/>
  <c r="D29" i="9"/>
  <c r="D28" i="9"/>
  <c r="H105" i="9"/>
  <c r="G28" i="9"/>
  <c r="G29" i="9"/>
  <c r="G30" i="9"/>
  <c r="G31" i="9"/>
  <c r="H92" i="9"/>
  <c r="I252" i="9"/>
  <c r="F284" i="9"/>
  <c r="H284" i="9"/>
  <c r="H316" i="9"/>
  <c r="D348" i="9"/>
  <c r="G348" i="9"/>
  <c r="E316" i="9"/>
  <c r="C96" i="9"/>
  <c r="H94" i="9"/>
  <c r="F96" i="9"/>
  <c r="G156" i="9"/>
  <c r="G157" i="9"/>
  <c r="E160" i="9"/>
  <c r="G160" i="9"/>
  <c r="H28" i="9"/>
  <c r="I28" i="9"/>
  <c r="H29" i="9"/>
  <c r="F30" i="9"/>
  <c r="H30" i="9"/>
  <c r="I30" i="9"/>
  <c r="F31" i="9"/>
  <c r="H31" i="9"/>
  <c r="I31" i="9"/>
  <c r="G32" i="9"/>
  <c r="H32" i="9"/>
  <c r="I32" i="9"/>
  <c r="C62" i="9"/>
  <c r="C63" i="9"/>
  <c r="D60" i="9"/>
  <c r="E60" i="9"/>
  <c r="F60" i="9"/>
  <c r="G60" i="9"/>
  <c r="H60" i="9"/>
  <c r="D61" i="9"/>
  <c r="E61" i="9"/>
  <c r="F61" i="9"/>
  <c r="G61" i="9"/>
  <c r="D62" i="9"/>
  <c r="E62" i="9"/>
  <c r="F62" i="9"/>
  <c r="G62" i="9"/>
  <c r="H62" i="9"/>
  <c r="D63" i="9"/>
  <c r="E63" i="9"/>
  <c r="F63" i="9"/>
  <c r="G63" i="9"/>
  <c r="D64" i="9"/>
  <c r="E64" i="9"/>
  <c r="F64" i="9"/>
  <c r="G64" i="9"/>
  <c r="H64" i="9"/>
  <c r="C92" i="9"/>
  <c r="C93" i="9"/>
  <c r="C94" i="9"/>
  <c r="D92" i="9"/>
  <c r="D93" i="9"/>
  <c r="D94" i="9"/>
  <c r="D95" i="9"/>
  <c r="D96" i="9"/>
  <c r="I92" i="9"/>
  <c r="G93" i="9"/>
  <c r="H93" i="9"/>
  <c r="I93" i="9"/>
  <c r="I94" i="9"/>
  <c r="G95" i="9"/>
  <c r="H95" i="9"/>
  <c r="I95" i="9"/>
  <c r="G96" i="9"/>
  <c r="H96" i="9"/>
  <c r="I96" i="9"/>
  <c r="E92" i="9"/>
  <c r="F92" i="9"/>
  <c r="E93" i="9"/>
  <c r="F93" i="9"/>
  <c r="E94" i="9"/>
  <c r="F94" i="9"/>
  <c r="E95" i="9"/>
  <c r="F95" i="9"/>
  <c r="E96" i="9"/>
  <c r="C124" i="9"/>
  <c r="C125" i="9"/>
  <c r="C126" i="9"/>
  <c r="C128" i="9"/>
  <c r="E124" i="9"/>
  <c r="F124" i="9"/>
  <c r="D125" i="9"/>
  <c r="E125" i="9"/>
  <c r="F125" i="9"/>
  <c r="E126" i="9"/>
  <c r="F126" i="9"/>
  <c r="E127" i="9"/>
  <c r="F127" i="9"/>
  <c r="E128" i="9"/>
  <c r="F128" i="9"/>
  <c r="I124" i="9"/>
  <c r="H125" i="9"/>
  <c r="I125" i="9"/>
  <c r="H126" i="9"/>
  <c r="I126" i="9"/>
  <c r="H127" i="9"/>
  <c r="I127" i="9"/>
  <c r="H128" i="9"/>
  <c r="I128" i="9"/>
  <c r="G125" i="9"/>
  <c r="G126" i="9"/>
  <c r="G127" i="9"/>
  <c r="G128" i="9"/>
  <c r="C157" i="9"/>
  <c r="C159" i="9"/>
  <c r="C160" i="9"/>
  <c r="D156" i="9"/>
  <c r="F156" i="9"/>
  <c r="I156" i="9"/>
  <c r="D157" i="9"/>
  <c r="F157" i="9"/>
  <c r="H157" i="9"/>
  <c r="I157" i="9"/>
  <c r="D158" i="9"/>
  <c r="E158" i="9"/>
  <c r="F158" i="9"/>
  <c r="G158" i="9"/>
  <c r="I158" i="9"/>
  <c r="D159" i="9"/>
  <c r="E159" i="9"/>
  <c r="F159" i="9"/>
  <c r="I159" i="9"/>
  <c r="D160" i="9"/>
  <c r="F160" i="9"/>
  <c r="H160" i="9"/>
  <c r="I160" i="9"/>
  <c r="C188" i="9"/>
  <c r="C189" i="9"/>
  <c r="C190" i="9"/>
  <c r="C191" i="9"/>
  <c r="C192" i="9"/>
  <c r="D188" i="9"/>
  <c r="E188" i="9"/>
  <c r="F188" i="9"/>
  <c r="G188" i="9"/>
  <c r="H188" i="9"/>
  <c r="I188" i="9"/>
  <c r="D189" i="9"/>
  <c r="E189" i="9"/>
  <c r="F189" i="9"/>
  <c r="G189" i="9"/>
  <c r="H189" i="9"/>
  <c r="I189" i="9"/>
  <c r="D190" i="9"/>
  <c r="E190" i="9"/>
  <c r="F190" i="9"/>
  <c r="G190" i="9"/>
  <c r="H190" i="9"/>
  <c r="I190" i="9"/>
  <c r="D191" i="9"/>
  <c r="E191" i="9"/>
  <c r="F191" i="9"/>
  <c r="G191" i="9"/>
  <c r="H191" i="9"/>
  <c r="I191" i="9"/>
  <c r="D192" i="9"/>
  <c r="E192" i="9"/>
  <c r="F192" i="9"/>
  <c r="G192" i="9"/>
  <c r="H192" i="9"/>
  <c r="I192" i="9"/>
  <c r="C220" i="9"/>
  <c r="C221" i="9"/>
  <c r="C222" i="9"/>
  <c r="C223" i="9"/>
  <c r="C224" i="9"/>
  <c r="D220" i="9"/>
  <c r="E220" i="9"/>
  <c r="D221" i="9"/>
  <c r="E221" i="9"/>
  <c r="D222" i="9"/>
  <c r="E222" i="9"/>
  <c r="D223" i="9"/>
  <c r="E223" i="9"/>
  <c r="D224" i="9"/>
  <c r="E224" i="9"/>
  <c r="F221" i="9"/>
  <c r="F223" i="9"/>
  <c r="C253" i="9"/>
  <c r="D253" i="9"/>
  <c r="E253" i="9"/>
  <c r="F253" i="9"/>
  <c r="D254" i="9"/>
  <c r="E254" i="9"/>
  <c r="F254" i="9"/>
  <c r="E255" i="9"/>
  <c r="F255" i="9"/>
  <c r="C284" i="9"/>
  <c r="E284" i="9"/>
  <c r="D316" i="9"/>
  <c r="F316" i="9"/>
  <c r="I316" i="9"/>
  <c r="C348" i="9"/>
  <c r="E348" i="9"/>
  <c r="F348" i="9"/>
  <c r="H348" i="9"/>
  <c r="I348" i="9"/>
  <c r="C380" i="9"/>
  <c r="D252" i="9"/>
  <c r="G252" i="9"/>
  <c r="G220" i="9"/>
  <c r="G222" i="9"/>
  <c r="G223" i="9"/>
  <c r="H220" i="9"/>
  <c r="C252" i="9"/>
  <c r="E252" i="9"/>
  <c r="F252" i="9"/>
  <c r="G92" i="9"/>
  <c r="G94" i="9"/>
  <c r="H156" i="9"/>
  <c r="E30" i="9"/>
  <c r="D126" i="9"/>
  <c r="C158" i="9"/>
  <c r="H158" i="9"/>
  <c r="F220" i="9"/>
  <c r="F222" i="9"/>
  <c r="D11" i="9"/>
  <c r="D10" i="9"/>
  <c r="D9" i="9"/>
  <c r="D73" i="9"/>
  <c r="H41" i="9"/>
  <c r="F41" i="9"/>
  <c r="E41" i="9"/>
  <c r="D41" i="9"/>
  <c r="C41" i="9"/>
  <c r="I9" i="9"/>
  <c r="H9" i="9"/>
  <c r="G9" i="9"/>
  <c r="C73" i="9"/>
  <c r="I41" i="9"/>
  <c r="G41" i="9"/>
  <c r="E42" i="9"/>
  <c r="F42" i="9"/>
  <c r="G42" i="9"/>
  <c r="H42" i="9"/>
  <c r="E43" i="9"/>
  <c r="F43" i="9"/>
  <c r="H43" i="9"/>
  <c r="D75" i="9"/>
  <c r="E107" i="9"/>
  <c r="F75" i="9"/>
  <c r="I75" i="9"/>
  <c r="H75" i="9"/>
  <c r="F105" i="9"/>
  <c r="I73" i="9"/>
  <c r="D105" i="9"/>
  <c r="I106" i="9"/>
  <c r="I107" i="9"/>
  <c r="I105" i="9"/>
  <c r="H137" i="9"/>
  <c r="E203" i="9"/>
  <c r="D203" i="9"/>
  <c r="D202" i="9"/>
  <c r="C203" i="9"/>
  <c r="C202" i="9"/>
  <c r="H171" i="9"/>
  <c r="F171" i="9"/>
  <c r="E171" i="9"/>
  <c r="H170" i="9"/>
  <c r="G170" i="9"/>
  <c r="F170" i="9"/>
  <c r="E170" i="9"/>
  <c r="F139" i="9"/>
  <c r="D139" i="9"/>
  <c r="F138" i="9"/>
  <c r="D138" i="9"/>
  <c r="D171" i="9"/>
  <c r="D170" i="9"/>
  <c r="C169" i="9"/>
  <c r="I137" i="9"/>
  <c r="E137" i="9"/>
  <c r="G169" i="9"/>
  <c r="D137" i="9"/>
  <c r="F137" i="9"/>
  <c r="D169" i="9"/>
  <c r="E169" i="9"/>
  <c r="F169" i="9"/>
  <c r="H169" i="9"/>
  <c r="C201" i="9"/>
  <c r="D201" i="9"/>
  <c r="E201" i="9"/>
  <c r="G203" i="9"/>
  <c r="E235" i="9"/>
  <c r="E267" i="9"/>
  <c r="E266" i="9"/>
  <c r="E234" i="9"/>
  <c r="C266" i="9"/>
  <c r="D233" i="9"/>
  <c r="C267" i="9"/>
  <c r="H267" i="9"/>
  <c r="G235" i="9"/>
  <c r="F331" i="9"/>
  <c r="G299" i="9"/>
  <c r="C363" i="9"/>
  <c r="C233" i="9"/>
  <c r="F235" i="9"/>
  <c r="I266" i="9"/>
  <c r="D267" i="9"/>
  <c r="I267" i="9"/>
  <c r="C331" i="9"/>
  <c r="H330" i="9"/>
  <c r="E331" i="9"/>
  <c r="H331" i="9"/>
  <c r="F298" i="9"/>
  <c r="D299" i="9"/>
  <c r="F299" i="9"/>
  <c r="H299" i="9"/>
  <c r="D362" i="9"/>
  <c r="D363" i="9"/>
  <c r="F234" i="9"/>
  <c r="D13" i="9"/>
  <c r="D18" i="9"/>
  <c r="D16" i="9"/>
  <c r="D15" i="9"/>
  <c r="D14" i="9"/>
  <c r="D365" i="9"/>
  <c r="D336" i="9"/>
  <c r="G112" i="9"/>
  <c r="D240" i="9"/>
  <c r="I240" i="9"/>
  <c r="C270" i="9"/>
  <c r="C272" i="9"/>
  <c r="E240" i="9"/>
  <c r="H112" i="9"/>
  <c r="E272" i="9"/>
  <c r="F272" i="9"/>
  <c r="E304" i="9"/>
  <c r="G304" i="9"/>
  <c r="G16" i="9"/>
  <c r="E80" i="9"/>
  <c r="I144" i="9"/>
  <c r="C176" i="9"/>
  <c r="D174" i="9"/>
  <c r="D176" i="9"/>
  <c r="E239" i="9"/>
  <c r="F335" i="9"/>
  <c r="H335" i="9"/>
  <c r="E336" i="9"/>
  <c r="F336" i="9"/>
  <c r="H304" i="9"/>
  <c r="F207" i="9"/>
  <c r="H77" i="9"/>
  <c r="G269" i="9"/>
  <c r="C271" i="9"/>
  <c r="G272" i="9"/>
  <c r="G336" i="9"/>
  <c r="H109" i="9"/>
  <c r="G77" i="9"/>
  <c r="D301" i="9"/>
  <c r="D304" i="9"/>
  <c r="I207" i="9"/>
  <c r="H208" i="9"/>
  <c r="G13" i="9"/>
  <c r="C80" i="9"/>
  <c r="D80" i="9"/>
  <c r="C112" i="9"/>
  <c r="I112" i="9"/>
  <c r="F176" i="9"/>
  <c r="I336" i="9"/>
  <c r="E13" i="9"/>
  <c r="C368" i="9"/>
  <c r="F15" i="9"/>
  <c r="H15" i="9"/>
  <c r="I15" i="9"/>
  <c r="H16" i="9"/>
  <c r="I16" i="9"/>
  <c r="C47" i="9"/>
  <c r="E45" i="9"/>
  <c r="F45" i="9"/>
  <c r="G45" i="9"/>
  <c r="H45" i="9"/>
  <c r="E46" i="9"/>
  <c r="F46" i="9"/>
  <c r="E47" i="9"/>
  <c r="F47" i="9"/>
  <c r="G47" i="9"/>
  <c r="H47" i="9"/>
  <c r="D48" i="9"/>
  <c r="E48" i="9"/>
  <c r="F48" i="9"/>
  <c r="G48" i="9"/>
  <c r="H48" i="9"/>
  <c r="C77" i="9"/>
  <c r="C79" i="9"/>
  <c r="D77" i="9"/>
  <c r="D79" i="9"/>
  <c r="I77" i="9"/>
  <c r="G79" i="9"/>
  <c r="H79" i="9"/>
  <c r="H80" i="9"/>
  <c r="I80" i="9"/>
  <c r="E77" i="9"/>
  <c r="F77" i="9"/>
  <c r="E79" i="9"/>
  <c r="F79" i="9"/>
  <c r="F80" i="9"/>
  <c r="C109" i="9"/>
  <c r="E109" i="9"/>
  <c r="F109" i="9"/>
  <c r="E111" i="9"/>
  <c r="E112" i="9"/>
  <c r="F112" i="9"/>
  <c r="I109" i="9"/>
  <c r="H111" i="9"/>
  <c r="I111" i="9"/>
  <c r="G109" i="9"/>
  <c r="G111" i="9"/>
  <c r="C141" i="9"/>
  <c r="C143" i="9"/>
  <c r="D141" i="9"/>
  <c r="F141" i="9"/>
  <c r="G141" i="9"/>
  <c r="I141" i="9"/>
  <c r="D142" i="9"/>
  <c r="D143" i="9"/>
  <c r="F143" i="9"/>
  <c r="G143" i="9"/>
  <c r="I143" i="9"/>
  <c r="D144" i="9"/>
  <c r="G144" i="9"/>
  <c r="C173" i="9"/>
  <c r="C175" i="9"/>
  <c r="D173" i="9"/>
  <c r="E173" i="9"/>
  <c r="F173" i="9"/>
  <c r="H173" i="9"/>
  <c r="E174" i="9"/>
  <c r="F174" i="9"/>
  <c r="H174" i="9"/>
  <c r="D175" i="9"/>
  <c r="E175" i="9"/>
  <c r="F175" i="9"/>
  <c r="H175" i="9"/>
  <c r="E176" i="9"/>
  <c r="G176" i="9"/>
  <c r="H176" i="9"/>
  <c r="C205" i="9"/>
  <c r="C206" i="9"/>
  <c r="C207" i="9"/>
  <c r="C208" i="9"/>
  <c r="C239" i="9"/>
  <c r="D237" i="9"/>
  <c r="H237" i="9"/>
  <c r="E237" i="9"/>
  <c r="F237" i="9"/>
  <c r="F238" i="9"/>
  <c r="F239" i="9"/>
  <c r="F240" i="9"/>
  <c r="G237" i="9"/>
  <c r="G239" i="9"/>
  <c r="G240" i="9"/>
  <c r="I237" i="9"/>
  <c r="I239" i="9"/>
  <c r="C269" i="9"/>
  <c r="D269" i="9"/>
  <c r="E269" i="9"/>
  <c r="H269" i="9"/>
  <c r="I269" i="9"/>
  <c r="I270" i="9"/>
  <c r="D271" i="9"/>
  <c r="E271" i="9"/>
  <c r="F271" i="9"/>
  <c r="H271" i="9"/>
  <c r="I271" i="9"/>
  <c r="D272" i="9"/>
  <c r="H272" i="9"/>
  <c r="I272" i="9"/>
  <c r="C333" i="9"/>
  <c r="C335" i="9"/>
  <c r="C336" i="9"/>
  <c r="D333" i="9"/>
  <c r="E333" i="9"/>
  <c r="F333" i="9"/>
  <c r="G333" i="9"/>
  <c r="H333" i="9"/>
  <c r="I333" i="9"/>
  <c r="H334" i="9"/>
  <c r="D335" i="9"/>
  <c r="E335" i="9"/>
  <c r="G335" i="9"/>
  <c r="I335" i="9"/>
  <c r="H336" i="9"/>
  <c r="E301" i="9"/>
  <c r="F301" i="9"/>
  <c r="G301" i="9"/>
  <c r="H301" i="9"/>
  <c r="I301" i="9"/>
  <c r="F302" i="9"/>
  <c r="D303" i="9"/>
  <c r="E303" i="9"/>
  <c r="F303" i="9"/>
  <c r="G303" i="9"/>
  <c r="H303" i="9"/>
  <c r="I303" i="9"/>
  <c r="F304" i="9"/>
  <c r="I304" i="9"/>
  <c r="C365" i="9"/>
  <c r="C367" i="9"/>
  <c r="D367" i="9"/>
  <c r="D205" i="9"/>
  <c r="E205" i="9"/>
  <c r="D206" i="9"/>
  <c r="D207" i="9"/>
  <c r="E207" i="9"/>
  <c r="D208" i="9"/>
  <c r="E208" i="9"/>
  <c r="G205" i="9"/>
  <c r="G208" i="9"/>
  <c r="H205" i="9"/>
  <c r="H207" i="9"/>
  <c r="H13" i="9"/>
  <c r="I13" i="9"/>
  <c r="G18" i="9"/>
  <c r="C146" i="9"/>
  <c r="E18" i="9"/>
  <c r="H242" i="9"/>
  <c r="D306" i="9"/>
  <c r="H210" i="9"/>
  <c r="C114" i="9"/>
  <c r="H114" i="9"/>
  <c r="H146" i="9"/>
  <c r="C274" i="9"/>
  <c r="H274" i="9"/>
  <c r="H18" i="9"/>
  <c r="I18" i="9"/>
  <c r="D50" i="9"/>
  <c r="E50" i="9"/>
  <c r="F50" i="9"/>
  <c r="G50" i="9"/>
  <c r="H50" i="9"/>
  <c r="I50" i="9"/>
  <c r="C82" i="9"/>
  <c r="D82" i="9"/>
  <c r="F82" i="9"/>
  <c r="E114" i="9"/>
  <c r="F114" i="9"/>
  <c r="I114" i="9"/>
  <c r="G114" i="9"/>
  <c r="D146" i="9"/>
  <c r="F146" i="9"/>
  <c r="G146" i="9"/>
  <c r="I146" i="9"/>
  <c r="D178" i="9"/>
  <c r="E178" i="9"/>
  <c r="F178" i="9"/>
  <c r="G178" i="9"/>
  <c r="H178" i="9"/>
  <c r="C210" i="9"/>
  <c r="D242" i="9"/>
  <c r="E242" i="9"/>
  <c r="F242" i="9"/>
  <c r="G242" i="9"/>
  <c r="I242" i="9"/>
  <c r="D274" i="9"/>
  <c r="E274" i="9"/>
  <c r="I274" i="9"/>
  <c r="C338" i="9"/>
  <c r="D338" i="9"/>
  <c r="E338" i="9"/>
  <c r="F338" i="9"/>
  <c r="G338" i="9"/>
  <c r="H338" i="9"/>
  <c r="I338" i="9"/>
  <c r="E306" i="9"/>
  <c r="F306" i="9"/>
  <c r="H306" i="9"/>
  <c r="I306" i="9"/>
  <c r="C370" i="9"/>
  <c r="D370" i="9"/>
  <c r="D210" i="9"/>
  <c r="E210" i="9"/>
  <c r="G210" i="9"/>
  <c r="H144" i="9"/>
  <c r="G80" i="9"/>
  <c r="G238" i="9"/>
  <c r="G302" i="9"/>
  <c r="H46" i="9"/>
  <c r="I110" i="9"/>
  <c r="F142" i="9"/>
  <c r="F144" i="9"/>
  <c r="H302" i="9"/>
  <c r="F274" i="9"/>
  <c r="G274" i="9"/>
  <c r="G82" i="9"/>
  <c r="H82" i="9"/>
  <c r="D19" i="9"/>
  <c r="D179" i="9"/>
  <c r="H51" i="9"/>
  <c r="E51" i="9"/>
  <c r="F51" i="9"/>
  <c r="D147" i="9"/>
  <c r="E179" i="9"/>
  <c r="F179" i="9"/>
  <c r="H179" i="9"/>
  <c r="C211" i="9"/>
  <c r="F243" i="9"/>
  <c r="H339" i="9"/>
  <c r="F307" i="9"/>
  <c r="D211" i="9"/>
  <c r="F147" i="9"/>
  <c r="G244" i="9"/>
  <c r="H244" i="9"/>
  <c r="G276" i="9"/>
  <c r="H212" i="9"/>
  <c r="G212" i="9"/>
  <c r="E212" i="9"/>
  <c r="D212" i="9"/>
  <c r="C372" i="9"/>
  <c r="I308" i="9"/>
  <c r="H308" i="9"/>
  <c r="G308" i="9"/>
  <c r="F308" i="9"/>
  <c r="H340" i="9"/>
  <c r="G340" i="9"/>
  <c r="F340" i="9"/>
  <c r="C340" i="9"/>
  <c r="H276" i="9"/>
  <c r="F276" i="9"/>
  <c r="E276" i="9"/>
  <c r="D276" i="9"/>
  <c r="I244" i="9"/>
  <c r="F244" i="9"/>
  <c r="E244" i="9"/>
  <c r="D244" i="9"/>
  <c r="C212" i="9"/>
  <c r="H180" i="9"/>
  <c r="G180" i="9"/>
  <c r="F180" i="9"/>
  <c r="E180" i="9"/>
  <c r="D180" i="9"/>
  <c r="I148" i="9"/>
  <c r="G148" i="9"/>
  <c r="F148" i="9"/>
  <c r="D148" i="9"/>
  <c r="I116" i="9"/>
  <c r="H116" i="9"/>
  <c r="F116" i="9"/>
  <c r="D116" i="9"/>
  <c r="C116" i="9"/>
  <c r="F84" i="9"/>
  <c r="E84" i="9"/>
  <c r="I84" i="9"/>
  <c r="H84" i="9"/>
  <c r="D84" i="9"/>
  <c r="C84" i="9"/>
  <c r="I52" i="9"/>
  <c r="H52" i="9"/>
  <c r="G52" i="9"/>
  <c r="F52" i="9"/>
  <c r="E52" i="9"/>
  <c r="D52" i="9"/>
  <c r="C52" i="9"/>
  <c r="I20" i="9"/>
  <c r="H20" i="9"/>
  <c r="G20" i="9"/>
  <c r="F20" i="9"/>
  <c r="E20" i="9"/>
  <c r="E148" i="9"/>
  <c r="D308" i="9"/>
  <c r="E340" i="9"/>
  <c r="H148" i="9"/>
  <c r="D372" i="9"/>
  <c r="D20" i="9"/>
  <c r="E217" i="9"/>
  <c r="D217" i="9"/>
  <c r="E216" i="9"/>
  <c r="D216" i="9"/>
  <c r="C217" i="9"/>
  <c r="C216" i="9"/>
  <c r="H185" i="9"/>
  <c r="F185" i="9"/>
  <c r="E185" i="9"/>
  <c r="I184" i="9"/>
  <c r="H184" i="9"/>
  <c r="G184" i="9"/>
  <c r="E184" i="9"/>
  <c r="F153" i="9"/>
  <c r="D153" i="9"/>
  <c r="F152" i="9"/>
  <c r="D152" i="9"/>
  <c r="I121" i="9"/>
  <c r="I89" i="9"/>
  <c r="G57" i="9"/>
  <c r="F57" i="9"/>
  <c r="E57" i="9"/>
  <c r="D57" i="9"/>
  <c r="G56" i="9"/>
  <c r="F56" i="9"/>
  <c r="E56" i="9"/>
  <c r="I25" i="9"/>
  <c r="H25" i="9"/>
  <c r="I24" i="9"/>
  <c r="H24" i="9"/>
  <c r="G152" i="9"/>
  <c r="F184" i="9"/>
  <c r="I120" i="9"/>
  <c r="E121" i="9"/>
  <c r="F120" i="9"/>
  <c r="E120" i="9"/>
  <c r="C120" i="9"/>
  <c r="I88" i="9"/>
  <c r="F88" i="9"/>
  <c r="D89" i="9"/>
  <c r="D88" i="9"/>
  <c r="C89" i="9"/>
  <c r="C88" i="9"/>
  <c r="H152" i="9"/>
  <c r="H89" i="9"/>
  <c r="H88" i="9"/>
  <c r="F121" i="9"/>
  <c r="C121" i="9"/>
  <c r="G121" i="9"/>
  <c r="D185" i="9"/>
  <c r="D184" i="9"/>
  <c r="G25" i="9"/>
  <c r="G24" i="9"/>
  <c r="I153" i="9"/>
  <c r="H121" i="9"/>
  <c r="D24" i="9"/>
  <c r="D25" i="9"/>
  <c r="H233" i="9"/>
  <c r="H124" i="9"/>
  <c r="F203" i="9"/>
  <c r="I176" i="9"/>
  <c r="I178" i="9"/>
  <c r="I180" i="9"/>
  <c r="G84" i="9"/>
  <c r="I185" i="9"/>
  <c r="D380" i="9"/>
  <c r="E287" i="9"/>
  <c r="E286" i="9"/>
  <c r="I60" i="9"/>
  <c r="G124" i="9"/>
  <c r="E156" i="9"/>
  <c r="D284" i="9"/>
  <c r="G284" i="9"/>
  <c r="G316" i="9"/>
  <c r="I62" i="9"/>
  <c r="H61" i="9"/>
  <c r="I61" i="9"/>
  <c r="H63" i="9"/>
  <c r="E157" i="9"/>
  <c r="I284" i="9"/>
  <c r="I201" i="9"/>
  <c r="D124" i="9"/>
  <c r="C156" i="9"/>
  <c r="F208" i="9"/>
  <c r="C304" i="9"/>
  <c r="C144" i="9"/>
  <c r="I48" i="9"/>
  <c r="E144" i="9"/>
  <c r="E143" i="9"/>
  <c r="I45" i="9"/>
  <c r="I47" i="9"/>
  <c r="D109" i="9"/>
  <c r="E82" i="9"/>
  <c r="D112" i="9"/>
  <c r="E141" i="9"/>
  <c r="E146" i="9"/>
  <c r="I275" i="9"/>
  <c r="I276" i="9"/>
  <c r="H56" i="9"/>
  <c r="G153" i="9"/>
  <c r="I56" i="9"/>
  <c r="H57" i="9"/>
  <c r="C316" i="9"/>
  <c r="I220" i="9"/>
  <c r="E28" i="9"/>
  <c r="C139" i="9"/>
  <c r="C148" i="9"/>
  <c r="C153" i="9"/>
  <c r="G43" i="9"/>
  <c r="E75" i="9"/>
  <c r="G171" i="9"/>
  <c r="F267" i="9"/>
  <c r="I235" i="9"/>
  <c r="H235" i="9"/>
  <c r="E270" i="9"/>
  <c r="E15" i="9"/>
  <c r="G46" i="9"/>
  <c r="D47" i="9"/>
  <c r="G173" i="9"/>
  <c r="G174" i="9"/>
  <c r="G175" i="9"/>
  <c r="F269" i="9"/>
  <c r="D334" i="9"/>
  <c r="E238" i="9"/>
  <c r="E243" i="9"/>
  <c r="E275" i="9"/>
  <c r="G179" i="9"/>
  <c r="G51" i="9"/>
  <c r="G211" i="9"/>
  <c r="G185" i="9"/>
  <c r="D56" i="9"/>
  <c r="G120" i="9"/>
  <c r="C184" i="9"/>
  <c r="I152" i="9"/>
  <c r="H120" i="9"/>
  <c r="H240" i="9"/>
  <c r="G334" i="9"/>
  <c r="E25" i="9"/>
  <c r="E152" i="9"/>
  <c r="E88" i="9"/>
  <c r="D120" i="9"/>
  <c r="E89" i="9"/>
  <c r="D121" i="9"/>
  <c r="G88" i="9"/>
  <c r="E153" i="9"/>
  <c r="C152" i="9"/>
  <c r="E24" i="9"/>
  <c r="C10" i="9"/>
  <c r="C127" i="9"/>
  <c r="H159" i="9"/>
  <c r="G73" i="9"/>
  <c r="G10" i="9"/>
  <c r="G11" i="9"/>
  <c r="C74" i="9"/>
  <c r="D74" i="9"/>
  <c r="H10" i="9"/>
  <c r="I10" i="9"/>
  <c r="H11" i="9"/>
  <c r="I11" i="9"/>
  <c r="D42" i="9"/>
  <c r="C75" i="9"/>
  <c r="G74" i="9"/>
  <c r="F107" i="9"/>
  <c r="C107" i="9"/>
  <c r="C106" i="9"/>
  <c r="I74" i="9"/>
  <c r="F106" i="9"/>
  <c r="F74" i="9"/>
  <c r="E74" i="9"/>
  <c r="C105" i="9"/>
  <c r="G106" i="9"/>
  <c r="G107" i="9"/>
  <c r="H107" i="9"/>
  <c r="H106" i="9"/>
  <c r="H138" i="9"/>
  <c r="H139" i="9"/>
  <c r="E202" i="9"/>
  <c r="G139" i="9"/>
  <c r="G138" i="9"/>
  <c r="C171" i="9"/>
  <c r="I139" i="9"/>
  <c r="I138" i="9"/>
  <c r="C170" i="9"/>
  <c r="C137" i="9"/>
  <c r="H202" i="9"/>
  <c r="H203" i="9"/>
  <c r="G267" i="9"/>
  <c r="G266" i="9"/>
  <c r="D330" i="9"/>
  <c r="D234" i="9"/>
  <c r="D235" i="9"/>
  <c r="D298" i="9"/>
  <c r="F266" i="9"/>
  <c r="I331" i="9"/>
  <c r="E299" i="9"/>
  <c r="E330" i="9"/>
  <c r="I330" i="9"/>
  <c r="H298" i="9"/>
  <c r="I298" i="9"/>
  <c r="C362" i="9"/>
  <c r="C330" i="9"/>
  <c r="I299" i="9"/>
  <c r="G234" i="9"/>
  <c r="I234" i="9"/>
  <c r="G14" i="9"/>
  <c r="C174" i="9"/>
  <c r="I173" i="9"/>
  <c r="H78" i="9"/>
  <c r="C366" i="9"/>
  <c r="H14" i="9"/>
  <c r="I14" i="9"/>
  <c r="D45" i="9"/>
  <c r="I79" i="9"/>
  <c r="C110" i="9"/>
  <c r="C111" i="9"/>
  <c r="E110" i="9"/>
  <c r="F111" i="9"/>
  <c r="H143" i="9"/>
  <c r="I175" i="9"/>
  <c r="D239" i="9"/>
  <c r="G271" i="9"/>
  <c r="F334" i="9"/>
  <c r="I302" i="9"/>
  <c r="E206" i="9"/>
  <c r="F210" i="9"/>
  <c r="C178" i="9"/>
  <c r="D114" i="9"/>
  <c r="C306" i="9"/>
  <c r="I82" i="9"/>
  <c r="G306" i="9"/>
  <c r="I142" i="9"/>
  <c r="H142" i="9"/>
  <c r="G270" i="9"/>
  <c r="D302" i="9"/>
  <c r="H206" i="9"/>
  <c r="F78" i="9"/>
  <c r="F110" i="9"/>
  <c r="H270" i="9"/>
  <c r="E302" i="9"/>
  <c r="C78" i="9"/>
  <c r="D78" i="9"/>
  <c r="I78" i="9"/>
  <c r="H141" i="9"/>
  <c r="G142" i="9"/>
  <c r="D270" i="9"/>
  <c r="C334" i="9"/>
  <c r="E334" i="9"/>
  <c r="G19" i="9"/>
  <c r="I147" i="9"/>
  <c r="C179" i="9"/>
  <c r="C275" i="9"/>
  <c r="H115" i="9"/>
  <c r="G243" i="9"/>
  <c r="H19" i="9"/>
  <c r="I19" i="9"/>
  <c r="D83" i="9"/>
  <c r="H83" i="9"/>
  <c r="F83" i="9"/>
  <c r="E115" i="9"/>
  <c r="I115" i="9"/>
  <c r="C339" i="9"/>
  <c r="F339" i="9"/>
  <c r="H307" i="9"/>
  <c r="I307" i="9"/>
  <c r="C371" i="9"/>
  <c r="E211" i="9"/>
  <c r="H211" i="9"/>
  <c r="G275" i="9"/>
  <c r="I243" i="9"/>
  <c r="G115" i="9"/>
  <c r="D307" i="9"/>
  <c r="E307" i="9"/>
  <c r="G307" i="9"/>
  <c r="H275" i="9"/>
  <c r="I339" i="9"/>
  <c r="C115" i="9"/>
  <c r="F115" i="9"/>
  <c r="D275" i="9"/>
  <c r="E339" i="9"/>
  <c r="C83" i="9"/>
  <c r="I83" i="9"/>
  <c r="G147" i="9"/>
  <c r="F212" i="9"/>
  <c r="E308" i="9"/>
  <c r="I340" i="9"/>
  <c r="C180" i="9"/>
  <c r="G116" i="9"/>
  <c r="D340" i="9"/>
  <c r="F89" i="9"/>
  <c r="C185" i="9"/>
  <c r="E31" i="9"/>
  <c r="I170" i="9"/>
  <c r="I171" i="9"/>
  <c r="I169" i="9"/>
  <c r="I174" i="9"/>
  <c r="I179" i="9"/>
  <c r="I43" i="9"/>
  <c r="E138" i="9"/>
  <c r="F205" i="9"/>
  <c r="D111" i="9"/>
  <c r="C303" i="9"/>
  <c r="F206" i="9"/>
  <c r="I46" i="9"/>
  <c r="F211" i="9"/>
  <c r="I51" i="9"/>
  <c r="I57" i="9"/>
  <c r="G89" i="9"/>
  <c r="F216" i="9"/>
  <c r="C147" i="9"/>
  <c r="D43" i="9"/>
  <c r="G75" i="9"/>
  <c r="D331" i="9"/>
  <c r="G331" i="9"/>
  <c r="D46" i="9"/>
  <c r="H110" i="9"/>
  <c r="G110" i="9"/>
  <c r="H238" i="9"/>
  <c r="D238" i="9"/>
  <c r="I238" i="9"/>
  <c r="F270" i="9"/>
  <c r="I334" i="9"/>
  <c r="D339" i="9"/>
  <c r="D243" i="9"/>
  <c r="D51" i="9"/>
  <c r="H243" i="9"/>
  <c r="F275" i="9"/>
  <c r="G83" i="9"/>
  <c r="E11" i="9"/>
  <c r="H239" i="9"/>
  <c r="E14" i="9"/>
  <c r="G339" i="9"/>
  <c r="E19" i="9"/>
  <c r="E139" i="9"/>
  <c r="C299" i="9"/>
  <c r="E78" i="9"/>
  <c r="G78" i="9"/>
  <c r="D110" i="9"/>
  <c r="E142" i="9"/>
  <c r="C302" i="9"/>
  <c r="E83" i="9"/>
  <c r="D115" i="9"/>
  <c r="E147" i="9"/>
  <c r="D107" i="9"/>
  <c r="C301" i="9"/>
  <c r="C142" i="9"/>
  <c r="F32" i="9"/>
  <c r="F224" i="9"/>
  <c r="F28" i="9"/>
  <c r="F29" i="9"/>
  <c r="E32" i="9"/>
  <c r="C60" i="9"/>
  <c r="C61" i="9"/>
  <c r="C64" i="9"/>
  <c r="D128" i="9"/>
  <c r="F9" i="9"/>
  <c r="C42" i="9"/>
  <c r="C43" i="9"/>
  <c r="E106" i="9"/>
  <c r="G202" i="9"/>
  <c r="C234" i="9"/>
  <c r="C235" i="9"/>
  <c r="G15" i="9"/>
  <c r="F16" i="9"/>
  <c r="C45" i="9"/>
  <c r="C46" i="9"/>
  <c r="C48" i="9"/>
  <c r="F13" i="9"/>
  <c r="G206" i="9"/>
  <c r="G207" i="9"/>
  <c r="F18" i="9"/>
  <c r="C50" i="9"/>
  <c r="C51" i="9"/>
  <c r="D371" i="9"/>
  <c r="E116" i="9"/>
  <c r="C57" i="9"/>
  <c r="C56" i="9"/>
  <c r="F24" i="9"/>
  <c r="H153" i="9"/>
  <c r="E16" i="9"/>
  <c r="C18" i="9"/>
  <c r="C16" i="9"/>
  <c r="E29" i="9"/>
  <c r="I64" i="9"/>
  <c r="E9" i="9"/>
  <c r="C138" i="9"/>
  <c r="C24" i="9"/>
  <c r="F10" i="9"/>
  <c r="F11" i="9"/>
  <c r="H74" i="9"/>
  <c r="C298" i="9"/>
  <c r="G330" i="9"/>
  <c r="H266" i="9"/>
  <c r="E298" i="9"/>
  <c r="D266" i="9"/>
  <c r="F330" i="9"/>
  <c r="G298" i="9"/>
  <c r="H234" i="9"/>
  <c r="F14" i="9"/>
  <c r="H147" i="9"/>
  <c r="F19" i="9"/>
  <c r="F25" i="9"/>
  <c r="E371" i="9"/>
  <c r="E10" i="9"/>
  <c r="F202" i="9"/>
  <c r="C11" i="9"/>
  <c r="C13" i="9"/>
  <c r="C14" i="9"/>
  <c r="I42" i="9"/>
  <c r="I202" i="9"/>
  <c r="F217" i="9"/>
  <c r="D106" i="9"/>
  <c r="C308" i="9"/>
  <c r="I203" i="9"/>
  <c r="C307" i="9"/>
  <c r="C19" i="9"/>
  <c r="C240" i="9"/>
  <c r="C238" i="9"/>
  <c r="C237" i="9"/>
  <c r="C242" i="9"/>
  <c r="C243" i="9"/>
  <c r="C244" i="9"/>
  <c r="I205" i="9"/>
  <c r="I208" i="9"/>
  <c r="I210" i="9"/>
  <c r="I212" i="9"/>
  <c r="I211" i="9"/>
  <c r="I206" i="9"/>
  <c r="CE60" i="1"/>
  <c r="H612" i="1" s="1"/>
  <c r="CE61" i="1"/>
  <c r="BK48" i="1" s="1"/>
  <c r="BK62" i="1" s="1"/>
  <c r="G268" i="9" s="1"/>
  <c r="CE65" i="1"/>
  <c r="C431" i="1" s="1"/>
  <c r="CE63" i="1"/>
  <c r="I365" i="9" s="1"/>
  <c r="CE66" i="1"/>
  <c r="I368" i="9" s="1"/>
  <c r="CE68" i="1"/>
  <c r="I370" i="9" s="1"/>
  <c r="D75" i="1"/>
  <c r="AR75" i="1"/>
  <c r="I186" i="9" s="1"/>
  <c r="AS75" i="1"/>
  <c r="AT75" i="1"/>
  <c r="D218" i="9" s="1"/>
  <c r="AU75" i="1"/>
  <c r="E218" i="9" s="1"/>
  <c r="AQ75" i="1"/>
  <c r="H186" i="9" s="1"/>
  <c r="AO75" i="1"/>
  <c r="AN75" i="1"/>
  <c r="E186" i="9" s="1"/>
  <c r="AM75" i="1"/>
  <c r="D186" i="9"/>
  <c r="AI75" i="1"/>
  <c r="G154" i="9" s="1"/>
  <c r="AH75" i="1"/>
  <c r="F154" i="9" s="1"/>
  <c r="AF75" i="1"/>
  <c r="D154" i="9" s="1"/>
  <c r="AD75" i="1"/>
  <c r="AA75" i="1"/>
  <c r="F122" i="9" s="1"/>
  <c r="Z75" i="1"/>
  <c r="E122" i="9" s="1"/>
  <c r="X75" i="1"/>
  <c r="C122" i="9" s="1"/>
  <c r="W75" i="1"/>
  <c r="V75" i="1"/>
  <c r="H90" i="9" s="1"/>
  <c r="T75" i="1"/>
  <c r="R75" i="1"/>
  <c r="Q75" i="1"/>
  <c r="C90" i="9" s="1"/>
  <c r="P75" i="1"/>
  <c r="I58" i="9" s="1"/>
  <c r="O75" i="1"/>
  <c r="H58" i="9" s="1"/>
  <c r="N75" i="1"/>
  <c r="G58" i="9" s="1"/>
  <c r="M75" i="1"/>
  <c r="F58" i="9" s="1"/>
  <c r="L75" i="1"/>
  <c r="I75" i="1"/>
  <c r="H75" i="1"/>
  <c r="H26" i="9" s="1"/>
  <c r="G75" i="1"/>
  <c r="F75" i="1"/>
  <c r="F26" i="9" s="1"/>
  <c r="AV75" i="1"/>
  <c r="AP75" i="1"/>
  <c r="G186" i="9" s="1"/>
  <c r="AJ75" i="1"/>
  <c r="AL75" i="1"/>
  <c r="C186" i="9" s="1"/>
  <c r="AK75" i="1"/>
  <c r="I154" i="9" s="1"/>
  <c r="AG75" i="1"/>
  <c r="E154" i="9" s="1"/>
  <c r="AE75" i="1"/>
  <c r="C154" i="9" s="1"/>
  <c r="AC75" i="1"/>
  <c r="H122" i="9" s="1"/>
  <c r="AB75" i="1"/>
  <c r="Y75" i="1"/>
  <c r="D122" i="9" s="1"/>
  <c r="U75" i="1"/>
  <c r="G90" i="9" s="1"/>
  <c r="S75" i="1"/>
  <c r="E90" i="9" s="1"/>
  <c r="K75" i="1"/>
  <c r="J75" i="1"/>
  <c r="E75" i="1"/>
  <c r="E26" i="9" s="1"/>
  <c r="CE73" i="1"/>
  <c r="CE74" i="1"/>
  <c r="I377" i="9" s="1"/>
  <c r="C75" i="1"/>
  <c r="C26" i="9" s="1"/>
  <c r="CE80" i="1"/>
  <c r="CE78" i="1"/>
  <c r="I382" i="9" s="1"/>
  <c r="CE69" i="1"/>
  <c r="I371" i="9" s="1"/>
  <c r="D361" i="1"/>
  <c r="D368" i="1" s="1"/>
  <c r="C120" i="8" s="1"/>
  <c r="D372" i="1"/>
  <c r="C125" i="8" s="1"/>
  <c r="D260" i="1"/>
  <c r="C16" i="8" s="1"/>
  <c r="D265" i="1"/>
  <c r="D275" i="1"/>
  <c r="C33" i="8" s="1"/>
  <c r="D290" i="1"/>
  <c r="D319" i="1"/>
  <c r="C74" i="8" s="1"/>
  <c r="D328" i="1"/>
  <c r="C84" i="8" s="1"/>
  <c r="D229" i="1"/>
  <c r="B445" i="1" s="1"/>
  <c r="D236" i="1"/>
  <c r="D240" i="1"/>
  <c r="E209" i="1"/>
  <c r="E210" i="1"/>
  <c r="F25" i="6" s="1"/>
  <c r="E211" i="1"/>
  <c r="F26" i="6" s="1"/>
  <c r="E212" i="1"/>
  <c r="F27" i="6" s="1"/>
  <c r="E213" i="1"/>
  <c r="F28" i="6" s="1"/>
  <c r="E214" i="1"/>
  <c r="F29" i="6" s="1"/>
  <c r="E215" i="1"/>
  <c r="F30" i="6" s="1"/>
  <c r="E216" i="1"/>
  <c r="D217" i="1"/>
  <c r="E32" i="6" s="1"/>
  <c r="C217" i="1"/>
  <c r="D433" i="1" s="1"/>
  <c r="E196" i="1"/>
  <c r="E197" i="1"/>
  <c r="C470" i="1" s="1"/>
  <c r="E198" i="1"/>
  <c r="E199" i="1"/>
  <c r="F11" i="6" s="1"/>
  <c r="E201" i="1"/>
  <c r="F13" i="6" s="1"/>
  <c r="E202" i="1"/>
  <c r="C474" i="1" s="1"/>
  <c r="E203" i="1"/>
  <c r="C475" i="1" s="1"/>
  <c r="D204" i="1"/>
  <c r="D190" i="1"/>
  <c r="D186" i="1"/>
  <c r="C387" i="1" s="1"/>
  <c r="D181" i="1"/>
  <c r="C27" i="5" s="1"/>
  <c r="D177" i="1"/>
  <c r="C20" i="5" s="1"/>
  <c r="E154" i="1"/>
  <c r="F28" i="4" s="1"/>
  <c r="E153" i="1"/>
  <c r="E152" i="1"/>
  <c r="E151" i="1"/>
  <c r="C28" i="4" s="1"/>
  <c r="E150" i="1"/>
  <c r="E148" i="1"/>
  <c r="E147" i="1"/>
  <c r="E146" i="1"/>
  <c r="D19" i="4" s="1"/>
  <c r="E145" i="1"/>
  <c r="C19" i="4" s="1"/>
  <c r="E144" i="1"/>
  <c r="C417" i="1" s="1"/>
  <c r="E141" i="1"/>
  <c r="E140" i="1"/>
  <c r="D10" i="4" s="1"/>
  <c r="E139" i="1"/>
  <c r="C415" i="1" s="1"/>
  <c r="E127" i="1"/>
  <c r="CF79" i="1"/>
  <c r="B53" i="1"/>
  <c r="CE51" i="1"/>
  <c r="B49" i="1"/>
  <c r="A412" i="1"/>
  <c r="G493" i="1"/>
  <c r="E493" i="1"/>
  <c r="C493" i="1"/>
  <c r="E550" i="1"/>
  <c r="E546" i="1"/>
  <c r="E545" i="1"/>
  <c r="E544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7" i="1"/>
  <c r="E526" i="1"/>
  <c r="E525" i="1"/>
  <c r="E524" i="1"/>
  <c r="E523" i="1"/>
  <c r="E522" i="1"/>
  <c r="E520" i="1"/>
  <c r="E518" i="1"/>
  <c r="E517" i="1"/>
  <c r="E516" i="1"/>
  <c r="E514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B478" i="1"/>
  <c r="B475" i="1"/>
  <c r="B474" i="1"/>
  <c r="B473" i="1"/>
  <c r="B472" i="1"/>
  <c r="B471" i="1"/>
  <c r="B470" i="1"/>
  <c r="B469" i="1"/>
  <c r="B468" i="1"/>
  <c r="B464" i="1"/>
  <c r="B463" i="1"/>
  <c r="C459" i="1"/>
  <c r="B459" i="1"/>
  <c r="B458" i="1"/>
  <c r="B455" i="1"/>
  <c r="B454" i="1"/>
  <c r="B453" i="1"/>
  <c r="C448" i="1"/>
  <c r="C447" i="1"/>
  <c r="B447" i="1"/>
  <c r="C446" i="1"/>
  <c r="C445" i="1"/>
  <c r="B439" i="1"/>
  <c r="C439" i="1"/>
  <c r="C438" i="1"/>
  <c r="B436" i="1"/>
  <c r="B435" i="1"/>
  <c r="B434" i="1"/>
  <c r="B433" i="1"/>
  <c r="B432" i="1"/>
  <c r="B431" i="1"/>
  <c r="B430" i="1"/>
  <c r="B429" i="1"/>
  <c r="B428" i="1"/>
  <c r="B427" i="1"/>
  <c r="D424" i="1"/>
  <c r="B424" i="1"/>
  <c r="B423" i="1"/>
  <c r="D421" i="1"/>
  <c r="C421" i="1"/>
  <c r="B421" i="1"/>
  <c r="B420" i="1"/>
  <c r="D418" i="1"/>
  <c r="B418" i="1"/>
  <c r="B417" i="1"/>
  <c r="D415" i="1"/>
  <c r="B415" i="1"/>
  <c r="B414" i="1"/>
  <c r="C3" i="8"/>
  <c r="A3" i="8"/>
  <c r="C149" i="8"/>
  <c r="C148" i="8"/>
  <c r="C144" i="8"/>
  <c r="C138" i="8"/>
  <c r="C137" i="8"/>
  <c r="C136" i="8"/>
  <c r="C135" i="8"/>
  <c r="C134" i="8"/>
  <c r="C133" i="8"/>
  <c r="C132" i="8"/>
  <c r="C131" i="8"/>
  <c r="C130" i="8"/>
  <c r="C129" i="8"/>
  <c r="C124" i="8"/>
  <c r="C123" i="8"/>
  <c r="C119" i="8"/>
  <c r="C118" i="8"/>
  <c r="C117" i="8"/>
  <c r="C116" i="8"/>
  <c r="C111" i="8"/>
  <c r="C110" i="8"/>
  <c r="C107" i="8"/>
  <c r="A107" i="8"/>
  <c r="C88" i="8"/>
  <c r="C83" i="8"/>
  <c r="C82" i="8"/>
  <c r="C81" i="8"/>
  <c r="C80" i="8"/>
  <c r="C79" i="8"/>
  <c r="C78" i="8"/>
  <c r="C77" i="8"/>
  <c r="C73" i="8"/>
  <c r="C72" i="8"/>
  <c r="C71" i="8"/>
  <c r="C66" i="8"/>
  <c r="C65" i="8"/>
  <c r="C64" i="8"/>
  <c r="C63" i="8"/>
  <c r="C62" i="8"/>
  <c r="C61" i="8"/>
  <c r="C60" i="8"/>
  <c r="C59" i="8"/>
  <c r="C58" i="8"/>
  <c r="A55" i="8"/>
  <c r="C55" i="8"/>
  <c r="C49" i="8"/>
  <c r="C48" i="8"/>
  <c r="C47" i="8"/>
  <c r="C46" i="8"/>
  <c r="C45" i="8"/>
  <c r="C41" i="8"/>
  <c r="C39" i="8"/>
  <c r="C38" i="8"/>
  <c r="C34" i="8"/>
  <c r="C32" i="8"/>
  <c r="C31" i="8"/>
  <c r="C30" i="8"/>
  <c r="C29" i="8"/>
  <c r="C28" i="8"/>
  <c r="C27" i="8"/>
  <c r="C26" i="8"/>
  <c r="C25" i="8"/>
  <c r="C22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G31" i="3"/>
  <c r="B4" i="3"/>
  <c r="G37" i="3"/>
  <c r="G36" i="3"/>
  <c r="G34" i="3"/>
  <c r="G33" i="3"/>
  <c r="G32" i="3"/>
  <c r="G30" i="3"/>
  <c r="D40" i="3"/>
  <c r="D36" i="3"/>
  <c r="D35" i="3"/>
  <c r="D34" i="3"/>
  <c r="D33" i="3"/>
  <c r="D32" i="3"/>
  <c r="D31" i="3"/>
  <c r="D30" i="3"/>
  <c r="G26" i="3"/>
  <c r="G25" i="3"/>
  <c r="G24" i="3"/>
  <c r="G23" i="3"/>
  <c r="F26" i="3"/>
  <c r="F25" i="3"/>
  <c r="F24" i="3"/>
  <c r="F23" i="3"/>
  <c r="E18" i="3"/>
  <c r="E17" i="3"/>
  <c r="E16" i="3"/>
  <c r="C17" i="3"/>
  <c r="C16" i="3"/>
  <c r="A19" i="3"/>
  <c r="A17" i="3"/>
  <c r="A16" i="3"/>
  <c r="D11" i="3"/>
  <c r="D10" i="3"/>
  <c r="D9" i="3"/>
  <c r="D8" i="3"/>
  <c r="D7" i="3"/>
  <c r="D6" i="3"/>
  <c r="D5" i="3"/>
  <c r="F4" i="3"/>
  <c r="G3" i="4"/>
  <c r="C33" i="4"/>
  <c r="C32" i="4"/>
  <c r="G27" i="4"/>
  <c r="G26" i="4"/>
  <c r="G25" i="4"/>
  <c r="F27" i="4"/>
  <c r="F26" i="4"/>
  <c r="F25" i="4"/>
  <c r="E27" i="4"/>
  <c r="E26" i="4"/>
  <c r="E25" i="4"/>
  <c r="D28" i="4"/>
  <c r="D27" i="4"/>
  <c r="D26" i="4"/>
  <c r="D25" i="4"/>
  <c r="C27" i="4"/>
  <c r="C26" i="4"/>
  <c r="C25" i="4"/>
  <c r="B27" i="4"/>
  <c r="B26" i="4"/>
  <c r="B25" i="4"/>
  <c r="G18" i="4"/>
  <c r="G17" i="4"/>
  <c r="G16" i="4"/>
  <c r="F18" i="4"/>
  <c r="F17" i="4"/>
  <c r="F16" i="4"/>
  <c r="E19" i="4"/>
  <c r="E18" i="4"/>
  <c r="E17" i="4"/>
  <c r="E16" i="4"/>
  <c r="D18" i="4"/>
  <c r="D17" i="4"/>
  <c r="D16" i="4"/>
  <c r="C18" i="4"/>
  <c r="C17" i="4"/>
  <c r="C16" i="4"/>
  <c r="B19" i="4"/>
  <c r="B18" i="4"/>
  <c r="B17" i="4"/>
  <c r="B16" i="4"/>
  <c r="A2" i="4"/>
  <c r="G8" i="4"/>
  <c r="G7" i="4"/>
  <c r="F8" i="4"/>
  <c r="F7" i="4"/>
  <c r="E10" i="4"/>
  <c r="E9" i="4"/>
  <c r="E8" i="4"/>
  <c r="E7" i="4"/>
  <c r="D9" i="4"/>
  <c r="D8" i="4"/>
  <c r="D7" i="4"/>
  <c r="C9" i="4"/>
  <c r="C8" i="4"/>
  <c r="C7" i="4"/>
  <c r="B9" i="4"/>
  <c r="B8" i="4"/>
  <c r="B7" i="4"/>
  <c r="C3" i="5"/>
  <c r="A3" i="5"/>
  <c r="C39" i="5"/>
  <c r="C38" i="5"/>
  <c r="C33" i="5"/>
  <c r="C32" i="5"/>
  <c r="C31" i="5"/>
  <c r="C26" i="5"/>
  <c r="C25" i="5"/>
  <c r="C19" i="5"/>
  <c r="C18" i="5"/>
  <c r="C13" i="5"/>
  <c r="C12" i="5"/>
  <c r="C11" i="5"/>
  <c r="C10" i="5"/>
  <c r="C8" i="5"/>
  <c r="C7" i="5"/>
  <c r="C6" i="5"/>
  <c r="F31" i="6"/>
  <c r="E31" i="6"/>
  <c r="D31" i="6"/>
  <c r="E30" i="6"/>
  <c r="D30" i="6"/>
  <c r="E29" i="6"/>
  <c r="D29" i="6"/>
  <c r="E28" i="6"/>
  <c r="D28" i="6"/>
  <c r="E27" i="6"/>
  <c r="D27" i="6"/>
  <c r="E26" i="6"/>
  <c r="D26" i="6"/>
  <c r="E25" i="6"/>
  <c r="D25" i="6"/>
  <c r="E24" i="6"/>
  <c r="D24" i="6"/>
  <c r="E16" i="6"/>
  <c r="E15" i="6"/>
  <c r="D15" i="6"/>
  <c r="E14" i="6"/>
  <c r="D14" i="6"/>
  <c r="E13" i="6"/>
  <c r="D13" i="6"/>
  <c r="E12" i="6"/>
  <c r="E11" i="6"/>
  <c r="D11" i="6"/>
  <c r="E10" i="6"/>
  <c r="D10" i="6"/>
  <c r="F9" i="6"/>
  <c r="E9" i="6"/>
  <c r="D9" i="6"/>
  <c r="E8" i="6"/>
  <c r="D8" i="6"/>
  <c r="E7" i="6"/>
  <c r="D7" i="6"/>
  <c r="C31" i="6"/>
  <c r="C30" i="6"/>
  <c r="C29" i="6"/>
  <c r="C27" i="6"/>
  <c r="C26" i="6"/>
  <c r="C25" i="6"/>
  <c r="C24" i="6"/>
  <c r="C15" i="6"/>
  <c r="C14" i="6"/>
  <c r="C13" i="6"/>
  <c r="C11" i="6"/>
  <c r="C10" i="6"/>
  <c r="C9" i="6"/>
  <c r="C8" i="6"/>
  <c r="C7" i="6"/>
  <c r="F3" i="6"/>
  <c r="A3" i="6"/>
  <c r="D16" i="7"/>
  <c r="D2" i="7"/>
  <c r="A2" i="7"/>
  <c r="D26" i="7"/>
  <c r="D24" i="7"/>
  <c r="D19" i="7"/>
  <c r="D18" i="7"/>
  <c r="D12" i="7"/>
  <c r="D11" i="7"/>
  <c r="D10" i="7"/>
  <c r="D9" i="7"/>
  <c r="D8" i="7"/>
  <c r="D7" i="7"/>
  <c r="B28" i="2"/>
  <c r="E21" i="2"/>
  <c r="E18" i="2"/>
  <c r="E17" i="2"/>
  <c r="I363" i="9"/>
  <c r="AB48" i="1"/>
  <c r="AB62" i="1" s="1"/>
  <c r="X48" i="1"/>
  <c r="X62" i="1" s="1"/>
  <c r="T48" i="1"/>
  <c r="T62" i="1" s="1"/>
  <c r="F76" i="9" s="1"/>
  <c r="P48" i="1"/>
  <c r="P62" i="1" s="1"/>
  <c r="L48" i="1"/>
  <c r="L62" i="1" s="1"/>
  <c r="H48" i="1"/>
  <c r="H62" i="1" s="1"/>
  <c r="D48" i="1"/>
  <c r="D62" i="1" s="1"/>
  <c r="D436" i="1"/>
  <c r="C34" i="5"/>
  <c r="C469" i="1"/>
  <c r="F8" i="6"/>
  <c r="C464" i="1"/>
  <c r="G122" i="9"/>
  <c r="I26" i="9"/>
  <c r="C218" i="9"/>
  <c r="D366" i="9"/>
  <c r="CE64" i="1"/>
  <c r="F612" i="1" s="1"/>
  <c r="D368" i="9"/>
  <c r="C276" i="9"/>
  <c r="CE70" i="1"/>
  <c r="C458" i="1" s="1"/>
  <c r="CE76" i="1"/>
  <c r="I380" i="9" s="1"/>
  <c r="CE77" i="1"/>
  <c r="I381" i="9" s="1"/>
  <c r="I29" i="9"/>
  <c r="C95" i="9"/>
  <c r="CE79" i="1"/>
  <c r="J612" i="1" s="1"/>
  <c r="E142" i="1"/>
  <c r="G9" i="4"/>
  <c r="F9" i="4"/>
  <c r="E138" i="1"/>
  <c r="C414" i="1" s="1"/>
  <c r="C204" i="1"/>
  <c r="D16" i="6" s="1"/>
  <c r="E195" i="1"/>
  <c r="C28" i="6"/>
  <c r="B217" i="1"/>
  <c r="C32" i="6" s="1"/>
  <c r="C140" i="8"/>
  <c r="D283" i="1"/>
  <c r="C42" i="8" s="1"/>
  <c r="C40" i="8"/>
  <c r="E515" i="1"/>
  <c r="H73" i="9"/>
  <c r="E105" i="9"/>
  <c r="E519" i="1"/>
  <c r="E528" i="1"/>
  <c r="G137" i="9"/>
  <c r="C9" i="5"/>
  <c r="D173" i="1"/>
  <c r="C14" i="5" s="1"/>
  <c r="F24" i="6"/>
  <c r="BZ48" i="1"/>
  <c r="BZ62" i="1" s="1"/>
  <c r="G48" i="1"/>
  <c r="G62" i="1" s="1"/>
  <c r="G12" i="9" s="1"/>
  <c r="AC48" i="1"/>
  <c r="AC62" i="1" s="1"/>
  <c r="H108" i="9" s="1"/>
  <c r="AU48" i="1"/>
  <c r="AU62" i="1" s="1"/>
  <c r="BS48" i="1"/>
  <c r="BS62" i="1" s="1"/>
  <c r="M48" i="1"/>
  <c r="M62" i="1" s="1"/>
  <c r="AE48" i="1"/>
  <c r="AE62" i="1" s="1"/>
  <c r="BC48" i="1"/>
  <c r="BC62" i="1" s="1"/>
  <c r="O48" i="1"/>
  <c r="O62" i="1" s="1"/>
  <c r="AM48" i="1"/>
  <c r="AM62" i="1" s="1"/>
  <c r="BI48" i="1"/>
  <c r="BI62" i="1" s="1"/>
  <c r="E268" i="9" s="1"/>
  <c r="C427" i="1"/>
  <c r="CD71" i="1"/>
  <c r="E373" i="9" s="1"/>
  <c r="BQ48" i="1"/>
  <c r="BQ62" i="1" s="1"/>
  <c r="F300" i="9" s="1"/>
  <c r="BA48" i="1"/>
  <c r="BA62" i="1" s="1"/>
  <c r="AK48" i="1"/>
  <c r="AK62" i="1" s="1"/>
  <c r="U48" i="1"/>
  <c r="U62" i="1" s="1"/>
  <c r="E48" i="1"/>
  <c r="E62" i="1" s="1"/>
  <c r="BU48" i="1"/>
  <c r="BU62" i="1" s="1"/>
  <c r="C332" i="9" s="1"/>
  <c r="BM48" i="1"/>
  <c r="BM62" i="1" s="1"/>
  <c r="I268" i="9" s="1"/>
  <c r="BE48" i="1"/>
  <c r="BE62" i="1" s="1"/>
  <c r="AW48" i="1"/>
  <c r="AW62" i="1" s="1"/>
  <c r="AO48" i="1"/>
  <c r="AO62" i="1" s="1"/>
  <c r="AG48" i="1"/>
  <c r="AG62" i="1" s="1"/>
  <c r="E140" i="9" s="1"/>
  <c r="Y48" i="1"/>
  <c r="Y62" i="1" s="1"/>
  <c r="Q48" i="1"/>
  <c r="Q62" i="1" s="1"/>
  <c r="I48" i="1"/>
  <c r="I62" i="1" s="1"/>
  <c r="CC48" i="1"/>
  <c r="CC62" i="1" s="1"/>
  <c r="BW48" i="1"/>
  <c r="BW62" i="1" s="1"/>
  <c r="BO48" i="1"/>
  <c r="BO62" i="1" s="1"/>
  <c r="D300" i="9" s="1"/>
  <c r="BG48" i="1"/>
  <c r="BG62" i="1" s="1"/>
  <c r="C268" i="9" s="1"/>
  <c r="AY48" i="1"/>
  <c r="AY62" i="1" s="1"/>
  <c r="AQ48" i="1"/>
  <c r="AQ62" i="1" s="1"/>
  <c r="AI48" i="1"/>
  <c r="AI62" i="1" s="1"/>
  <c r="AA48" i="1"/>
  <c r="AA62" i="1" s="1"/>
  <c r="F108" i="9" s="1"/>
  <c r="S48" i="1"/>
  <c r="S62" i="1" s="1"/>
  <c r="K48" i="1"/>
  <c r="K62" i="1" s="1"/>
  <c r="C615" i="1"/>
  <c r="C48" i="1"/>
  <c r="C62" i="1" s="1"/>
  <c r="CB48" i="1"/>
  <c r="CB62" i="1" s="1"/>
  <c r="C364" i="9" s="1"/>
  <c r="I612" i="1"/>
  <c r="E372" i="9"/>
  <c r="CA48" i="1"/>
  <c r="CA62" i="1" s="1"/>
  <c r="BY48" i="1"/>
  <c r="BY62" i="1" s="1"/>
  <c r="BX48" i="1"/>
  <c r="BX62" i="1" s="1"/>
  <c r="BV48" i="1"/>
  <c r="BV62" i="1" s="1"/>
  <c r="BT48" i="1"/>
  <c r="BT62" i="1" s="1"/>
  <c r="BR48" i="1"/>
  <c r="BR62" i="1" s="1"/>
  <c r="BP48" i="1"/>
  <c r="BP62" i="1" s="1"/>
  <c r="BN48" i="1"/>
  <c r="BN62" i="1" s="1"/>
  <c r="BL48" i="1"/>
  <c r="BL62" i="1" s="1"/>
  <c r="BJ48" i="1"/>
  <c r="BJ62" i="1" s="1"/>
  <c r="BH48" i="1"/>
  <c r="BH62" i="1" s="1"/>
  <c r="BF48" i="1"/>
  <c r="BF62" i="1" s="1"/>
  <c r="BD48" i="1"/>
  <c r="BD62" i="1" s="1"/>
  <c r="BB48" i="1"/>
  <c r="BB62" i="1" s="1"/>
  <c r="AZ48" i="1"/>
  <c r="AZ62" i="1" s="1"/>
  <c r="AX48" i="1"/>
  <c r="AX62" i="1" s="1"/>
  <c r="AV48" i="1"/>
  <c r="AV62" i="1" s="1"/>
  <c r="F204" i="9" s="1"/>
  <c r="AT48" i="1"/>
  <c r="AT62" i="1" s="1"/>
  <c r="AR48" i="1"/>
  <c r="AR62" i="1" s="1"/>
  <c r="AP48" i="1"/>
  <c r="AP62" i="1" s="1"/>
  <c r="AN48" i="1"/>
  <c r="AN62" i="1" s="1"/>
  <c r="AL48" i="1"/>
  <c r="AL62" i="1" s="1"/>
  <c r="AJ48" i="1"/>
  <c r="AJ62" i="1" s="1"/>
  <c r="AH48" i="1"/>
  <c r="AH62" i="1" s="1"/>
  <c r="AF48" i="1"/>
  <c r="AF62" i="1" s="1"/>
  <c r="AD48" i="1"/>
  <c r="AD62" i="1" s="1"/>
  <c r="Z48" i="1"/>
  <c r="Z62" i="1" s="1"/>
  <c r="V48" i="1"/>
  <c r="V62" i="1" s="1"/>
  <c r="R48" i="1"/>
  <c r="R62" i="1" s="1"/>
  <c r="N48" i="1"/>
  <c r="N62" i="1" s="1"/>
  <c r="J48" i="1"/>
  <c r="J62" i="1" s="1"/>
  <c r="F48" i="1"/>
  <c r="F62" i="1" s="1"/>
  <c r="C575" i="1"/>
  <c r="B10" i="4"/>
  <c r="G10" i="4"/>
  <c r="F10" i="4"/>
  <c r="E76" i="9"/>
  <c r="C472" i="1" l="1"/>
  <c r="G19" i="4"/>
  <c r="D463" i="1"/>
  <c r="E28" i="4"/>
  <c r="G28" i="4"/>
  <c r="C432" i="1"/>
  <c r="D13" i="7"/>
  <c r="D612" i="1"/>
  <c r="F19" i="4"/>
  <c r="C10" i="4"/>
  <c r="G612" i="1"/>
  <c r="CF77" i="1"/>
  <c r="I372" i="9"/>
  <c r="C440" i="1"/>
  <c r="D435" i="1"/>
  <c r="C434" i="1"/>
  <c r="W48" i="1"/>
  <c r="W62" i="1" s="1"/>
  <c r="I76" i="9" s="1"/>
  <c r="C429" i="1"/>
  <c r="I362" i="9"/>
  <c r="I366" i="9"/>
  <c r="C430" i="1"/>
  <c r="I332" i="9"/>
  <c r="D140" i="9"/>
  <c r="AS48" i="1"/>
  <c r="AS62" i="1" s="1"/>
  <c r="H12" i="9"/>
  <c r="I140" i="9"/>
  <c r="E44" i="9"/>
  <c r="I300" i="9"/>
  <c r="D268" i="9"/>
  <c r="G76" i="9"/>
  <c r="C140" i="9"/>
  <c r="C44" i="9"/>
  <c r="H140" i="9"/>
  <c r="D76" i="9"/>
  <c r="C236" i="9"/>
  <c r="E300" i="9"/>
  <c r="I12" i="9"/>
  <c r="D44" i="9"/>
  <c r="D32" i="6"/>
  <c r="D437" i="1"/>
  <c r="C388" i="1"/>
  <c r="F15" i="6"/>
  <c r="D428" i="1"/>
  <c r="D5" i="7"/>
  <c r="T814" i="10"/>
  <c r="R814" i="10"/>
  <c r="I172" i="9"/>
  <c r="F332" i="9"/>
  <c r="E108" i="9"/>
  <c r="E172" i="9"/>
  <c r="G236" i="9"/>
  <c r="H268" i="9"/>
  <c r="F172" i="9"/>
  <c r="H332" i="9"/>
  <c r="B540" i="1"/>
  <c r="C711" i="10"/>
  <c r="B572" i="1"/>
  <c r="C571" i="10"/>
  <c r="C12" i="9"/>
  <c r="F236" i="9"/>
  <c r="E734" i="10"/>
  <c r="E738" i="10"/>
  <c r="E742" i="10"/>
  <c r="B548" i="1"/>
  <c r="C632" i="10"/>
  <c r="C76" i="9"/>
  <c r="D172" i="9"/>
  <c r="I44" i="9"/>
  <c r="G108" i="9"/>
  <c r="B476" i="1"/>
  <c r="D277" i="1"/>
  <c r="C35" i="8" s="1"/>
  <c r="B465" i="1"/>
  <c r="C112" i="8"/>
  <c r="B498" i="1"/>
  <c r="E735" i="10"/>
  <c r="B524" i="1"/>
  <c r="C523" i="10"/>
  <c r="G523" i="10" s="1"/>
  <c r="B556" i="1"/>
  <c r="C555" i="10"/>
  <c r="H236" i="9"/>
  <c r="D236" i="9"/>
  <c r="E736" i="10"/>
  <c r="E748" i="10"/>
  <c r="B532" i="1"/>
  <c r="C531" i="10"/>
  <c r="G531" i="10" s="1"/>
  <c r="B564" i="1"/>
  <c r="C563" i="10"/>
  <c r="CF76" i="1"/>
  <c r="AY52" i="1" s="1"/>
  <c r="AY67" i="1" s="1"/>
  <c r="AY71" i="1" s="1"/>
  <c r="H300" i="9"/>
  <c r="F90" i="9"/>
  <c r="E58" i="9"/>
  <c r="I122" i="9"/>
  <c r="C430" i="10"/>
  <c r="B475" i="10"/>
  <c r="C514" i="10"/>
  <c r="B515" i="1"/>
  <c r="C516" i="10"/>
  <c r="B517" i="1"/>
  <c r="C480" i="10"/>
  <c r="I90" i="9"/>
  <c r="G611" i="10"/>
  <c r="B440" i="10"/>
  <c r="C814" i="10"/>
  <c r="M814" i="10"/>
  <c r="G814" i="10"/>
  <c r="L814" i="10"/>
  <c r="Q814" i="10"/>
  <c r="D814" i="10"/>
  <c r="I814" i="10"/>
  <c r="O814" i="10"/>
  <c r="S814" i="10"/>
  <c r="F140" i="9"/>
  <c r="D12" i="9"/>
  <c r="I108" i="9"/>
  <c r="D204" i="9"/>
  <c r="F268" i="9"/>
  <c r="G332" i="9"/>
  <c r="C300" i="9"/>
  <c r="H76" i="9"/>
  <c r="G172" i="9"/>
  <c r="I236" i="9"/>
  <c r="D332" i="9"/>
  <c r="H204" i="9"/>
  <c r="G44" i="9"/>
  <c r="C172" i="9"/>
  <c r="E236" i="9"/>
  <c r="G300" i="9"/>
  <c r="F44" i="9"/>
  <c r="H44" i="9"/>
  <c r="B446" i="1"/>
  <c r="D242" i="1"/>
  <c r="B542" i="1"/>
  <c r="E779" i="10"/>
  <c r="B558" i="1"/>
  <c r="E795" i="10"/>
  <c r="F12" i="9"/>
  <c r="G140" i="9"/>
  <c r="E332" i="9"/>
  <c r="E12" i="9"/>
  <c r="C418" i="1"/>
  <c r="D438" i="1"/>
  <c r="C108" i="9"/>
  <c r="F14" i="6"/>
  <c r="C471" i="1"/>
  <c r="F10" i="6"/>
  <c r="D26" i="9"/>
  <c r="CE75" i="1"/>
  <c r="J809" i="10"/>
  <c r="J740" i="10"/>
  <c r="J739" i="10"/>
  <c r="J808" i="10"/>
  <c r="J776" i="10"/>
  <c r="P815" i="10"/>
  <c r="J804" i="10"/>
  <c r="J772" i="10"/>
  <c r="J806" i="10"/>
  <c r="J774" i="10"/>
  <c r="J758" i="10"/>
  <c r="D611" i="10"/>
  <c r="G204" i="9"/>
  <c r="D108" i="9"/>
  <c r="E204" i="9"/>
  <c r="F7" i="6"/>
  <c r="C468" i="1"/>
  <c r="I383" i="9"/>
  <c r="D22" i="7"/>
  <c r="C40" i="5"/>
  <c r="K611" i="10"/>
  <c r="C464" i="10"/>
  <c r="N815" i="10"/>
  <c r="C420" i="1"/>
  <c r="B28" i="4"/>
  <c r="F186" i="9"/>
  <c r="B526" i="1"/>
  <c r="E763" i="10"/>
  <c r="I204" i="9"/>
  <c r="H172" i="9"/>
  <c r="I376" i="9"/>
  <c r="C463" i="1"/>
  <c r="D58" i="9"/>
  <c r="G26" i="9"/>
  <c r="E217" i="1"/>
  <c r="I384" i="9"/>
  <c r="L612" i="1"/>
  <c r="F218" i="9"/>
  <c r="D90" i="9"/>
  <c r="B518" i="1"/>
  <c r="E755" i="10"/>
  <c r="B522" i="1"/>
  <c r="E759" i="10"/>
  <c r="E775" i="10"/>
  <c r="B538" i="1"/>
  <c r="B554" i="1"/>
  <c r="E791" i="10"/>
  <c r="E807" i="10"/>
  <c r="B570" i="1"/>
  <c r="D364" i="9"/>
  <c r="D464" i="1"/>
  <c r="D465" i="1" s="1"/>
  <c r="H154" i="9"/>
  <c r="I367" i="9"/>
  <c r="B496" i="1"/>
  <c r="E733" i="10"/>
  <c r="D373" i="1"/>
  <c r="D434" i="1"/>
  <c r="C58" i="9"/>
  <c r="C468" i="10"/>
  <c r="C475" i="10"/>
  <c r="C440" i="10"/>
  <c r="L815" i="10"/>
  <c r="B510" i="1"/>
  <c r="E747" i="10"/>
  <c r="B502" i="1"/>
  <c r="E739" i="10"/>
  <c r="B504" i="1"/>
  <c r="E741" i="10"/>
  <c r="B512" i="1"/>
  <c r="E749" i="10"/>
  <c r="N814" i="10"/>
  <c r="D435" i="10"/>
  <c r="D437" i="10"/>
  <c r="C669" i="10"/>
  <c r="C497" i="10"/>
  <c r="B506" i="1"/>
  <c r="E743" i="10"/>
  <c r="B514" i="1"/>
  <c r="E751" i="10"/>
  <c r="B534" i="1"/>
  <c r="E771" i="10"/>
  <c r="C549" i="10"/>
  <c r="C613" i="10"/>
  <c r="B566" i="1"/>
  <c r="E803" i="10"/>
  <c r="B500" i="1"/>
  <c r="E737" i="10"/>
  <c r="B508" i="1"/>
  <c r="E745" i="10"/>
  <c r="C515" i="10"/>
  <c r="C687" i="10"/>
  <c r="B530" i="1"/>
  <c r="E767" i="10"/>
  <c r="B546" i="1"/>
  <c r="E783" i="10"/>
  <c r="B562" i="1"/>
  <c r="E799" i="10"/>
  <c r="C428" i="10"/>
  <c r="C447" i="10"/>
  <c r="B503" i="1"/>
  <c r="E740" i="10"/>
  <c r="B507" i="1"/>
  <c r="E744" i="10"/>
  <c r="C519" i="10"/>
  <c r="C695" i="10"/>
  <c r="C699" i="10"/>
  <c r="C703" i="10"/>
  <c r="C707" i="10"/>
  <c r="C539" i="10"/>
  <c r="G539" i="10" s="1"/>
  <c r="C543" i="10"/>
  <c r="C547" i="10"/>
  <c r="C617" i="10"/>
  <c r="C634" i="10"/>
  <c r="C559" i="10"/>
  <c r="C638" i="10"/>
  <c r="C642" i="10"/>
  <c r="C646" i="10"/>
  <c r="C481" i="10"/>
  <c r="B509" i="1"/>
  <c r="E746" i="10"/>
  <c r="B513" i="1"/>
  <c r="E750" i="10"/>
  <c r="B447" i="10"/>
  <c r="BQ52" i="1" l="1"/>
  <c r="BQ67" i="1" s="1"/>
  <c r="BQ71" i="1" s="1"/>
  <c r="C562" i="1" s="1"/>
  <c r="BY52" i="1"/>
  <c r="BY67" i="1" s="1"/>
  <c r="BY71" i="1" s="1"/>
  <c r="C570" i="1" s="1"/>
  <c r="BR52" i="1"/>
  <c r="BR67" i="1" s="1"/>
  <c r="BR71" i="1" s="1"/>
  <c r="G309" i="9" s="1"/>
  <c r="AK52" i="1"/>
  <c r="AK67" i="1" s="1"/>
  <c r="AK71" i="1" s="1"/>
  <c r="C530" i="1" s="1"/>
  <c r="G530" i="1" s="1"/>
  <c r="G52" i="1"/>
  <c r="G67" i="1" s="1"/>
  <c r="G71" i="1" s="1"/>
  <c r="C672" i="1" s="1"/>
  <c r="T52" i="1"/>
  <c r="T67" i="1" s="1"/>
  <c r="T71" i="1" s="1"/>
  <c r="F85" i="9" s="1"/>
  <c r="BM52" i="1"/>
  <c r="BM67" i="1" s="1"/>
  <c r="BM71" i="1" s="1"/>
  <c r="C638" i="1" s="1"/>
  <c r="AX52" i="1"/>
  <c r="AX67" i="1" s="1"/>
  <c r="AX71" i="1" s="1"/>
  <c r="C616" i="1" s="1"/>
  <c r="D52" i="1"/>
  <c r="D67" i="1" s="1"/>
  <c r="D71" i="1" s="1"/>
  <c r="C497" i="1" s="1"/>
  <c r="G497" i="1" s="1"/>
  <c r="M52" i="1"/>
  <c r="M67" i="1" s="1"/>
  <c r="M71" i="1" s="1"/>
  <c r="C678" i="1" s="1"/>
  <c r="BN52" i="1"/>
  <c r="BN67" i="1" s="1"/>
  <c r="BN71" i="1" s="1"/>
  <c r="C619" i="1" s="1"/>
  <c r="CE62" i="1"/>
  <c r="C428" i="1" s="1"/>
  <c r="CE48" i="1"/>
  <c r="C204" i="9"/>
  <c r="F52" i="1"/>
  <c r="F67" i="1" s="1"/>
  <c r="F71" i="1" s="1"/>
  <c r="F21" i="9" s="1"/>
  <c r="BF52" i="1"/>
  <c r="BF67" i="1" s="1"/>
  <c r="BF71" i="1" s="1"/>
  <c r="I245" i="9" s="1"/>
  <c r="BE52" i="1"/>
  <c r="BE67" i="1" s="1"/>
  <c r="BE71" i="1" s="1"/>
  <c r="AW52" i="1"/>
  <c r="AW67" i="1" s="1"/>
  <c r="AW71" i="1" s="1"/>
  <c r="AM52" i="1"/>
  <c r="AM67" i="1" s="1"/>
  <c r="AM71" i="1" s="1"/>
  <c r="C704" i="1" s="1"/>
  <c r="AA52" i="1"/>
  <c r="AA67" i="1" s="1"/>
  <c r="AA71" i="1" s="1"/>
  <c r="F117" i="9" s="1"/>
  <c r="CB52" i="1"/>
  <c r="CB67" i="1" s="1"/>
  <c r="CB71" i="1" s="1"/>
  <c r="C622" i="1" s="1"/>
  <c r="BD52" i="1"/>
  <c r="BD67" i="1" s="1"/>
  <c r="BD71" i="1" s="1"/>
  <c r="G245" i="9" s="1"/>
  <c r="BV52" i="1"/>
  <c r="BV67" i="1" s="1"/>
  <c r="BV71" i="1" s="1"/>
  <c r="C567" i="1" s="1"/>
  <c r="C623" i="1"/>
  <c r="F309" i="9"/>
  <c r="I149" i="9"/>
  <c r="C139" i="8"/>
  <c r="B438" i="1"/>
  <c r="B440" i="1" s="1"/>
  <c r="D390" i="1"/>
  <c r="D391" i="1" s="1"/>
  <c r="B437" i="1"/>
  <c r="D292" i="1"/>
  <c r="D341" i="1" s="1"/>
  <c r="C481" i="1" s="1"/>
  <c r="H523" i="10"/>
  <c r="J790" i="10"/>
  <c r="J747" i="10"/>
  <c r="F515" i="1"/>
  <c r="H515" i="1"/>
  <c r="BC52" i="1"/>
  <c r="BC67" i="1" s="1"/>
  <c r="BC71" i="1" s="1"/>
  <c r="AV52" i="1"/>
  <c r="AV67" i="1" s="1"/>
  <c r="AV71" i="1" s="1"/>
  <c r="AP52" i="1"/>
  <c r="AP67" i="1" s="1"/>
  <c r="AP71" i="1" s="1"/>
  <c r="C707" i="1" s="1"/>
  <c r="AB52" i="1"/>
  <c r="AB67" i="1" s="1"/>
  <c r="AB71" i="1" s="1"/>
  <c r="AL52" i="1"/>
  <c r="AL67" i="1" s="1"/>
  <c r="AL71" i="1" s="1"/>
  <c r="C181" i="9" s="1"/>
  <c r="V52" i="1"/>
  <c r="V67" i="1" s="1"/>
  <c r="V71" i="1" s="1"/>
  <c r="C515" i="1" s="1"/>
  <c r="G515" i="1" s="1"/>
  <c r="AU52" i="1"/>
  <c r="AU67" i="1" s="1"/>
  <c r="AU71" i="1" s="1"/>
  <c r="BS52" i="1"/>
  <c r="BS67" i="1" s="1"/>
  <c r="BS71" i="1" s="1"/>
  <c r="S52" i="1"/>
  <c r="S67" i="1" s="1"/>
  <c r="S71" i="1" s="1"/>
  <c r="C512" i="1" s="1"/>
  <c r="G512" i="1" s="1"/>
  <c r="CA52" i="1"/>
  <c r="CA67" i="1" s="1"/>
  <c r="CA71" i="1" s="1"/>
  <c r="C647" i="1" s="1"/>
  <c r="AI52" i="1"/>
  <c r="AI67" i="1" s="1"/>
  <c r="AI71" i="1" s="1"/>
  <c r="G149" i="9" s="1"/>
  <c r="BK52" i="1"/>
  <c r="BK67" i="1" s="1"/>
  <c r="BK71" i="1" s="1"/>
  <c r="U52" i="1"/>
  <c r="U67" i="1" s="1"/>
  <c r="U71" i="1" s="1"/>
  <c r="C514" i="1" s="1"/>
  <c r="G514" i="1" s="1"/>
  <c r="AG52" i="1"/>
  <c r="AG67" i="1" s="1"/>
  <c r="AG71" i="1" s="1"/>
  <c r="C698" i="1" s="1"/>
  <c r="I52" i="1"/>
  <c r="I67" i="1" s="1"/>
  <c r="I71" i="1" s="1"/>
  <c r="AH52" i="1"/>
  <c r="AH67" i="1" s="1"/>
  <c r="AH71" i="1" s="1"/>
  <c r="C527" i="1" s="1"/>
  <c r="G527" i="1" s="1"/>
  <c r="Y52" i="1"/>
  <c r="Y67" i="1" s="1"/>
  <c r="Y71" i="1" s="1"/>
  <c r="BA52" i="1"/>
  <c r="BA67" i="1" s="1"/>
  <c r="BA71" i="1" s="1"/>
  <c r="C630" i="1" s="1"/>
  <c r="AF52" i="1"/>
  <c r="AF67" i="1" s="1"/>
  <c r="AF71" i="1" s="1"/>
  <c r="C697" i="1" s="1"/>
  <c r="X52" i="1"/>
  <c r="X67" i="1" s="1"/>
  <c r="X71" i="1" s="1"/>
  <c r="Z52" i="1"/>
  <c r="Z67" i="1" s="1"/>
  <c r="Z71" i="1" s="1"/>
  <c r="E117" i="9" s="1"/>
  <c r="BT52" i="1"/>
  <c r="BT67" i="1" s="1"/>
  <c r="BT71" i="1" s="1"/>
  <c r="I309" i="9" s="1"/>
  <c r="BX52" i="1"/>
  <c r="BX67" i="1" s="1"/>
  <c r="BX71" i="1" s="1"/>
  <c r="F341" i="9" s="1"/>
  <c r="AC52" i="1"/>
  <c r="AC67" i="1" s="1"/>
  <c r="AC71" i="1" s="1"/>
  <c r="C522" i="1" s="1"/>
  <c r="G522" i="1" s="1"/>
  <c r="BI52" i="1"/>
  <c r="BI67" i="1" s="1"/>
  <c r="BI71" i="1" s="1"/>
  <c r="L52" i="1"/>
  <c r="L67" i="1" s="1"/>
  <c r="L71" i="1" s="1"/>
  <c r="C505" i="1" s="1"/>
  <c r="G505" i="1" s="1"/>
  <c r="AJ52" i="1"/>
  <c r="AJ67" i="1" s="1"/>
  <c r="AJ71" i="1" s="1"/>
  <c r="J52" i="1"/>
  <c r="J67" i="1" s="1"/>
  <c r="J71" i="1" s="1"/>
  <c r="C675" i="1" s="1"/>
  <c r="H52" i="1"/>
  <c r="H67" i="1" s="1"/>
  <c r="H71" i="1" s="1"/>
  <c r="C501" i="1" s="1"/>
  <c r="G501" i="1" s="1"/>
  <c r="K52" i="1"/>
  <c r="K67" i="1" s="1"/>
  <c r="K71" i="1" s="1"/>
  <c r="CC52" i="1"/>
  <c r="CC67" i="1" s="1"/>
  <c r="CC71" i="1" s="1"/>
  <c r="D373" i="9" s="1"/>
  <c r="W52" i="1"/>
  <c r="W67" i="1" s="1"/>
  <c r="W71" i="1" s="1"/>
  <c r="I85" i="9" s="1"/>
  <c r="AE52" i="1"/>
  <c r="AE67" i="1" s="1"/>
  <c r="AE71" i="1" s="1"/>
  <c r="BB52" i="1"/>
  <c r="BB67" i="1" s="1"/>
  <c r="BB71" i="1" s="1"/>
  <c r="C632" i="1" s="1"/>
  <c r="BO52" i="1"/>
  <c r="BO67" i="1" s="1"/>
  <c r="BO71" i="1" s="1"/>
  <c r="D309" i="9" s="1"/>
  <c r="AR52" i="1"/>
  <c r="AR67" i="1" s="1"/>
  <c r="AR71" i="1" s="1"/>
  <c r="C709" i="1" s="1"/>
  <c r="AS52" i="1"/>
  <c r="AS67" i="1" s="1"/>
  <c r="AS71" i="1" s="1"/>
  <c r="BW52" i="1"/>
  <c r="BW67" i="1" s="1"/>
  <c r="BW71" i="1" s="1"/>
  <c r="C643" i="1" s="1"/>
  <c r="BU52" i="1"/>
  <c r="BU67" i="1" s="1"/>
  <c r="BU71" i="1" s="1"/>
  <c r="C341" i="9" s="1"/>
  <c r="AN52" i="1"/>
  <c r="AN67" i="1" s="1"/>
  <c r="AN71" i="1" s="1"/>
  <c r="C705" i="1" s="1"/>
  <c r="BZ52" i="1"/>
  <c r="BZ67" i="1" s="1"/>
  <c r="BZ71" i="1" s="1"/>
  <c r="C646" i="1" s="1"/>
  <c r="AO52" i="1"/>
  <c r="AO67" i="1" s="1"/>
  <c r="AO71" i="1" s="1"/>
  <c r="F181" i="9" s="1"/>
  <c r="O52" i="1"/>
  <c r="O67" i="1" s="1"/>
  <c r="O71" i="1" s="1"/>
  <c r="C680" i="1" s="1"/>
  <c r="R52" i="1"/>
  <c r="R67" i="1" s="1"/>
  <c r="R71" i="1" s="1"/>
  <c r="D85" i="9" s="1"/>
  <c r="N52" i="1"/>
  <c r="N67" i="1" s="1"/>
  <c r="N71" i="1" s="1"/>
  <c r="G53" i="9" s="1"/>
  <c r="Q52" i="1"/>
  <c r="Q67" i="1" s="1"/>
  <c r="Q71" i="1" s="1"/>
  <c r="BH52" i="1"/>
  <c r="BH67" i="1" s="1"/>
  <c r="BH71" i="1" s="1"/>
  <c r="C636" i="1" s="1"/>
  <c r="C52" i="1"/>
  <c r="AZ52" i="1"/>
  <c r="AZ67" i="1" s="1"/>
  <c r="AZ71" i="1" s="1"/>
  <c r="C628" i="1" s="1"/>
  <c r="BL52" i="1"/>
  <c r="BL67" i="1" s="1"/>
  <c r="BL71" i="1" s="1"/>
  <c r="C637" i="1" s="1"/>
  <c r="P52" i="1"/>
  <c r="P67" i="1" s="1"/>
  <c r="P71" i="1" s="1"/>
  <c r="E52" i="1"/>
  <c r="E67" i="1" s="1"/>
  <c r="E71" i="1" s="1"/>
  <c r="E21" i="9" s="1"/>
  <c r="AT52" i="1"/>
  <c r="AT67" i="1" s="1"/>
  <c r="AT71" i="1" s="1"/>
  <c r="D213" i="9" s="1"/>
  <c r="BJ52" i="1"/>
  <c r="BJ67" i="1" s="1"/>
  <c r="BJ71" i="1" s="1"/>
  <c r="C617" i="1" s="1"/>
  <c r="BP52" i="1"/>
  <c r="BP67" i="1" s="1"/>
  <c r="BP71" i="1" s="1"/>
  <c r="AQ52" i="1"/>
  <c r="AQ67" i="1" s="1"/>
  <c r="AQ71" i="1" s="1"/>
  <c r="C536" i="1" s="1"/>
  <c r="G536" i="1" s="1"/>
  <c r="AD52" i="1"/>
  <c r="AD67" i="1" s="1"/>
  <c r="AD71" i="1" s="1"/>
  <c r="I117" i="9" s="1"/>
  <c r="BG52" i="1"/>
  <c r="BG67" i="1" s="1"/>
  <c r="BG71" i="1" s="1"/>
  <c r="C670" i="10"/>
  <c r="B499" i="1"/>
  <c r="C498" i="10"/>
  <c r="G498" i="10" s="1"/>
  <c r="J755" i="10"/>
  <c r="G514" i="10"/>
  <c r="H514" i="10"/>
  <c r="C500" i="10"/>
  <c r="B501" i="1"/>
  <c r="C672" i="10"/>
  <c r="H517" i="1"/>
  <c r="F517" i="1"/>
  <c r="C682" i="10"/>
  <c r="B511" i="1"/>
  <c r="C510" i="10"/>
  <c r="G516" i="10"/>
  <c r="H516" i="10"/>
  <c r="C676" i="10"/>
  <c r="B505" i="1"/>
  <c r="C504" i="10"/>
  <c r="G504" i="10" s="1"/>
  <c r="C496" i="10"/>
  <c r="G496" i="10" s="1"/>
  <c r="B497" i="1"/>
  <c r="C668" i="10"/>
  <c r="B521" i="1"/>
  <c r="E758" i="10"/>
  <c r="B537" i="1"/>
  <c r="E774" i="10"/>
  <c r="B561" i="1"/>
  <c r="E798" i="10"/>
  <c r="C508" i="10"/>
  <c r="C680" i="10"/>
  <c r="H543" i="10"/>
  <c r="G543" i="10"/>
  <c r="H519" i="10"/>
  <c r="G519" i="10"/>
  <c r="J779" i="10"/>
  <c r="J787" i="10"/>
  <c r="J803" i="10"/>
  <c r="J811" i="10"/>
  <c r="D27" i="7"/>
  <c r="B448" i="1"/>
  <c r="B531" i="1"/>
  <c r="E768" i="10"/>
  <c r="B539" i="1"/>
  <c r="E776" i="10"/>
  <c r="B547" i="1"/>
  <c r="E784" i="10"/>
  <c r="B555" i="1"/>
  <c r="E792" i="10"/>
  <c r="B563" i="1"/>
  <c r="E800" i="10"/>
  <c r="B571" i="1"/>
  <c r="E808" i="10"/>
  <c r="F544" i="1"/>
  <c r="H536" i="1"/>
  <c r="F536" i="1"/>
  <c r="F528" i="1"/>
  <c r="H528" i="1"/>
  <c r="F520" i="1"/>
  <c r="H520" i="1"/>
  <c r="C674" i="10"/>
  <c r="C502" i="10"/>
  <c r="G502" i="10" s="1"/>
  <c r="H515" i="10"/>
  <c r="G515" i="10"/>
  <c r="C499" i="10"/>
  <c r="G499" i="10" s="1"/>
  <c r="C671" i="10"/>
  <c r="D614" i="10"/>
  <c r="C705" i="10"/>
  <c r="C533" i="10"/>
  <c r="G533" i="10" s="1"/>
  <c r="C505" i="10"/>
  <c r="G505" i="10" s="1"/>
  <c r="C677" i="10"/>
  <c r="C495" i="10"/>
  <c r="C667" i="10"/>
  <c r="I209" i="9"/>
  <c r="C697" i="10"/>
  <c r="C525" i="10"/>
  <c r="J762" i="10"/>
  <c r="J778" i="10"/>
  <c r="J794" i="10"/>
  <c r="J810" i="10"/>
  <c r="J780" i="10"/>
  <c r="J784" i="10"/>
  <c r="J741" i="10"/>
  <c r="J749" i="10"/>
  <c r="J734" i="10"/>
  <c r="J742" i="10"/>
  <c r="J750" i="10"/>
  <c r="J757" i="10"/>
  <c r="J765" i="10"/>
  <c r="J773" i="10"/>
  <c r="J781" i="10"/>
  <c r="J789" i="10"/>
  <c r="J797" i="10"/>
  <c r="J805" i="10"/>
  <c r="I378" i="9"/>
  <c r="K612" i="1"/>
  <c r="C465" i="1"/>
  <c r="C637" i="10"/>
  <c r="C557" i="10"/>
  <c r="B529" i="1"/>
  <c r="E766" i="10"/>
  <c r="B553" i="1"/>
  <c r="E790" i="10"/>
  <c r="C545" i="10"/>
  <c r="C629" i="10"/>
  <c r="C565" i="10"/>
  <c r="C640" i="10"/>
  <c r="C511" i="10"/>
  <c r="C683" i="10"/>
  <c r="C126" i="8"/>
  <c r="C517" i="10"/>
  <c r="C689" i="10"/>
  <c r="F32" i="6"/>
  <c r="C478" i="1"/>
  <c r="C305" i="9"/>
  <c r="J748" i="10"/>
  <c r="J763" i="10"/>
  <c r="J795" i="10"/>
  <c r="B523" i="1"/>
  <c r="E760" i="10"/>
  <c r="B533" i="1"/>
  <c r="E770" i="10"/>
  <c r="B549" i="1"/>
  <c r="E786" i="10"/>
  <c r="B565" i="1"/>
  <c r="E802" i="10"/>
  <c r="B573" i="1"/>
  <c r="E810" i="10"/>
  <c r="C684" i="10"/>
  <c r="C512" i="10"/>
  <c r="C561" i="10"/>
  <c r="C622" i="10"/>
  <c r="C701" i="10"/>
  <c r="C529" i="10"/>
  <c r="G549" i="10"/>
  <c r="H549" i="10" s="1"/>
  <c r="F498" i="1"/>
  <c r="C675" i="10"/>
  <c r="C503" i="10"/>
  <c r="G503" i="10" s="1"/>
  <c r="C681" i="10"/>
  <c r="C509" i="10"/>
  <c r="C633" i="10"/>
  <c r="C553" i="10"/>
  <c r="C521" i="10"/>
  <c r="C693" i="10"/>
  <c r="G337" i="9"/>
  <c r="J766" i="10"/>
  <c r="J782" i="10"/>
  <c r="J798" i="10"/>
  <c r="J756" i="10"/>
  <c r="J788" i="10"/>
  <c r="J760" i="10"/>
  <c r="J792" i="10"/>
  <c r="J735" i="10"/>
  <c r="J743" i="10"/>
  <c r="J751" i="10"/>
  <c r="J736" i="10"/>
  <c r="J744" i="10"/>
  <c r="J752" i="10"/>
  <c r="J759" i="10"/>
  <c r="J767" i="10"/>
  <c r="J775" i="10"/>
  <c r="J783" i="10"/>
  <c r="J791" i="10"/>
  <c r="J799" i="10"/>
  <c r="J807" i="10"/>
  <c r="C563" i="1"/>
  <c r="C626" i="1"/>
  <c r="G341" i="9"/>
  <c r="B545" i="1"/>
  <c r="E782" i="10"/>
  <c r="B569" i="1"/>
  <c r="E806" i="10"/>
  <c r="F516" i="1"/>
  <c r="H516" i="1"/>
  <c r="C673" i="10"/>
  <c r="C501" i="10"/>
  <c r="G501" i="10" s="1"/>
  <c r="F305" i="9"/>
  <c r="J771" i="10"/>
  <c r="B525" i="1"/>
  <c r="E762" i="10"/>
  <c r="B541" i="1"/>
  <c r="E778" i="10"/>
  <c r="B557" i="1"/>
  <c r="E794" i="10"/>
  <c r="B519" i="1"/>
  <c r="E756" i="10"/>
  <c r="E814" i="10" s="1"/>
  <c r="B527" i="1"/>
  <c r="E764" i="10"/>
  <c r="B535" i="1"/>
  <c r="E772" i="10"/>
  <c r="B543" i="1"/>
  <c r="E780" i="10"/>
  <c r="B551" i="1"/>
  <c r="E788" i="10"/>
  <c r="B559" i="1"/>
  <c r="E796" i="10"/>
  <c r="B567" i="1"/>
  <c r="E804" i="10"/>
  <c r="B574" i="1"/>
  <c r="E811" i="10"/>
  <c r="F540" i="1"/>
  <c r="H540" i="1"/>
  <c r="F532" i="1"/>
  <c r="H532" i="1"/>
  <c r="F524" i="1"/>
  <c r="C506" i="10"/>
  <c r="G506" i="10" s="1"/>
  <c r="C678" i="10"/>
  <c r="C507" i="10"/>
  <c r="C679" i="10"/>
  <c r="F550" i="1"/>
  <c r="C513" i="10"/>
  <c r="C685" i="10"/>
  <c r="G497" i="10"/>
  <c r="H497" i="10" s="1"/>
  <c r="C427" i="10"/>
  <c r="E815" i="10"/>
  <c r="C715" i="10"/>
  <c r="C569" i="10"/>
  <c r="C644" i="10"/>
  <c r="C709" i="10"/>
  <c r="C537" i="10"/>
  <c r="G537" i="10" s="1"/>
  <c r="I213" i="9"/>
  <c r="C625" i="1"/>
  <c r="C544" i="1"/>
  <c r="G544" i="1" s="1"/>
  <c r="J770" i="10"/>
  <c r="J786" i="10"/>
  <c r="J802" i="10"/>
  <c r="J764" i="10"/>
  <c r="J796" i="10"/>
  <c r="J768" i="10"/>
  <c r="J800" i="10"/>
  <c r="J737" i="10"/>
  <c r="J745" i="10"/>
  <c r="J753" i="10"/>
  <c r="J738" i="10"/>
  <c r="J746" i="10"/>
  <c r="J754" i="10"/>
  <c r="J761" i="10"/>
  <c r="J769" i="10"/>
  <c r="J777" i="10"/>
  <c r="J785" i="10"/>
  <c r="J793" i="10"/>
  <c r="J801" i="10"/>
  <c r="C630" i="10"/>
  <c r="C541" i="10"/>
  <c r="C685" i="1" l="1"/>
  <c r="C513" i="1"/>
  <c r="G513" i="1" s="1"/>
  <c r="F81" i="9"/>
  <c r="I145" i="9"/>
  <c r="G305" i="9"/>
  <c r="G17" i="9"/>
  <c r="G21" i="9"/>
  <c r="D177" i="9"/>
  <c r="G209" i="9"/>
  <c r="C669" i="1"/>
  <c r="C500" i="1"/>
  <c r="G500" i="1" s="1"/>
  <c r="C702" i="1"/>
  <c r="C558" i="1"/>
  <c r="I273" i="9"/>
  <c r="F113" i="9"/>
  <c r="C645" i="1"/>
  <c r="D17" i="9"/>
  <c r="D21" i="9"/>
  <c r="H213" i="9"/>
  <c r="I277" i="9"/>
  <c r="C543" i="1"/>
  <c r="H209" i="9"/>
  <c r="F53" i="9"/>
  <c r="C309" i="9"/>
  <c r="C559" i="1"/>
  <c r="F17" i="9"/>
  <c r="C506" i="1"/>
  <c r="G506" i="1" s="1"/>
  <c r="F49" i="9"/>
  <c r="C523" i="1"/>
  <c r="G523" i="1" s="1"/>
  <c r="C695" i="1"/>
  <c r="I364" i="9"/>
  <c r="C551" i="1"/>
  <c r="C620" i="1"/>
  <c r="D337" i="9"/>
  <c r="C692" i="1"/>
  <c r="C670" i="1"/>
  <c r="D181" i="9"/>
  <c r="C573" i="1"/>
  <c r="C629" i="1"/>
  <c r="C498" i="1"/>
  <c r="G498" i="1" s="1"/>
  <c r="E245" i="9"/>
  <c r="D341" i="9"/>
  <c r="C642" i="1"/>
  <c r="C699" i="1"/>
  <c r="C694" i="1"/>
  <c r="C644" i="1"/>
  <c r="I341" i="9"/>
  <c r="C373" i="9"/>
  <c r="C516" i="1"/>
  <c r="G516" i="1" s="1"/>
  <c r="C532" i="1"/>
  <c r="G532" i="1" s="1"/>
  <c r="I181" i="9"/>
  <c r="C537" i="1"/>
  <c r="G537" i="1" s="1"/>
  <c r="H181" i="9"/>
  <c r="E181" i="9"/>
  <c r="F149" i="9"/>
  <c r="C508" i="1"/>
  <c r="G508" i="1" s="1"/>
  <c r="C688" i="1"/>
  <c r="C520" i="1"/>
  <c r="G520" i="1" s="1"/>
  <c r="C555" i="1"/>
  <c r="H117" i="9"/>
  <c r="C686" i="1"/>
  <c r="G181" i="9"/>
  <c r="C711" i="1"/>
  <c r="C708" i="1"/>
  <c r="C533" i="1"/>
  <c r="G533" i="1" s="1"/>
  <c r="C519" i="1"/>
  <c r="G519" i="1" s="1"/>
  <c r="C569" i="1"/>
  <c r="C511" i="1"/>
  <c r="G511" i="1" s="1"/>
  <c r="C627" i="1"/>
  <c r="C499" i="1"/>
  <c r="G499" i="1" s="1"/>
  <c r="E341" i="9"/>
  <c r="H85" i="9"/>
  <c r="C546" i="1"/>
  <c r="G546" i="1" s="1"/>
  <c r="F277" i="9"/>
  <c r="C568" i="1"/>
  <c r="C687" i="1"/>
  <c r="C574" i="1"/>
  <c r="D245" i="9"/>
  <c r="C535" i="1"/>
  <c r="G535" i="1" s="1"/>
  <c r="C566" i="1"/>
  <c r="C671" i="1"/>
  <c r="C571" i="1"/>
  <c r="H53" i="9"/>
  <c r="C557" i="1"/>
  <c r="C677" i="1"/>
  <c r="C369" i="9"/>
  <c r="C547" i="1"/>
  <c r="I241" i="9"/>
  <c r="C572" i="1"/>
  <c r="D277" i="9"/>
  <c r="C526" i="1"/>
  <c r="G526" i="1" s="1"/>
  <c r="C640" i="1"/>
  <c r="C503" i="1"/>
  <c r="G503" i="1" s="1"/>
  <c r="C684" i="1"/>
  <c r="E85" i="9"/>
  <c r="C710" i="1"/>
  <c r="C213" i="9"/>
  <c r="C538" i="1"/>
  <c r="G538" i="1" s="1"/>
  <c r="H245" i="9"/>
  <c r="C550" i="1"/>
  <c r="C614" i="1"/>
  <c r="C560" i="1"/>
  <c r="C117" i="9"/>
  <c r="C689" i="1"/>
  <c r="C517" i="1"/>
  <c r="G517" i="1" s="1"/>
  <c r="C635" i="1"/>
  <c r="G277" i="9"/>
  <c r="C556" i="1"/>
  <c r="C521" i="1"/>
  <c r="G521" i="1" s="1"/>
  <c r="C693" i="1"/>
  <c r="G117" i="9"/>
  <c r="C641" i="1"/>
  <c r="E149" i="9"/>
  <c r="C531" i="1"/>
  <c r="G531" i="1" s="1"/>
  <c r="C673" i="1"/>
  <c r="C691" i="1"/>
  <c r="C618" i="1"/>
  <c r="C552" i="1"/>
  <c r="C277" i="9"/>
  <c r="C713" i="1"/>
  <c r="F213" i="9"/>
  <c r="C541" i="1"/>
  <c r="C245" i="9"/>
  <c r="C525" i="1"/>
  <c r="G525" i="1" s="1"/>
  <c r="I53" i="9"/>
  <c r="C681" i="1"/>
  <c r="C509" i="1"/>
  <c r="G509" i="1" s="1"/>
  <c r="C524" i="1"/>
  <c r="C696" i="1"/>
  <c r="C149" i="9"/>
  <c r="E277" i="9"/>
  <c r="C634" i="1"/>
  <c r="C554" i="1"/>
  <c r="C518" i="1"/>
  <c r="G518" i="1" s="1"/>
  <c r="D117" i="9"/>
  <c r="C690" i="1"/>
  <c r="F245" i="9"/>
  <c r="C633" i="1"/>
  <c r="C548" i="1"/>
  <c r="G85" i="9"/>
  <c r="C545" i="1"/>
  <c r="G545" i="1" s="1"/>
  <c r="D149" i="9"/>
  <c r="C534" i="1"/>
  <c r="G534" i="1" s="1"/>
  <c r="C679" i="1"/>
  <c r="C703" i="1"/>
  <c r="H21" i="9"/>
  <c r="C507" i="1"/>
  <c r="G507" i="1" s="1"/>
  <c r="H241" i="9"/>
  <c r="C528" i="1"/>
  <c r="G528" i="1" s="1"/>
  <c r="H277" i="9"/>
  <c r="C565" i="1"/>
  <c r="H341" i="9"/>
  <c r="C639" i="1"/>
  <c r="H309" i="9"/>
  <c r="C564" i="1"/>
  <c r="C53" i="9"/>
  <c r="C553" i="1"/>
  <c r="C706" i="1"/>
  <c r="C529" i="1"/>
  <c r="G529" i="1" s="1"/>
  <c r="H149" i="9"/>
  <c r="C701" i="1"/>
  <c r="C549" i="1"/>
  <c r="C624" i="1"/>
  <c r="C700" i="1"/>
  <c r="G241" i="9"/>
  <c r="C539" i="1"/>
  <c r="G539" i="1" s="1"/>
  <c r="C561" i="1"/>
  <c r="C621" i="1"/>
  <c r="E309" i="9"/>
  <c r="I21" i="9"/>
  <c r="C502" i="1"/>
  <c r="G502" i="1" s="1"/>
  <c r="C674" i="1"/>
  <c r="C540" i="1"/>
  <c r="G540" i="1" s="1"/>
  <c r="E213" i="9"/>
  <c r="C712" i="1"/>
  <c r="C683" i="1"/>
  <c r="E53" i="9"/>
  <c r="C682" i="1"/>
  <c r="C85" i="9"/>
  <c r="C510" i="1"/>
  <c r="G510" i="1" s="1"/>
  <c r="D53" i="9"/>
  <c r="C504" i="1"/>
  <c r="G504" i="1" s="1"/>
  <c r="C676" i="1"/>
  <c r="G213" i="9"/>
  <c r="C542" i="1"/>
  <c r="C631" i="1"/>
  <c r="H544" i="1"/>
  <c r="C141" i="8"/>
  <c r="B441" i="1"/>
  <c r="C50" i="8"/>
  <c r="H497" i="1"/>
  <c r="F497" i="1"/>
  <c r="G510" i="10"/>
  <c r="H510" i="10" s="1"/>
  <c r="F501" i="1"/>
  <c r="H501" i="1"/>
  <c r="F499" i="1"/>
  <c r="H499" i="1"/>
  <c r="H177" i="9"/>
  <c r="E17" i="9"/>
  <c r="C67" i="1"/>
  <c r="C71" i="1" s="1"/>
  <c r="CE52" i="1"/>
  <c r="D81" i="9"/>
  <c r="E177" i="9"/>
  <c r="I177" i="9"/>
  <c r="I81" i="9"/>
  <c r="C49" i="9"/>
  <c r="H113" i="9"/>
  <c r="C113" i="9"/>
  <c r="F145" i="9"/>
  <c r="G273" i="9"/>
  <c r="H305" i="9"/>
  <c r="G113" i="9"/>
  <c r="F511" i="1"/>
  <c r="G500" i="10"/>
  <c r="H500" i="10"/>
  <c r="E305" i="9"/>
  <c r="I49" i="9"/>
  <c r="D273" i="9"/>
  <c r="H49" i="9"/>
  <c r="C337" i="9"/>
  <c r="D305" i="9"/>
  <c r="D369" i="9"/>
  <c r="H145" i="9"/>
  <c r="F337" i="9"/>
  <c r="D145" i="9"/>
  <c r="I17" i="9"/>
  <c r="G145" i="9"/>
  <c r="E209" i="9"/>
  <c r="G177" i="9"/>
  <c r="C273" i="9"/>
  <c r="F273" i="9"/>
  <c r="H273" i="9"/>
  <c r="C81" i="9"/>
  <c r="F177" i="9"/>
  <c r="E337" i="9"/>
  <c r="E241" i="9"/>
  <c r="D49" i="9"/>
  <c r="E49" i="9"/>
  <c r="I305" i="9"/>
  <c r="D241" i="9"/>
  <c r="E145" i="9"/>
  <c r="I337" i="9"/>
  <c r="H81" i="9"/>
  <c r="F209" i="9"/>
  <c r="H505" i="1"/>
  <c r="F505" i="1"/>
  <c r="I113" i="9"/>
  <c r="D209" i="9"/>
  <c r="C241" i="9"/>
  <c r="G49" i="9"/>
  <c r="H337" i="9"/>
  <c r="C209" i="9"/>
  <c r="C145" i="9"/>
  <c r="H17" i="9"/>
  <c r="E273" i="9"/>
  <c r="E113" i="9"/>
  <c r="D113" i="9"/>
  <c r="G81" i="9"/>
  <c r="E81" i="9"/>
  <c r="C177" i="9"/>
  <c r="F241" i="9"/>
  <c r="F522" i="1"/>
  <c r="H522" i="1"/>
  <c r="F510" i="1"/>
  <c r="F513" i="1"/>
  <c r="H513" i="1"/>
  <c r="C142" i="8"/>
  <c r="D393" i="1"/>
  <c r="H511" i="10"/>
  <c r="G511" i="10"/>
  <c r="C552" i="10"/>
  <c r="C635" i="10"/>
  <c r="C625" i="10"/>
  <c r="C562" i="10"/>
  <c r="C631" i="10"/>
  <c r="C546" i="10"/>
  <c r="C530" i="10"/>
  <c r="C702" i="10"/>
  <c r="G508" i="10"/>
  <c r="H508" i="10" s="1"/>
  <c r="C708" i="10"/>
  <c r="C536" i="10"/>
  <c r="G536" i="10" s="1"/>
  <c r="H521" i="10"/>
  <c r="G521" i="10"/>
  <c r="G509" i="10"/>
  <c r="H509" i="10" s="1"/>
  <c r="G512" i="10"/>
  <c r="H512" i="10"/>
  <c r="C572" i="10"/>
  <c r="C621" i="10"/>
  <c r="C694" i="10"/>
  <c r="C522" i="10"/>
  <c r="G517" i="10"/>
  <c r="H517" i="10" s="1"/>
  <c r="D706" i="10"/>
  <c r="D690" i="10"/>
  <c r="D700" i="10"/>
  <c r="D683" i="10"/>
  <c r="D667" i="10"/>
  <c r="D617" i="10"/>
  <c r="D692" i="10"/>
  <c r="D642" i="10"/>
  <c r="D634" i="10"/>
  <c r="D708" i="10"/>
  <c r="D678" i="10"/>
  <c r="D704" i="10"/>
  <c r="D709" i="10"/>
  <c r="D687" i="10"/>
  <c r="D715" i="10"/>
  <c r="D698" i="10"/>
  <c r="D712" i="10"/>
  <c r="D685" i="10"/>
  <c r="D675" i="10"/>
  <c r="D621" i="10"/>
  <c r="D705" i="10"/>
  <c r="D681" i="10"/>
  <c r="D638" i="10"/>
  <c r="D630" i="10"/>
  <c r="D695" i="10"/>
  <c r="D676" i="10"/>
  <c r="D691" i="10"/>
  <c r="D696" i="10"/>
  <c r="D702" i="10"/>
  <c r="D699" i="10"/>
  <c r="D627" i="10"/>
  <c r="D682" i="10"/>
  <c r="D632" i="10"/>
  <c r="D677" i="10"/>
  <c r="D707" i="10"/>
  <c r="D668" i="10"/>
  <c r="D626" i="10"/>
  <c r="D641" i="10"/>
  <c r="D623" i="10"/>
  <c r="D643" i="10"/>
  <c r="D686" i="10"/>
  <c r="D679" i="10"/>
  <c r="D615" i="10"/>
  <c r="D640" i="10"/>
  <c r="D697" i="10"/>
  <c r="D693" i="10"/>
  <c r="D670" i="10"/>
  <c r="D644" i="10"/>
  <c r="D624" i="10"/>
  <c r="D633" i="10"/>
  <c r="D635" i="10"/>
  <c r="D673" i="10"/>
  <c r="D616" i="10"/>
  <c r="D701" i="10"/>
  <c r="D703" i="10"/>
  <c r="D688" i="10"/>
  <c r="D669" i="10"/>
  <c r="D620" i="10"/>
  <c r="D639" i="10"/>
  <c r="D684" i="10"/>
  <c r="D680" i="10"/>
  <c r="D645" i="10"/>
  <c r="D646" i="10"/>
  <c r="D637" i="10"/>
  <c r="D672" i="10"/>
  <c r="D710" i="10"/>
  <c r="D636" i="10"/>
  <c r="D628" i="10"/>
  <c r="D674" i="10"/>
  <c r="D694" i="10"/>
  <c r="D622" i="10"/>
  <c r="D625" i="10"/>
  <c r="D618" i="10"/>
  <c r="D671" i="10"/>
  <c r="D629" i="10"/>
  <c r="D619" i="10"/>
  <c r="D631" i="10"/>
  <c r="D711" i="10"/>
  <c r="D689" i="10"/>
  <c r="C619" i="10"/>
  <c r="C573" i="10"/>
  <c r="C615" i="10"/>
  <c r="C542" i="10"/>
  <c r="C556" i="10"/>
  <c r="C636" i="10"/>
  <c r="F538" i="1"/>
  <c r="H538" i="1"/>
  <c r="G507" i="10"/>
  <c r="H507" i="10"/>
  <c r="H529" i="10"/>
  <c r="G529" i="10"/>
  <c r="C564" i="10"/>
  <c r="C639" i="10"/>
  <c r="C532" i="10"/>
  <c r="G532" i="10" s="1"/>
  <c r="C704" i="10"/>
  <c r="G545" i="10"/>
  <c r="H545" i="10"/>
  <c r="G525" i="10"/>
  <c r="H525" i="10" s="1"/>
  <c r="F496" i="1"/>
  <c r="H496" i="1"/>
  <c r="F534" i="1"/>
  <c r="H534" i="1"/>
  <c r="F502" i="1"/>
  <c r="H504" i="1"/>
  <c r="F504" i="1"/>
  <c r="H530" i="1"/>
  <c r="F530" i="1"/>
  <c r="C548" i="10"/>
  <c r="C623" i="10"/>
  <c r="F512" i="1"/>
  <c r="H512" i="1"/>
  <c r="F526" i="1"/>
  <c r="F503" i="1"/>
  <c r="G513" i="10"/>
  <c r="H513" i="10" s="1"/>
  <c r="F508" i="1"/>
  <c r="C618" i="10"/>
  <c r="C558" i="10"/>
  <c r="C526" i="10"/>
  <c r="G526" i="10" s="1"/>
  <c r="C698" i="10"/>
  <c r="C696" i="10"/>
  <c r="C524" i="10"/>
  <c r="C568" i="10"/>
  <c r="C643" i="10"/>
  <c r="F514" i="1"/>
  <c r="H514" i="1"/>
  <c r="H507" i="1"/>
  <c r="F507" i="1"/>
  <c r="C641" i="10"/>
  <c r="C566" i="10"/>
  <c r="C550" i="10"/>
  <c r="C628" i="10"/>
  <c r="C534" i="10"/>
  <c r="C706" i="10"/>
  <c r="C518" i="10"/>
  <c r="C690" i="10"/>
  <c r="C540" i="10"/>
  <c r="C712" i="10"/>
  <c r="C544" i="10"/>
  <c r="C627" i="10"/>
  <c r="F518" i="1"/>
  <c r="F546" i="1"/>
  <c r="C528" i="10"/>
  <c r="C700" i="10"/>
  <c r="H495" i="10"/>
  <c r="G495" i="10"/>
  <c r="F506" i="1"/>
  <c r="H506" i="1"/>
  <c r="H500" i="1"/>
  <c r="F500" i="1"/>
  <c r="C645" i="10"/>
  <c r="C570" i="10"/>
  <c r="C554" i="10"/>
  <c r="C616" i="10"/>
  <c r="C710" i="10"/>
  <c r="C538" i="10"/>
  <c r="G538" i="10" s="1"/>
  <c r="F509" i="1"/>
  <c r="C560" i="10"/>
  <c r="C620" i="10"/>
  <c r="C520" i="10"/>
  <c r="C692" i="10"/>
  <c r="H508" i="1" l="1"/>
  <c r="H509" i="1"/>
  <c r="H498" i="1"/>
  <c r="H526" i="1"/>
  <c r="H511" i="1"/>
  <c r="H546" i="1"/>
  <c r="H502" i="1"/>
  <c r="H503" i="1"/>
  <c r="C648" i="1"/>
  <c r="M716" i="1" s="1"/>
  <c r="D615" i="1"/>
  <c r="H518" i="1"/>
  <c r="G550" i="1"/>
  <c r="H550" i="1" s="1"/>
  <c r="C496" i="1"/>
  <c r="G496" i="1" s="1"/>
  <c r="C668" i="1"/>
  <c r="C21" i="9"/>
  <c r="H510" i="1"/>
  <c r="G524" i="1"/>
  <c r="H524" i="1"/>
  <c r="E622" i="10"/>
  <c r="C647" i="10"/>
  <c r="M715" i="10" s="1"/>
  <c r="Z815" i="10" s="1"/>
  <c r="D714" i="10"/>
  <c r="C714" i="10"/>
  <c r="CE67" i="1"/>
  <c r="CE71" i="1" s="1"/>
  <c r="C17" i="9"/>
  <c r="J733" i="10"/>
  <c r="J814" i="10" s="1"/>
  <c r="H545" i="1"/>
  <c r="F545" i="1"/>
  <c r="G534" i="10"/>
  <c r="H534" i="10"/>
  <c r="H525" i="1"/>
  <c r="F525" i="1"/>
  <c r="E715" i="10"/>
  <c r="H522" i="10"/>
  <c r="G522" i="10"/>
  <c r="H529" i="1"/>
  <c r="F529" i="1"/>
  <c r="G544" i="10"/>
  <c r="H544" i="10"/>
  <c r="C146" i="8"/>
  <c r="D396" i="1"/>
  <c r="C151" i="8" s="1"/>
  <c r="F521" i="1"/>
  <c r="H521" i="1"/>
  <c r="H518" i="10"/>
  <c r="G518" i="10"/>
  <c r="H535" i="1"/>
  <c r="F535" i="1"/>
  <c r="H533" i="1"/>
  <c r="F533" i="1"/>
  <c r="H530" i="10"/>
  <c r="G530" i="10"/>
  <c r="G520" i="10"/>
  <c r="H520" i="10"/>
  <c r="H527" i="1"/>
  <c r="F527" i="1"/>
  <c r="F539" i="1"/>
  <c r="H539" i="1"/>
  <c r="G528" i="10"/>
  <c r="H528" i="10"/>
  <c r="F519" i="1"/>
  <c r="H519" i="1"/>
  <c r="H524" i="10"/>
  <c r="G524" i="10"/>
  <c r="E611" i="10"/>
  <c r="E691" i="10" s="1"/>
  <c r="F523" i="1"/>
  <c r="H523" i="1"/>
  <c r="F537" i="1"/>
  <c r="H537" i="1"/>
  <c r="F531" i="1"/>
  <c r="H531" i="1"/>
  <c r="C715" i="1" l="1"/>
  <c r="I373" i="9"/>
  <c r="C716" i="1"/>
  <c r="D684" i="1"/>
  <c r="D642" i="1"/>
  <c r="D674" i="1"/>
  <c r="D716" i="1"/>
  <c r="D709" i="1"/>
  <c r="D636" i="1"/>
  <c r="D702" i="1"/>
  <c r="D713" i="1"/>
  <c r="D698" i="1"/>
  <c r="D616" i="1"/>
  <c r="D634" i="1"/>
  <c r="D712" i="1"/>
  <c r="D700" i="1"/>
  <c r="D629" i="1"/>
  <c r="D620" i="1"/>
  <c r="D669" i="1"/>
  <c r="D691" i="1"/>
  <c r="D673" i="1"/>
  <c r="D677" i="1"/>
  <c r="D640" i="1"/>
  <c r="D689" i="1"/>
  <c r="D701" i="1"/>
  <c r="D696" i="1"/>
  <c r="D644" i="1"/>
  <c r="D670" i="1"/>
  <c r="D682" i="1"/>
  <c r="D710" i="1"/>
  <c r="D668" i="1"/>
  <c r="D680" i="1"/>
  <c r="D643" i="1"/>
  <c r="D619" i="1"/>
  <c r="D695" i="1"/>
  <c r="D683" i="1"/>
  <c r="D624" i="1"/>
  <c r="D625" i="1"/>
  <c r="D681" i="1"/>
  <c r="D705" i="1"/>
  <c r="D638" i="1"/>
  <c r="D621" i="1"/>
  <c r="D699" i="1"/>
  <c r="D645" i="1"/>
  <c r="D704" i="1"/>
  <c r="D639" i="1"/>
  <c r="D628" i="1"/>
  <c r="D711" i="1"/>
  <c r="D631" i="1"/>
  <c r="D706" i="1"/>
  <c r="D676" i="1"/>
  <c r="D671" i="1"/>
  <c r="D627" i="1"/>
  <c r="D623" i="1"/>
  <c r="D632" i="1"/>
  <c r="D617" i="1"/>
  <c r="D697" i="1"/>
  <c r="D685" i="1"/>
  <c r="D690" i="1"/>
  <c r="D707" i="1"/>
  <c r="D637" i="1"/>
  <c r="D694" i="1"/>
  <c r="D647" i="1"/>
  <c r="D635" i="1"/>
  <c r="D703" i="1"/>
  <c r="D678" i="1"/>
  <c r="D675" i="1"/>
  <c r="D672" i="1"/>
  <c r="D626" i="1"/>
  <c r="D641" i="1"/>
  <c r="D633" i="1"/>
  <c r="D646" i="1"/>
  <c r="D708" i="1"/>
  <c r="D688" i="1"/>
  <c r="D679" i="1"/>
  <c r="D693" i="1"/>
  <c r="D618" i="1"/>
  <c r="D687" i="1"/>
  <c r="D692" i="1"/>
  <c r="D622" i="1"/>
  <c r="D686" i="1"/>
  <c r="D630" i="1"/>
  <c r="I369" i="9"/>
  <c r="C433" i="1"/>
  <c r="C441" i="1" s="1"/>
  <c r="E638" i="10"/>
  <c r="E689" i="10"/>
  <c r="E681" i="10"/>
  <c r="E682" i="10"/>
  <c r="E680" i="10"/>
  <c r="E673" i="10"/>
  <c r="E698" i="10"/>
  <c r="E669" i="10"/>
  <c r="E674" i="10"/>
  <c r="E685" i="10"/>
  <c r="E628" i="10"/>
  <c r="E684" i="10"/>
  <c r="E633" i="10"/>
  <c r="E702" i="10"/>
  <c r="E695" i="10"/>
  <c r="E671" i="10"/>
  <c r="E705" i="10"/>
  <c r="E677" i="10"/>
  <c r="E683" i="10"/>
  <c r="E644" i="10"/>
  <c r="E667" i="10"/>
  <c r="E686" i="10"/>
  <c r="E672" i="10"/>
  <c r="E694" i="10"/>
  <c r="E623" i="10"/>
  <c r="E676" i="10"/>
  <c r="E704" i="10"/>
  <c r="E636" i="10"/>
  <c r="E707" i="10"/>
  <c r="E701" i="10"/>
  <c r="E641" i="10"/>
  <c r="E645" i="10"/>
  <c r="E710" i="10"/>
  <c r="E706" i="10"/>
  <c r="E625" i="10"/>
  <c r="E678" i="10"/>
  <c r="E631" i="10"/>
  <c r="E693" i="10"/>
  <c r="E637" i="10"/>
  <c r="E632" i="10"/>
  <c r="E709" i="10"/>
  <c r="E690" i="10"/>
  <c r="E699" i="10"/>
  <c r="E643" i="10"/>
  <c r="E692" i="10"/>
  <c r="E697" i="10"/>
  <c r="E703" i="10"/>
  <c r="E639" i="10"/>
  <c r="E687" i="10"/>
  <c r="E635" i="10"/>
  <c r="E646" i="10"/>
  <c r="E708" i="10"/>
  <c r="J815" i="10"/>
  <c r="C432" i="10"/>
  <c r="C441" i="10" s="1"/>
  <c r="E634" i="10"/>
  <c r="E712" i="10"/>
  <c r="E670" i="10"/>
  <c r="E711" i="10"/>
  <c r="E696" i="10"/>
  <c r="E642" i="10"/>
  <c r="E668" i="10"/>
  <c r="E630" i="10"/>
  <c r="E688" i="10"/>
  <c r="E624" i="10"/>
  <c r="E640" i="10"/>
  <c r="E675" i="10"/>
  <c r="E626" i="10"/>
  <c r="E629" i="10"/>
  <c r="E627" i="10"/>
  <c r="E700" i="10"/>
  <c r="E679" i="10"/>
  <c r="E623" i="1" l="1"/>
  <c r="E716" i="1" s="1"/>
  <c r="E612" i="1"/>
  <c r="E631" i="1" s="1"/>
  <c r="D715" i="1"/>
  <c r="E714" i="10"/>
  <c r="F623" i="10"/>
  <c r="E632" i="1" l="1"/>
  <c r="E697" i="1"/>
  <c r="E692" i="1"/>
  <c r="E646" i="1"/>
  <c r="E684" i="1"/>
  <c r="E696" i="1"/>
  <c r="E698" i="1"/>
  <c r="E668" i="1"/>
  <c r="E687" i="1"/>
  <c r="E690" i="1"/>
  <c r="E705" i="1"/>
  <c r="E647" i="1"/>
  <c r="E703" i="1"/>
  <c r="E693" i="1"/>
  <c r="E645" i="1"/>
  <c r="E635" i="1"/>
  <c r="E686" i="1"/>
  <c r="E676" i="1"/>
  <c r="E695" i="1"/>
  <c r="E704" i="1"/>
  <c r="E679" i="1"/>
  <c r="E672" i="1"/>
  <c r="E706" i="1"/>
  <c r="E644" i="1"/>
  <c r="E639" i="1"/>
  <c r="E707" i="1"/>
  <c r="E701" i="1"/>
  <c r="E712" i="1"/>
  <c r="E670" i="1"/>
  <c r="E633" i="1"/>
  <c r="E678" i="1"/>
  <c r="E708" i="1"/>
  <c r="E669" i="1"/>
  <c r="E713" i="1"/>
  <c r="E641" i="1"/>
  <c r="E682" i="1"/>
  <c r="E700" i="1"/>
  <c r="E671" i="1"/>
  <c r="E709" i="1"/>
  <c r="E640" i="1"/>
  <c r="E673" i="1"/>
  <c r="E643" i="1"/>
  <c r="E691" i="1"/>
  <c r="E689" i="1"/>
  <c r="E677" i="1"/>
  <c r="E642" i="1"/>
  <c r="E694" i="1"/>
  <c r="E626" i="1"/>
  <c r="E627" i="1"/>
  <c r="E710" i="1"/>
  <c r="E685" i="1"/>
  <c r="E629" i="1"/>
  <c r="E630" i="1"/>
  <c r="E636" i="1"/>
  <c r="E674" i="1"/>
  <c r="E634" i="1"/>
  <c r="E624" i="1"/>
  <c r="F624" i="1" s="1"/>
  <c r="F675" i="1" s="1"/>
  <c r="E625" i="1"/>
  <c r="E637" i="1"/>
  <c r="E675" i="1"/>
  <c r="E699" i="1"/>
  <c r="E711" i="1"/>
  <c r="E702" i="1"/>
  <c r="E683" i="1"/>
  <c r="E628" i="1"/>
  <c r="E638" i="1"/>
  <c r="E681" i="1"/>
  <c r="E688" i="1"/>
  <c r="E680" i="1"/>
  <c r="F699" i="10"/>
  <c r="F678" i="10"/>
  <c r="F646" i="10"/>
  <c r="F703" i="10"/>
  <c r="F676" i="10"/>
  <c r="F628" i="10"/>
  <c r="F669" i="10"/>
  <c r="F677" i="10"/>
  <c r="F682" i="10"/>
  <c r="F638" i="10"/>
  <c r="F685" i="10"/>
  <c r="F675" i="10"/>
  <c r="F630" i="10"/>
  <c r="F625" i="10"/>
  <c r="F680" i="10"/>
  <c r="F633" i="10"/>
  <c r="F674" i="10"/>
  <c r="F637" i="10"/>
  <c r="F698" i="10"/>
  <c r="F629" i="10"/>
  <c r="F700" i="10"/>
  <c r="F631" i="10"/>
  <c r="F626" i="10"/>
  <c r="F643" i="10"/>
  <c r="F667" i="10"/>
  <c r="F701" i="10"/>
  <c r="F707" i="10"/>
  <c r="F640" i="10"/>
  <c r="F642" i="10"/>
  <c r="F693" i="10"/>
  <c r="F686" i="10"/>
  <c r="F684" i="10"/>
  <c r="F689" i="10"/>
  <c r="F708" i="10"/>
  <c r="F635" i="10"/>
  <c r="F636" i="10"/>
  <c r="F634" i="10"/>
  <c r="F683" i="10"/>
  <c r="F688" i="10"/>
  <c r="F641" i="10"/>
  <c r="F644" i="10"/>
  <c r="F705" i="10"/>
  <c r="F679" i="10"/>
  <c r="F694" i="10"/>
  <c r="F711" i="10"/>
  <c r="F692" i="10"/>
  <c r="F702" i="10"/>
  <c r="F704" i="10"/>
  <c r="F632" i="10"/>
  <c r="F627" i="10"/>
  <c r="F706" i="10"/>
  <c r="F624" i="10"/>
  <c r="F690" i="10"/>
  <c r="F645" i="10"/>
  <c r="F672" i="10"/>
  <c r="F712" i="10"/>
  <c r="F697" i="10"/>
  <c r="F673" i="10"/>
  <c r="F687" i="10"/>
  <c r="F709" i="10"/>
  <c r="F671" i="10"/>
  <c r="F695" i="10"/>
  <c r="F696" i="10"/>
  <c r="F668" i="10"/>
  <c r="F691" i="10"/>
  <c r="F710" i="10"/>
  <c r="F681" i="10"/>
  <c r="F715" i="10"/>
  <c r="F639" i="10"/>
  <c r="F670" i="10"/>
  <c r="E715" i="1" l="1"/>
  <c r="F696" i="1"/>
  <c r="F633" i="1"/>
  <c r="F642" i="1"/>
  <c r="F707" i="1"/>
  <c r="F674" i="1"/>
  <c r="F706" i="1"/>
  <c r="F627" i="1"/>
  <c r="F646" i="1"/>
  <c r="F695" i="1"/>
  <c r="F677" i="1"/>
  <c r="F701" i="1"/>
  <c r="F683" i="1"/>
  <c r="F704" i="1"/>
  <c r="F644" i="1"/>
  <c r="F639" i="1"/>
  <c r="F669" i="1"/>
  <c r="F629" i="1"/>
  <c r="F630" i="1"/>
  <c r="F709" i="1"/>
  <c r="F681" i="1"/>
  <c r="F634" i="1"/>
  <c r="F697" i="1"/>
  <c r="F687" i="1"/>
  <c r="F625" i="1"/>
  <c r="F679" i="1"/>
  <c r="F672" i="1"/>
  <c r="F670" i="1"/>
  <c r="F676" i="1"/>
  <c r="F716" i="1"/>
  <c r="F640" i="1"/>
  <c r="F680" i="1"/>
  <c r="F692" i="1"/>
  <c r="F708" i="1"/>
  <c r="F688" i="1"/>
  <c r="F636" i="1"/>
  <c r="F637" i="1"/>
  <c r="F643" i="1"/>
  <c r="F673" i="1"/>
  <c r="F682" i="1"/>
  <c r="F705" i="1"/>
  <c r="F703" i="1"/>
  <c r="F711" i="1"/>
  <c r="F668" i="1"/>
  <c r="F698" i="1"/>
  <c r="F678" i="1"/>
  <c r="F699" i="1"/>
  <c r="F689" i="1"/>
  <c r="F628" i="1"/>
  <c r="F712" i="1"/>
  <c r="F632" i="1"/>
  <c r="F690" i="1"/>
  <c r="F684" i="1"/>
  <c r="F647" i="1"/>
  <c r="F635" i="1"/>
  <c r="F713" i="1"/>
  <c r="F691" i="1"/>
  <c r="F638" i="1"/>
  <c r="F641" i="1"/>
  <c r="F631" i="1"/>
  <c r="F685" i="1"/>
  <c r="F626" i="1"/>
  <c r="F710" i="1"/>
  <c r="F693" i="1"/>
  <c r="F694" i="1"/>
  <c r="F671" i="1"/>
  <c r="F700" i="1"/>
  <c r="F686" i="1"/>
  <c r="F702" i="1"/>
  <c r="F645" i="1"/>
  <c r="G624" i="10"/>
  <c r="F714" i="10"/>
  <c r="F715" i="1" l="1"/>
  <c r="G625" i="1"/>
  <c r="G683" i="10"/>
  <c r="G709" i="10"/>
  <c r="G667" i="10"/>
  <c r="G700" i="10"/>
  <c r="G641" i="10"/>
  <c r="G628" i="10"/>
  <c r="G699" i="10"/>
  <c r="G681" i="10"/>
  <c r="G685" i="10"/>
  <c r="G706" i="10"/>
  <c r="G688" i="10"/>
  <c r="G672" i="10"/>
  <c r="G707" i="10"/>
  <c r="G638" i="10"/>
  <c r="G708" i="10"/>
  <c r="G639" i="10"/>
  <c r="G710" i="10"/>
  <c r="G687" i="10"/>
  <c r="G678" i="10"/>
  <c r="G712" i="10"/>
  <c r="G689" i="10"/>
  <c r="G671" i="10"/>
  <c r="G636" i="10"/>
  <c r="G642" i="10"/>
  <c r="G646" i="10"/>
  <c r="G673" i="10"/>
  <c r="G698" i="10"/>
  <c r="G703" i="10"/>
  <c r="G674" i="10"/>
  <c r="G631" i="10"/>
  <c r="G630" i="10"/>
  <c r="G690" i="10"/>
  <c r="G668" i="10"/>
  <c r="G633" i="10"/>
  <c r="G675" i="10"/>
  <c r="G645" i="10"/>
  <c r="G705" i="10"/>
  <c r="G711" i="10"/>
  <c r="G697" i="10"/>
  <c r="G643" i="10"/>
  <c r="G644" i="10"/>
  <c r="G679" i="10"/>
  <c r="G692" i="10"/>
  <c r="G634" i="10"/>
  <c r="G701" i="10"/>
  <c r="G682" i="10"/>
  <c r="G684" i="10"/>
  <c r="G704" i="10"/>
  <c r="G629" i="10"/>
  <c r="G695" i="10"/>
  <c r="G696" i="10"/>
  <c r="G715" i="10"/>
  <c r="G637" i="10"/>
  <c r="G640" i="10"/>
  <c r="G694" i="10"/>
  <c r="G625" i="10"/>
  <c r="G669" i="10"/>
  <c r="G632" i="10"/>
  <c r="G627" i="10"/>
  <c r="G626" i="10"/>
  <c r="G676" i="10"/>
  <c r="G691" i="10"/>
  <c r="G635" i="10"/>
  <c r="G677" i="10"/>
  <c r="G693" i="10"/>
  <c r="G686" i="10"/>
  <c r="G702" i="10"/>
  <c r="G680" i="10"/>
  <c r="G670" i="10"/>
  <c r="G644" i="1" l="1"/>
  <c r="G638" i="1"/>
  <c r="G702" i="1"/>
  <c r="G669" i="1"/>
  <c r="G645" i="1"/>
  <c r="G640" i="1"/>
  <c r="G626" i="1"/>
  <c r="G689" i="1"/>
  <c r="G628" i="1"/>
  <c r="G674" i="1"/>
  <c r="G686" i="1"/>
  <c r="G712" i="1"/>
  <c r="G642" i="1"/>
  <c r="G693" i="1"/>
  <c r="G630" i="1"/>
  <c r="G691" i="1"/>
  <c r="G673" i="1"/>
  <c r="G692" i="1"/>
  <c r="G677" i="1"/>
  <c r="G683" i="1"/>
  <c r="G647" i="1"/>
  <c r="G684" i="1"/>
  <c r="G637" i="1"/>
  <c r="G678" i="1"/>
  <c r="G685" i="1"/>
  <c r="G716" i="1"/>
  <c r="G633" i="1"/>
  <c r="G697" i="1"/>
  <c r="G699" i="1"/>
  <c r="G705" i="1"/>
  <c r="G688" i="1"/>
  <c r="G711" i="1"/>
  <c r="G690" i="1"/>
  <c r="G695" i="1"/>
  <c r="G710" i="1"/>
  <c r="G646" i="1"/>
  <c r="G636" i="1"/>
  <c r="G634" i="1"/>
  <c r="G706" i="1"/>
  <c r="G632" i="1"/>
  <c r="G681" i="1"/>
  <c r="G707" i="1"/>
  <c r="G676" i="1"/>
  <c r="G709" i="1"/>
  <c r="G639" i="1"/>
  <c r="G687" i="1"/>
  <c r="G700" i="1"/>
  <c r="G682" i="1"/>
  <c r="G694" i="1"/>
  <c r="G672" i="1"/>
  <c r="G696" i="1"/>
  <c r="G629" i="1"/>
  <c r="G679" i="1"/>
  <c r="G680" i="1"/>
  <c r="G670" i="1"/>
  <c r="G698" i="1"/>
  <c r="G631" i="1"/>
  <c r="G703" i="1"/>
  <c r="G701" i="1"/>
  <c r="G627" i="1"/>
  <c r="G671" i="1"/>
  <c r="G668" i="1"/>
  <c r="G675" i="1"/>
  <c r="G704" i="1"/>
  <c r="G635" i="1"/>
  <c r="G713" i="1"/>
  <c r="G643" i="1"/>
  <c r="G641" i="1"/>
  <c r="G708" i="1"/>
  <c r="G714" i="10"/>
  <c r="H627" i="10"/>
  <c r="G715" i="1" l="1"/>
  <c r="H628" i="1"/>
  <c r="H668" i="10"/>
  <c r="H637" i="10"/>
  <c r="H701" i="10"/>
  <c r="H681" i="10"/>
  <c r="H710" i="10"/>
  <c r="H667" i="10"/>
  <c r="H692" i="10"/>
  <c r="H693" i="10"/>
  <c r="H633" i="10"/>
  <c r="H638" i="10"/>
  <c r="H695" i="10"/>
  <c r="H688" i="10"/>
  <c r="H702" i="10"/>
  <c r="H707" i="10"/>
  <c r="H631" i="10"/>
  <c r="H679" i="10"/>
  <c r="H645" i="10"/>
  <c r="H674" i="10"/>
  <c r="H685" i="10"/>
  <c r="H705" i="10"/>
  <c r="H672" i="10"/>
  <c r="H704" i="10"/>
  <c r="H703" i="10"/>
  <c r="H680" i="10"/>
  <c r="H634" i="10"/>
  <c r="H635" i="10"/>
  <c r="H682" i="10"/>
  <c r="H641" i="10"/>
  <c r="H699" i="10"/>
  <c r="H698" i="10"/>
  <c r="H636" i="10"/>
  <c r="H675" i="10"/>
  <c r="H689" i="10"/>
  <c r="H690" i="10"/>
  <c r="H669" i="10"/>
  <c r="H715" i="10"/>
  <c r="H644" i="10"/>
  <c r="H671" i="10"/>
  <c r="H630" i="10"/>
  <c r="H642" i="10"/>
  <c r="H677" i="10"/>
  <c r="H640" i="10"/>
  <c r="H686" i="10"/>
  <c r="H708" i="10"/>
  <c r="H639" i="10"/>
  <c r="H694" i="10"/>
  <c r="H678" i="10"/>
  <c r="H673" i="10"/>
  <c r="H696" i="10"/>
  <c r="H683" i="10"/>
  <c r="H643" i="10"/>
  <c r="H687" i="10"/>
  <c r="H711" i="10"/>
  <c r="H676" i="10"/>
  <c r="H706" i="10"/>
  <c r="H712" i="10"/>
  <c r="H684" i="10"/>
  <c r="H700" i="10"/>
  <c r="H670" i="10"/>
  <c r="H691" i="10"/>
  <c r="H646" i="10"/>
  <c r="H628" i="10"/>
  <c r="H632" i="10"/>
  <c r="H697" i="10"/>
  <c r="H709" i="10"/>
  <c r="H629" i="10"/>
  <c r="H639" i="1" l="1"/>
  <c r="H688" i="1"/>
  <c r="H702" i="1"/>
  <c r="H711" i="1"/>
  <c r="H631" i="1"/>
  <c r="H713" i="1"/>
  <c r="H641" i="1"/>
  <c r="H671" i="1"/>
  <c r="H701" i="1"/>
  <c r="H635" i="1"/>
  <c r="H679" i="1"/>
  <c r="H686" i="1"/>
  <c r="H632" i="1"/>
  <c r="H676" i="1"/>
  <c r="H668" i="1"/>
  <c r="H669" i="1"/>
  <c r="H646" i="1"/>
  <c r="H630" i="1"/>
  <c r="H708" i="1"/>
  <c r="H712" i="1"/>
  <c r="H636" i="1"/>
  <c r="H707" i="1"/>
  <c r="H698" i="1"/>
  <c r="H685" i="1"/>
  <c r="H634" i="1"/>
  <c r="H689" i="1"/>
  <c r="H706" i="1"/>
  <c r="H693" i="1"/>
  <c r="H677" i="1"/>
  <c r="H643" i="1"/>
  <c r="H672" i="1"/>
  <c r="H697" i="1"/>
  <c r="H694" i="1"/>
  <c r="H687" i="1"/>
  <c r="H674" i="1"/>
  <c r="H710" i="1"/>
  <c r="H691" i="1"/>
  <c r="H642" i="1"/>
  <c r="H696" i="1"/>
  <c r="H692" i="1"/>
  <c r="H640" i="1"/>
  <c r="H704" i="1"/>
  <c r="H684" i="1"/>
  <c r="H705" i="1"/>
  <c r="H690" i="1"/>
  <c r="H637" i="1"/>
  <c r="H695" i="1"/>
  <c r="H644" i="1"/>
  <c r="H709" i="1"/>
  <c r="H645" i="1"/>
  <c r="H678" i="1"/>
  <c r="H700" i="1"/>
  <c r="H629" i="1"/>
  <c r="H681" i="1"/>
  <c r="H716" i="1"/>
  <c r="H670" i="1"/>
  <c r="H673" i="1"/>
  <c r="H683" i="1"/>
  <c r="H633" i="1"/>
  <c r="H680" i="1"/>
  <c r="H675" i="1"/>
  <c r="H647" i="1"/>
  <c r="H682" i="1"/>
  <c r="H638" i="1"/>
  <c r="H703" i="1"/>
  <c r="H699" i="1"/>
  <c r="H714" i="10"/>
  <c r="I628" i="10"/>
  <c r="H715" i="1" l="1"/>
  <c r="I629" i="1"/>
  <c r="I672" i="10"/>
  <c r="I693" i="10"/>
  <c r="I680" i="10"/>
  <c r="I706" i="10"/>
  <c r="I632" i="10"/>
  <c r="I667" i="10"/>
  <c r="I631" i="10"/>
  <c r="I692" i="10"/>
  <c r="I645" i="10"/>
  <c r="I698" i="10"/>
  <c r="I646" i="10"/>
  <c r="I712" i="10"/>
  <c r="I670" i="10"/>
  <c r="I705" i="10"/>
  <c r="I684" i="10"/>
  <c r="I691" i="10"/>
  <c r="I704" i="10"/>
  <c r="I638" i="10"/>
  <c r="I674" i="10"/>
  <c r="I642" i="10"/>
  <c r="I635" i="10"/>
  <c r="I673" i="10"/>
  <c r="I671" i="10"/>
  <c r="I715" i="10"/>
  <c r="I669" i="10"/>
  <c r="I697" i="10"/>
  <c r="I711" i="10"/>
  <c r="I630" i="10"/>
  <c r="I629" i="10"/>
  <c r="I634" i="10"/>
  <c r="I637" i="10"/>
  <c r="I633" i="10"/>
  <c r="I639" i="10"/>
  <c r="I641" i="10"/>
  <c r="I709" i="10"/>
  <c r="I694" i="10"/>
  <c r="I707" i="10"/>
  <c r="I686" i="10"/>
  <c r="I700" i="10"/>
  <c r="I668" i="10"/>
  <c r="I643" i="10"/>
  <c r="I689" i="10"/>
  <c r="I708" i="10"/>
  <c r="I695" i="10"/>
  <c r="I679" i="10"/>
  <c r="I703" i="10"/>
  <c r="I683" i="10"/>
  <c r="I696" i="10"/>
  <c r="I685" i="10"/>
  <c r="I682" i="10"/>
  <c r="I699" i="10"/>
  <c r="I678" i="10"/>
  <c r="I702" i="10"/>
  <c r="I710" i="10"/>
  <c r="I687" i="10"/>
  <c r="I677" i="10"/>
  <c r="I676" i="10"/>
  <c r="I701" i="10"/>
  <c r="I640" i="10"/>
  <c r="I644" i="10"/>
  <c r="I688" i="10"/>
  <c r="I690" i="10"/>
  <c r="I681" i="10"/>
  <c r="I675" i="10"/>
  <c r="I636" i="10"/>
  <c r="I669" i="1" l="1"/>
  <c r="I697" i="1"/>
  <c r="I642" i="1"/>
  <c r="I706" i="1"/>
  <c r="I676" i="1"/>
  <c r="I700" i="1"/>
  <c r="I640" i="1"/>
  <c r="I713" i="1"/>
  <c r="I694" i="1"/>
  <c r="I691" i="1"/>
  <c r="I709" i="1"/>
  <c r="I704" i="1"/>
  <c r="I708" i="1"/>
  <c r="I686" i="1"/>
  <c r="I641" i="1"/>
  <c r="I703" i="1"/>
  <c r="I639" i="1"/>
  <c r="I688" i="1"/>
  <c r="I670" i="1"/>
  <c r="I701" i="1"/>
  <c r="I681" i="1"/>
  <c r="I680" i="1"/>
  <c r="I689" i="1"/>
  <c r="I679" i="1"/>
  <c r="I636" i="1"/>
  <c r="I637" i="1"/>
  <c r="I684" i="1"/>
  <c r="I682" i="1"/>
  <c r="I707" i="1"/>
  <c r="I710" i="1"/>
  <c r="I692" i="1"/>
  <c r="I644" i="1"/>
  <c r="I674" i="1"/>
  <c r="I631" i="1"/>
  <c r="I671" i="1"/>
  <c r="I647" i="1"/>
  <c r="I716" i="1"/>
  <c r="I712" i="1"/>
  <c r="I683" i="1"/>
  <c r="I646" i="1"/>
  <c r="I696" i="1"/>
  <c r="I705" i="1"/>
  <c r="I645" i="1"/>
  <c r="I687" i="1"/>
  <c r="I668" i="1"/>
  <c r="I678" i="1"/>
  <c r="I673" i="1"/>
  <c r="I672" i="1"/>
  <c r="I685" i="1"/>
  <c r="I630" i="1"/>
  <c r="I698" i="1"/>
  <c r="I699" i="1"/>
  <c r="I633" i="1"/>
  <c r="I635" i="1"/>
  <c r="I690" i="1"/>
  <c r="I693" i="1"/>
  <c r="I638" i="1"/>
  <c r="I632" i="1"/>
  <c r="I711" i="1"/>
  <c r="I677" i="1"/>
  <c r="I634" i="1"/>
  <c r="I643" i="1"/>
  <c r="I702" i="1"/>
  <c r="I675" i="1"/>
  <c r="I695" i="1"/>
  <c r="I714" i="10"/>
  <c r="J629" i="10"/>
  <c r="I715" i="1" l="1"/>
  <c r="J630" i="1"/>
  <c r="J692" i="10"/>
  <c r="J670" i="10"/>
  <c r="J632" i="10"/>
  <c r="J707" i="10"/>
  <c r="J633" i="10"/>
  <c r="J715" i="10"/>
  <c r="J691" i="10"/>
  <c r="J643" i="10"/>
  <c r="K643" i="10" s="1"/>
  <c r="J646" i="10"/>
  <c r="J708" i="10"/>
  <c r="J688" i="10"/>
  <c r="J697" i="10"/>
  <c r="J667" i="10"/>
  <c r="J637" i="10"/>
  <c r="J678" i="10"/>
  <c r="J680" i="10"/>
  <c r="J689" i="10"/>
  <c r="J683" i="10"/>
  <c r="J630" i="10"/>
  <c r="J640" i="10"/>
  <c r="J681" i="10"/>
  <c r="J699" i="10"/>
  <c r="J701" i="10"/>
  <c r="J693" i="10"/>
  <c r="J635" i="10"/>
  <c r="J686" i="10"/>
  <c r="J696" i="10"/>
  <c r="J631" i="10"/>
  <c r="J668" i="10"/>
  <c r="J703" i="10"/>
  <c r="J704" i="10"/>
  <c r="J684" i="10"/>
  <c r="J674" i="10"/>
  <c r="J645" i="10"/>
  <c r="J706" i="10"/>
  <c r="J700" i="10"/>
  <c r="J705" i="10"/>
  <c r="J698" i="10"/>
  <c r="J639" i="10"/>
  <c r="J671" i="10"/>
  <c r="J682" i="10"/>
  <c r="J669" i="10"/>
  <c r="J636" i="10"/>
  <c r="J711" i="10"/>
  <c r="J694" i="10"/>
  <c r="J677" i="10"/>
  <c r="J676" i="10"/>
  <c r="J673" i="10"/>
  <c r="J638" i="10"/>
  <c r="J710" i="10"/>
  <c r="J712" i="10"/>
  <c r="J695" i="10"/>
  <c r="J690" i="10"/>
  <c r="J679" i="10"/>
  <c r="J685" i="10"/>
  <c r="J644" i="10"/>
  <c r="J709" i="10"/>
  <c r="J702" i="10"/>
  <c r="J675" i="10"/>
  <c r="J641" i="10"/>
  <c r="J634" i="10"/>
  <c r="J642" i="10"/>
  <c r="J672" i="10"/>
  <c r="J687" i="10"/>
  <c r="J693" i="1" l="1"/>
  <c r="J669" i="1"/>
  <c r="J668" i="1"/>
  <c r="J700" i="1"/>
  <c r="J646" i="1"/>
  <c r="J671" i="1"/>
  <c r="J642" i="1"/>
  <c r="J637" i="1"/>
  <c r="J707" i="1"/>
  <c r="J696" i="1"/>
  <c r="J694" i="1"/>
  <c r="J704" i="1"/>
  <c r="J681" i="1"/>
  <c r="J712" i="1"/>
  <c r="J679" i="1"/>
  <c r="J672" i="1"/>
  <c r="J634" i="1"/>
  <c r="J698" i="1"/>
  <c r="J706" i="1"/>
  <c r="J644" i="1"/>
  <c r="J633" i="1"/>
  <c r="J705" i="1"/>
  <c r="J645" i="1"/>
  <c r="J640" i="1"/>
  <c r="J695" i="1"/>
  <c r="J682" i="1"/>
  <c r="J687" i="1"/>
  <c r="J639" i="1"/>
  <c r="J673" i="1"/>
  <c r="J692" i="1"/>
  <c r="J683" i="1"/>
  <c r="J702" i="1"/>
  <c r="J685" i="1"/>
  <c r="J708" i="1"/>
  <c r="J691" i="1"/>
  <c r="J678" i="1"/>
  <c r="J697" i="1"/>
  <c r="J680" i="1"/>
  <c r="J689" i="1"/>
  <c r="J647" i="1"/>
  <c r="J675" i="1"/>
  <c r="J716" i="1"/>
  <c r="J674" i="1"/>
  <c r="J632" i="1"/>
  <c r="J703" i="1"/>
  <c r="J686" i="1"/>
  <c r="J635" i="1"/>
  <c r="J688" i="1"/>
  <c r="J638" i="1"/>
  <c r="J636" i="1"/>
  <c r="J709" i="1"/>
  <c r="J699" i="1"/>
  <c r="J677" i="1"/>
  <c r="J710" i="1"/>
  <c r="J690" i="1"/>
  <c r="J684" i="1"/>
  <c r="J701" i="1"/>
  <c r="J676" i="1"/>
  <c r="J643" i="1"/>
  <c r="J670" i="1"/>
  <c r="J631" i="1"/>
  <c r="J641" i="1"/>
  <c r="J713" i="1"/>
  <c r="J711" i="1"/>
  <c r="J714" i="10"/>
  <c r="K683" i="10"/>
  <c r="K679" i="10"/>
  <c r="K702" i="10"/>
  <c r="K671" i="10"/>
  <c r="K689" i="10"/>
  <c r="K693" i="10"/>
  <c r="K711" i="10"/>
  <c r="K673" i="10"/>
  <c r="K709" i="10"/>
  <c r="K707" i="10"/>
  <c r="K686" i="10"/>
  <c r="K703" i="10"/>
  <c r="K672" i="10"/>
  <c r="K700" i="10"/>
  <c r="K697" i="10"/>
  <c r="K706" i="10"/>
  <c r="K687" i="10"/>
  <c r="K681" i="10"/>
  <c r="K694" i="10"/>
  <c r="K695" i="10"/>
  <c r="K675" i="10"/>
  <c r="K712" i="10"/>
  <c r="K698" i="10"/>
  <c r="K676" i="10"/>
  <c r="K710" i="10"/>
  <c r="K701" i="10"/>
  <c r="K699" i="10"/>
  <c r="K668" i="10"/>
  <c r="K704" i="10"/>
  <c r="K677" i="10"/>
  <c r="K674" i="10"/>
  <c r="K705" i="10"/>
  <c r="K692" i="10"/>
  <c r="K690" i="10"/>
  <c r="K680" i="10"/>
  <c r="K670" i="10"/>
  <c r="K696" i="10"/>
  <c r="K667" i="10"/>
  <c r="K685" i="10"/>
  <c r="K708" i="10"/>
  <c r="K682" i="10"/>
  <c r="K678" i="10"/>
  <c r="K688" i="10"/>
  <c r="K684" i="10"/>
  <c r="K669" i="10"/>
  <c r="K691" i="10"/>
  <c r="K715" i="10"/>
  <c r="L646" i="10"/>
  <c r="L647" i="1" l="1"/>
  <c r="L675" i="1" s="1"/>
  <c r="J715" i="1"/>
  <c r="K644" i="1"/>
  <c r="K669" i="1" s="1"/>
  <c r="L680" i="1"/>
  <c r="L695" i="1"/>
  <c r="L711" i="1"/>
  <c r="L685" i="1"/>
  <c r="L696" i="1"/>
  <c r="L674" i="1"/>
  <c r="L712" i="1"/>
  <c r="L698" i="1"/>
  <c r="L690" i="1"/>
  <c r="L710" i="1"/>
  <c r="L678" i="1"/>
  <c r="L691" i="1"/>
  <c r="L683" i="1"/>
  <c r="L702" i="1"/>
  <c r="L688" i="1"/>
  <c r="L709" i="1"/>
  <c r="L679" i="1"/>
  <c r="L697" i="1"/>
  <c r="L687" i="1"/>
  <c r="L677" i="1"/>
  <c r="L704" i="1"/>
  <c r="L707" i="1"/>
  <c r="L703" i="1"/>
  <c r="K714" i="10"/>
  <c r="L680" i="10"/>
  <c r="M680" i="10" s="1"/>
  <c r="Z746" i="10" s="1"/>
  <c r="L683" i="10"/>
  <c r="M683" i="10" s="1"/>
  <c r="Z749" i="10" s="1"/>
  <c r="L707" i="10"/>
  <c r="M707" i="10" s="1"/>
  <c r="Z773" i="10" s="1"/>
  <c r="L677" i="10"/>
  <c r="M677" i="10" s="1"/>
  <c r="Z743" i="10" s="1"/>
  <c r="L670" i="10"/>
  <c r="M670" i="10" s="1"/>
  <c r="Z736" i="10" s="1"/>
  <c r="L668" i="10"/>
  <c r="M668" i="10" s="1"/>
  <c r="Z734" i="10" s="1"/>
  <c r="L697" i="10"/>
  <c r="M697" i="10" s="1"/>
  <c r="Z763" i="10" s="1"/>
  <c r="L701" i="10"/>
  <c r="M701" i="10" s="1"/>
  <c r="Z767" i="10" s="1"/>
  <c r="L709" i="10"/>
  <c r="M709" i="10" s="1"/>
  <c r="Z775" i="10" s="1"/>
  <c r="L711" i="10"/>
  <c r="M711" i="10" s="1"/>
  <c r="Z777" i="10" s="1"/>
  <c r="L689" i="10"/>
  <c r="M689" i="10" s="1"/>
  <c r="Z755" i="10" s="1"/>
  <c r="L696" i="10"/>
  <c r="M696" i="10" s="1"/>
  <c r="Z762" i="10" s="1"/>
  <c r="L698" i="10"/>
  <c r="M698" i="10" s="1"/>
  <c r="Z764" i="10" s="1"/>
  <c r="L692" i="10"/>
  <c r="M692" i="10" s="1"/>
  <c r="Z758" i="10" s="1"/>
  <c r="L708" i="10"/>
  <c r="M708" i="10" s="1"/>
  <c r="Z774" i="10" s="1"/>
  <c r="L690" i="10"/>
  <c r="M690" i="10" s="1"/>
  <c r="Z756" i="10" s="1"/>
  <c r="L672" i="10"/>
  <c r="M672" i="10" s="1"/>
  <c r="Z738" i="10" s="1"/>
  <c r="L715" i="10"/>
  <c r="L679" i="10"/>
  <c r="M679" i="10" s="1"/>
  <c r="Z745" i="10" s="1"/>
  <c r="L681" i="10"/>
  <c r="M681" i="10" s="1"/>
  <c r="Z747" i="10" s="1"/>
  <c r="L691" i="10"/>
  <c r="M691" i="10" s="1"/>
  <c r="Z757" i="10" s="1"/>
  <c r="L706" i="10"/>
  <c r="M706" i="10" s="1"/>
  <c r="Z772" i="10" s="1"/>
  <c r="L694" i="10"/>
  <c r="M694" i="10" s="1"/>
  <c r="Z760" i="10" s="1"/>
  <c r="L669" i="10"/>
  <c r="M669" i="10" s="1"/>
  <c r="Z735" i="10" s="1"/>
  <c r="L702" i="10"/>
  <c r="M702" i="10" s="1"/>
  <c r="Z768" i="10" s="1"/>
  <c r="L700" i="10"/>
  <c r="M700" i="10" s="1"/>
  <c r="Z766" i="10" s="1"/>
  <c r="L712" i="10"/>
  <c r="M712" i="10" s="1"/>
  <c r="Z778" i="10" s="1"/>
  <c r="L685" i="10"/>
  <c r="M685" i="10" s="1"/>
  <c r="Z751" i="10" s="1"/>
  <c r="L710" i="10"/>
  <c r="M710" i="10" s="1"/>
  <c r="Z776" i="10" s="1"/>
  <c r="L682" i="10"/>
  <c r="M682" i="10" s="1"/>
  <c r="Z748" i="10" s="1"/>
  <c r="L704" i="10"/>
  <c r="M704" i="10" s="1"/>
  <c r="Z770" i="10" s="1"/>
  <c r="L688" i="10"/>
  <c r="M688" i="10" s="1"/>
  <c r="Z754" i="10" s="1"/>
  <c r="L705" i="10"/>
  <c r="M705" i="10" s="1"/>
  <c r="Z771" i="10" s="1"/>
  <c r="L678" i="10"/>
  <c r="M678" i="10" s="1"/>
  <c r="Z744" i="10" s="1"/>
  <c r="L703" i="10"/>
  <c r="M703" i="10" s="1"/>
  <c r="Z769" i="10" s="1"/>
  <c r="L674" i="10"/>
  <c r="M674" i="10" s="1"/>
  <c r="Z740" i="10" s="1"/>
  <c r="L695" i="10"/>
  <c r="M695" i="10" s="1"/>
  <c r="Z761" i="10" s="1"/>
  <c r="L693" i="10"/>
  <c r="M693" i="10" s="1"/>
  <c r="Z759" i="10" s="1"/>
  <c r="L675" i="10"/>
  <c r="M675" i="10" s="1"/>
  <c r="Z741" i="10" s="1"/>
  <c r="L686" i="10"/>
  <c r="M686" i="10" s="1"/>
  <c r="Z752" i="10" s="1"/>
  <c r="L673" i="10"/>
  <c r="M673" i="10" s="1"/>
  <c r="Z739" i="10" s="1"/>
  <c r="L676" i="10"/>
  <c r="M676" i="10" s="1"/>
  <c r="Z742" i="10" s="1"/>
  <c r="L667" i="10"/>
  <c r="L699" i="10"/>
  <c r="M699" i="10" s="1"/>
  <c r="Z765" i="10" s="1"/>
  <c r="L684" i="10"/>
  <c r="M684" i="10" s="1"/>
  <c r="Z750" i="10" s="1"/>
  <c r="L687" i="10"/>
  <c r="M687" i="10" s="1"/>
  <c r="Z753" i="10" s="1"/>
  <c r="L671" i="10"/>
  <c r="M671" i="10" s="1"/>
  <c r="Z737" i="10" s="1"/>
  <c r="K716" i="1" l="1"/>
  <c r="L700" i="1"/>
  <c r="L706" i="1"/>
  <c r="L716" i="1"/>
  <c r="L676" i="1"/>
  <c r="L708" i="1"/>
  <c r="L670" i="1"/>
  <c r="L694" i="1"/>
  <c r="L686" i="1"/>
  <c r="L705" i="1"/>
  <c r="L699" i="1"/>
  <c r="L671" i="1"/>
  <c r="L713" i="1"/>
  <c r="L684" i="1"/>
  <c r="L672" i="1"/>
  <c r="L673" i="1"/>
  <c r="L682" i="1"/>
  <c r="L681" i="1"/>
  <c r="L693" i="1"/>
  <c r="L692" i="1"/>
  <c r="L689" i="1"/>
  <c r="L669" i="1"/>
  <c r="M669" i="1" s="1"/>
  <c r="D23" i="9" s="1"/>
  <c r="L668" i="1"/>
  <c r="L701" i="1"/>
  <c r="K696" i="1"/>
  <c r="M696" i="1" s="1"/>
  <c r="K701" i="1"/>
  <c r="K704" i="1"/>
  <c r="M704" i="1" s="1"/>
  <c r="K690" i="1"/>
  <c r="M690" i="1" s="1"/>
  <c r="K677" i="1"/>
  <c r="M677" i="1" s="1"/>
  <c r="E55" i="9" s="1"/>
  <c r="K712" i="1"/>
  <c r="M712" i="1" s="1"/>
  <c r="E215" i="9" s="1"/>
  <c r="K682" i="1"/>
  <c r="K674" i="1"/>
  <c r="M674" i="1" s="1"/>
  <c r="K688" i="1"/>
  <c r="M688" i="1" s="1"/>
  <c r="I87" i="9" s="1"/>
  <c r="K703" i="1"/>
  <c r="K710" i="1"/>
  <c r="M710" i="1" s="1"/>
  <c r="C215" i="9" s="1"/>
  <c r="K697" i="1"/>
  <c r="M697" i="1" s="1"/>
  <c r="D151" i="9" s="1"/>
  <c r="K684" i="1"/>
  <c r="K668" i="1"/>
  <c r="M668" i="1" s="1"/>
  <c r="K671" i="1"/>
  <c r="K687" i="1"/>
  <c r="M687" i="1" s="1"/>
  <c r="K700" i="1"/>
  <c r="K679" i="1"/>
  <c r="M679" i="1" s="1"/>
  <c r="G55" i="9" s="1"/>
  <c r="K675" i="1"/>
  <c r="M675" i="1" s="1"/>
  <c r="C55" i="9" s="1"/>
  <c r="K689" i="1"/>
  <c r="K705" i="1"/>
  <c r="M705" i="1" s="1"/>
  <c r="E183" i="9" s="1"/>
  <c r="K702" i="1"/>
  <c r="M702" i="1" s="1"/>
  <c r="I151" i="9" s="1"/>
  <c r="K706" i="1"/>
  <c r="K681" i="1"/>
  <c r="M681" i="1" s="1"/>
  <c r="I55" i="9" s="1"/>
  <c r="K685" i="1"/>
  <c r="M685" i="1" s="1"/>
  <c r="K699" i="1"/>
  <c r="K678" i="1"/>
  <c r="M678" i="1" s="1"/>
  <c r="F55" i="9" s="1"/>
  <c r="K709" i="1"/>
  <c r="M709" i="1" s="1"/>
  <c r="K698" i="1"/>
  <c r="M698" i="1" s="1"/>
  <c r="K680" i="1"/>
  <c r="M680" i="1" s="1"/>
  <c r="K707" i="1"/>
  <c r="M707" i="1" s="1"/>
  <c r="K711" i="1"/>
  <c r="M711" i="1" s="1"/>
  <c r="K694" i="1"/>
  <c r="K693" i="1"/>
  <c r="K708" i="1"/>
  <c r="K676" i="1"/>
  <c r="K683" i="1"/>
  <c r="M683" i="1" s="1"/>
  <c r="K713" i="1"/>
  <c r="K692" i="1"/>
  <c r="K670" i="1"/>
  <c r="M670" i="1" s="1"/>
  <c r="E23" i="9" s="1"/>
  <c r="K672" i="1"/>
  <c r="K673" i="1"/>
  <c r="K686" i="1"/>
  <c r="K695" i="1"/>
  <c r="M695" i="1" s="1"/>
  <c r="I119" i="9" s="1"/>
  <c r="K691" i="1"/>
  <c r="M691" i="1" s="1"/>
  <c r="M703" i="1"/>
  <c r="C183" i="9" s="1"/>
  <c r="L714" i="10"/>
  <c r="M667" i="10"/>
  <c r="M684" i="1" l="1"/>
  <c r="E87" i="9" s="1"/>
  <c r="M672" i="1"/>
  <c r="M694" i="1"/>
  <c r="M673" i="1"/>
  <c r="H23" i="9" s="1"/>
  <c r="M686" i="1"/>
  <c r="G87" i="9" s="1"/>
  <c r="M682" i="1"/>
  <c r="M713" i="1"/>
  <c r="F215" i="9" s="1"/>
  <c r="M701" i="1"/>
  <c r="L715" i="1"/>
  <c r="M676" i="1"/>
  <c r="D55" i="9" s="1"/>
  <c r="M689" i="1"/>
  <c r="C119" i="9" s="1"/>
  <c r="M693" i="1"/>
  <c r="G119" i="9" s="1"/>
  <c r="M699" i="1"/>
  <c r="F151" i="9" s="1"/>
  <c r="M700" i="1"/>
  <c r="M708" i="1"/>
  <c r="H183" i="9" s="1"/>
  <c r="M692" i="1"/>
  <c r="M706" i="1"/>
  <c r="M671" i="1"/>
  <c r="F23" i="9" s="1"/>
  <c r="D183" i="9"/>
  <c r="H87" i="9"/>
  <c r="D119" i="9"/>
  <c r="H55" i="9"/>
  <c r="I23" i="9"/>
  <c r="F87" i="9"/>
  <c r="E151" i="9"/>
  <c r="G183" i="9"/>
  <c r="K715" i="1"/>
  <c r="I183" i="9"/>
  <c r="G23" i="9"/>
  <c r="H119" i="9"/>
  <c r="D215" i="9"/>
  <c r="C151" i="9"/>
  <c r="E119" i="9"/>
  <c r="D87" i="9"/>
  <c r="C23" i="9"/>
  <c r="Z733" i="10"/>
  <c r="Z814" i="10" s="1"/>
  <c r="M714" i="10"/>
  <c r="E200" i="1"/>
  <c r="F12" i="6" s="1"/>
  <c r="B204" i="1"/>
  <c r="C16" i="6" s="1"/>
  <c r="C12" i="6"/>
  <c r="C87" i="9" l="1"/>
  <c r="F119" i="9"/>
  <c r="H151" i="9"/>
  <c r="F183" i="9"/>
  <c r="M715" i="1"/>
  <c r="G151" i="9"/>
  <c r="C473" i="1"/>
  <c r="E204" i="1"/>
  <c r="C476" i="1" l="1"/>
  <c r="F16" i="6"/>
  <c r="D314" i="1"/>
  <c r="C68" i="8" s="1"/>
  <c r="D329" i="1"/>
  <c r="D330" i="1" s="1"/>
  <c r="C86" i="8" s="1"/>
  <c r="C67" i="8"/>
  <c r="C85" i="8" l="1"/>
  <c r="D339" i="1"/>
  <c r="C102" i="8" s="1"/>
  <c r="C482" i="1" l="1"/>
</calcChain>
</file>

<file path=xl/sharedStrings.xml><?xml version="1.0" encoding="utf-8"?>
<sst xmlns="http://schemas.openxmlformats.org/spreadsheetml/2006/main" count="4752" uniqueCount="1289">
  <si>
    <t xml:space="preserve">B thru G.  Increases or decreases in operating expenses per unit of measure exceeding 25% are stated in column H.  Please submit an </t>
  </si>
  <si>
    <t>attachment with the report that addresses why those changes took place.  Also please provide any corrections that might be in order.</t>
  </si>
  <si>
    <t>If you want to review what you reported for the prior year you can click on the tab titled prior year.</t>
  </si>
  <si>
    <t>Employee Benefits</t>
  </si>
  <si>
    <t>1)    Enter the amount of employee benefits directly recorded in cell B47.</t>
  </si>
  <si>
    <t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</si>
  <si>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</si>
  <si>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</si>
  <si>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>1)    Enter the total amount of depreciation directly assigned in cell B51.</t>
  </si>
  <si>
    <t xml:space="preserve">3)    Enter the amount of depreciation that will be assigned by square footage in cell B52.  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</si>
  <si>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</si>
  <si>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</si>
  <si>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</si>
  <si>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</si>
  <si>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</si>
  <si>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</si>
  <si>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</si>
  <si>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</si>
  <si>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</si>
  <si>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</si>
  <si>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</si>
  <si>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</si>
  <si>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</si>
  <si>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</si>
  <si>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</si>
  <si>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</si>
  <si>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</si>
  <si>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</si>
  <si>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</si>
  <si>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</si>
  <si>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</si>
  <si>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</si>
  <si>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</si>
  <si>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</si>
  <si>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</si>
  <si>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</si>
  <si>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</si>
  <si>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</si>
  <si>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</si>
  <si>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</si>
  <si>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</si>
  <si>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</si>
  <si>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</si>
  <si>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</si>
  <si>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</si>
  <si>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</si>
  <si>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</si>
  <si>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</si>
  <si>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</si>
  <si>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</si>
  <si>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</si>
  <si>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</si>
  <si>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</si>
  <si>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</si>
  <si>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</si>
  <si>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</si>
  <si>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</si>
  <si>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</si>
  <si>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</si>
  <si>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</si>
  <si>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</si>
  <si>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</si>
  <si>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</si>
  <si>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</si>
  <si>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</si>
  <si>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</si>
  <si>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</si>
  <si>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</si>
  <si>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</si>
  <si>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</si>
  <si>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</si>
  <si>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</si>
  <si>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</si>
  <si>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</si>
  <si>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</si>
  <si>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</si>
  <si>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</si>
  <si>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</si>
  <si>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</si>
  <si>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</si>
  <si>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</si>
  <si>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</si>
  <si>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</si>
  <si>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</si>
  <si>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</si>
  <si>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</si>
  <si>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</si>
  <si>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</si>
  <si>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</si>
  <si>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</si>
  <si>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</si>
  <si>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</si>
  <si>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</si>
  <si>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</si>
  <si>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</si>
  <si>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</si>
  <si>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</si>
  <si>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</si>
  <si>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</si>
  <si>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</si>
  <si>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</si>
  <si>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</si>
  <si>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</si>
  <si>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</si>
  <si>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</si>
  <si>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</si>
  <si>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</si>
  <si>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</si>
  <si>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</si>
  <si>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</si>
  <si>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</si>
  <si>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</si>
  <si>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</si>
  <si>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</si>
  <si>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</si>
  <si>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</si>
  <si>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</si>
  <si>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</si>
  <si>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</si>
  <si>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</si>
  <si>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</si>
  <si>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</si>
  <si>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</si>
  <si>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</si>
  <si>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</si>
  <si>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</si>
  <si>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</si>
  <si>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</si>
  <si>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</si>
  <si>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</si>
  <si>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</si>
  <si>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</si>
  <si>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</si>
  <si>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</si>
  <si>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</si>
  <si>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</si>
  <si>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</si>
  <si>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</si>
  <si>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</si>
  <si>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</si>
  <si>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</si>
  <si>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</si>
  <si>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</si>
  <si>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</si>
  <si>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</si>
  <si>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</si>
  <si>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</si>
  <si>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</si>
  <si>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</si>
  <si>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</si>
  <si>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</si>
  <si>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</si>
  <si>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</si>
  <si>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</si>
  <si>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</si>
  <si>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</si>
  <si>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</si>
  <si>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</si>
  <si>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</si>
  <si>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</si>
  <si>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</si>
  <si>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</si>
  <si>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</si>
  <si>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</si>
  <si>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</si>
  <si>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</si>
  <si>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</si>
  <si>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</si>
  <si>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</si>
  <si>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</si>
  <si>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</si>
  <si>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</si>
  <si>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</si>
  <si>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</si>
  <si>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</si>
  <si>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</si>
  <si>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</si>
  <si>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</si>
  <si>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</si>
  <si>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</si>
  <si>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</si>
  <si>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</si>
  <si>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</si>
  <si>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</si>
  <si>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</si>
  <si>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</si>
  <si>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</si>
  <si>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</si>
  <si>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</si>
  <si>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</si>
  <si>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</si>
  <si>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</si>
  <si>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</si>
  <si>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</si>
  <si>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</si>
  <si>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</si>
  <si>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</si>
  <si>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</si>
  <si>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</si>
  <si>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</si>
  <si>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</si>
  <si>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</si>
  <si>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</si>
  <si>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</si>
  <si>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</si>
  <si>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</si>
  <si>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</si>
  <si>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</si>
  <si>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</si>
  <si>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</si>
  <si>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</si>
  <si>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</si>
  <si>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</si>
  <si>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</si>
  <si>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</si>
  <si>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</si>
  <si>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</si>
  <si>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</si>
  <si>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</si>
  <si>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</si>
  <si>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</si>
  <si>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</si>
  <si>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</si>
  <si>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</si>
  <si>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</si>
  <si>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</si>
  <si>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</si>
  <si>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</si>
  <si>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</si>
  <si>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</si>
  <si>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</si>
  <si>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</si>
  <si>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</si>
  <si>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</si>
  <si>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</si>
  <si>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</si>
  <si>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</si>
  <si>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</si>
  <si>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</si>
  <si>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</si>
  <si>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</si>
  <si>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</si>
  <si>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</si>
  <si>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</si>
  <si>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</si>
  <si>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</si>
  <si>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</si>
  <si>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</si>
  <si>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</si>
  <si>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</si>
  <si>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</si>
  <si>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</si>
  <si>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</si>
  <si>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</si>
  <si>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</si>
  <si>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>License Number</t>
  </si>
  <si>
    <t>:</t>
  </si>
  <si>
    <t>Hospital Name</t>
  </si>
  <si>
    <t>City, State, Zip</t>
  </si>
  <si>
    <t>County</t>
  </si>
  <si>
    <t>Chief Executive Officer</t>
  </si>
  <si>
    <t>Chief Financial Officer</t>
  </si>
  <si>
    <t>Chair of Governing Board</t>
  </si>
  <si>
    <t>Telephone Number</t>
  </si>
  <si>
    <t>Facsimile Number</t>
  </si>
  <si>
    <t>TYPE OF ORGANIZATION  (If applies enter 1)</t>
  </si>
  <si>
    <t>Governmental</t>
  </si>
  <si>
    <t>State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</si>
  <si>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</si>
  <si>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</si>
  <si>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</si>
  <si>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</si>
  <si>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</si>
  <si>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</si>
  <si>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</si>
  <si>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</si>
  <si>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</si>
  <si>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</si>
  <si>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</si>
  <si>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</si>
  <si>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</si>
  <si>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</si>
  <si>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</si>
  <si>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</si>
  <si>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</si>
  <si>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</si>
  <si>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</si>
  <si>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</si>
  <si>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</si>
  <si>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</si>
  <si>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</si>
  <si>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</si>
  <si>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</si>
  <si>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</si>
  <si>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</si>
  <si>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</si>
  <si>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</si>
  <si>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</si>
  <si>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</si>
  <si>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</si>
  <si>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</si>
  <si>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</si>
  <si>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</si>
  <si>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</si>
  <si>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</si>
  <si>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</si>
  <si>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</si>
  <si>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</si>
  <si>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</si>
  <si>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</si>
  <si>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</si>
  <si>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</si>
  <si>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</si>
  <si>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</si>
  <si>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</si>
  <si>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</si>
  <si>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</si>
  <si>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</si>
  <si>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</si>
  <si>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</si>
  <si>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</si>
  <si>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</si>
  <si>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</si>
  <si>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</si>
  <si>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</si>
  <si>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</si>
  <si>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</si>
  <si>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</si>
  <si>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</si>
  <si>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</si>
  <si>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</si>
  <si>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</si>
  <si>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</si>
  <si>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</si>
  <si>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</si>
  <si>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</si>
  <si>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</si>
  <si>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</si>
  <si>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</si>
  <si>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</si>
  <si>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</si>
  <si>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</si>
  <si>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</si>
  <si>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</si>
  <si>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</si>
  <si>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</si>
  <si>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</si>
  <si>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</si>
  <si>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</si>
  <si>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</si>
  <si>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</si>
  <si>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</si>
  <si>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</si>
  <si>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</si>
  <si>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</si>
  <si>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</si>
  <si>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</si>
  <si>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</si>
  <si>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</si>
  <si>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</si>
  <si>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</si>
  <si>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</si>
  <si>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</si>
  <si>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</si>
  <si>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</si>
  <si>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</si>
  <si>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</si>
  <si>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</si>
  <si>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</si>
  <si>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</si>
  <si>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</si>
  <si>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</si>
  <si>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</si>
  <si>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</si>
  <si>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</si>
  <si>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</si>
  <si>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</si>
  <si>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</si>
  <si>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</si>
  <si>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</si>
  <si>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</si>
  <si>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</si>
  <si>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</si>
  <si>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</si>
  <si>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</si>
  <si>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</si>
  <si>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</si>
  <si>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</si>
  <si>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</si>
  <si>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</si>
  <si>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</si>
  <si>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</si>
  <si>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</si>
  <si>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</si>
  <si>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</si>
  <si>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</si>
  <si>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</si>
  <si>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</si>
  <si>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</si>
  <si>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</si>
  <si>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</si>
  <si>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</si>
  <si>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</si>
  <si>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</si>
  <si>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</si>
  <si>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</si>
  <si>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</si>
  <si>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</si>
  <si>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</si>
  <si>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</si>
  <si>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</si>
  <si>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</si>
  <si>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</si>
  <si>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</si>
  <si>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</si>
  <si>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</si>
  <si>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</si>
  <si>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</si>
  <si>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Noncurrent Liabilities</t>
  </si>
  <si>
    <t>Less Current Maturities LTD</t>
  </si>
  <si>
    <t>Total Long Term Debt</t>
  </si>
  <si>
    <t>Unrestricted Fund Balance</t>
  </si>
  <si>
    <t>Retained Earnings</t>
  </si>
  <si>
    <t>Additional Paid In Capital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</si>
  <si>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</si>
  <si>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</si>
  <si>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</si>
  <si>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</si>
  <si>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</si>
  <si>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</si>
  <si>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</si>
  <si>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</si>
  <si>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</si>
  <si>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</si>
  <si>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</si>
  <si>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</si>
  <si>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</si>
  <si>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</si>
  <si>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</si>
  <si>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</si>
  <si>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</si>
  <si>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</si>
  <si>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</si>
  <si>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</si>
  <si>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</si>
  <si>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</si>
  <si>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</si>
  <si>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</si>
  <si>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</si>
  <si>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</si>
  <si>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Provision for Bad Debts</t>
  </si>
  <si>
    <t>Other Direct Expense</t>
  </si>
  <si>
    <t>Total Operating Expenses</t>
  </si>
  <si>
    <t>Net Operating Revenue</t>
  </si>
  <si>
    <t>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</si>
  <si>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</si>
  <si>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</si>
  <si>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</si>
  <si>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</si>
  <si>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EDIT</t>
  </si>
  <si>
    <t>VOLUME:</t>
  </si>
  <si>
    <t>Info Page</t>
  </si>
  <si>
    <t>CC Detail</t>
  </si>
  <si>
    <t>Hospital Admissions</t>
  </si>
  <si>
    <t>Hospital Patient Days</t>
  </si>
  <si>
    <t>SNF/Swing Admissions</t>
  </si>
  <si>
    <t>SNF/Swing Patient Days</t>
  </si>
  <si>
    <t>ATC Admissions</t>
  </si>
  <si>
    <t>ATC Patient Days</t>
  </si>
  <si>
    <t>Newborn Admissions</t>
  </si>
  <si>
    <t>OPERATING EXPENSES:</t>
  </si>
  <si>
    <t>FS-3</t>
  </si>
  <si>
    <t>Support Sched.</t>
  </si>
  <si>
    <t>Salaries</t>
  </si>
  <si>
    <t>Leases/Rentals</t>
  </si>
  <si>
    <t>Licenses &amp; Taxes</t>
  </si>
  <si>
    <t>Ins, Lic. &amp; Taxes, and Interest</t>
  </si>
  <si>
    <t>Total Other Direct Expense</t>
  </si>
  <si>
    <t>Total Expenses</t>
  </si>
  <si>
    <t>DEDUCTIONS:</t>
  </si>
  <si>
    <t>SS-8</t>
  </si>
  <si>
    <t>CHARITY CARE</t>
  </si>
  <si>
    <t>Deductions</t>
  </si>
  <si>
    <t>From Revenue</t>
  </si>
  <si>
    <t># Of Patients</t>
  </si>
  <si>
    <t>OTHER REVENUES:</t>
  </si>
  <si>
    <t>CC-DETAIL</t>
  </si>
  <si>
    <t>Other Revenue</t>
  </si>
  <si>
    <t>PATIENT SERVICE REVENUE:</t>
  </si>
  <si>
    <t>PAYOR</t>
  </si>
  <si>
    <t>INFO</t>
  </si>
  <si>
    <t>FIXED ASSET ENDING BALANCES:</t>
  </si>
  <si>
    <t>FS-1</t>
  </si>
  <si>
    <t>SS-4</t>
  </si>
  <si>
    <t>Fixed Equip - Bldg Serv</t>
  </si>
  <si>
    <t>Equipment (Moveable)</t>
  </si>
  <si>
    <t>Accum Depre Ending Balance</t>
  </si>
  <si>
    <t>Balance Sheet</t>
  </si>
  <si>
    <t>FS-1   Assets</t>
  </si>
  <si>
    <t>FS-1  Liabilities &amp; Fund Balance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</si>
  <si>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</si>
  <si>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</si>
  <si>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varies by more or less than 25 %, the variance appears in column H.</t>
  </si>
  <si>
    <t>If the percentage change is more or less than 25%., please provide an explanation that is provided as an attachment with your</t>
  </si>
  <si>
    <t>year end report submittal.  Also please provide any corrections required to the prior years information.</t>
  </si>
  <si>
    <t>Operating</t>
  </si>
  <si>
    <t xml:space="preserve">Units of </t>
  </si>
  <si>
    <t>Op Exp /</t>
  </si>
  <si>
    <t xml:space="preserve">% chg </t>
  </si>
  <si>
    <t>Measure</t>
  </si>
  <si>
    <t>U O M</t>
  </si>
  <si>
    <t>&lt;&gt; 25%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</si>
  <si>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</si>
  <si>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</si>
  <si>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</si>
  <si>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</si>
  <si>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</si>
  <si>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</si>
  <si>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</si>
  <si>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</si>
  <si>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</si>
  <si>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</si>
  <si>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</si>
  <si>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</si>
  <si>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</si>
  <si>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</si>
  <si>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</si>
  <si>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</si>
  <si>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</si>
  <si>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</si>
  <si>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</si>
  <si>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</si>
  <si>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</si>
  <si>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</si>
  <si>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</si>
  <si>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</si>
  <si>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</si>
  <si>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</si>
  <si>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</si>
  <si>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</si>
  <si>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</si>
  <si>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</si>
  <si>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</si>
  <si>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</si>
  <si>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</si>
  <si>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</si>
  <si>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</si>
  <si>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</si>
  <si>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</si>
  <si>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</si>
  <si>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</si>
  <si>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</si>
  <si>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</si>
  <si>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</si>
  <si>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</si>
  <si>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</si>
  <si>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</si>
  <si>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</si>
  <si>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</si>
  <si>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</si>
  <si>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</si>
  <si>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</si>
  <si>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</si>
  <si>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</si>
  <si>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</si>
  <si>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</si>
  <si>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</si>
  <si>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</si>
  <si>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</si>
  <si>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</si>
  <si>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</si>
  <si>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</si>
  <si>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</si>
  <si>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</si>
  <si>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</si>
  <si>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</si>
  <si>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</si>
  <si>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</si>
  <si>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</si>
  <si>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</si>
  <si>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</si>
  <si>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</si>
  <si>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</si>
  <si>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</si>
  <si>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</si>
  <si>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</si>
  <si>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</si>
  <si>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</si>
  <si>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</si>
  <si>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</si>
  <si>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</si>
  <si>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</si>
  <si>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</si>
  <si>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</si>
  <si>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</si>
  <si>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</si>
  <si>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</si>
  <si>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</si>
  <si>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</si>
  <si>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</si>
  <si>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</si>
  <si>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</si>
  <si>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</si>
  <si>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</si>
  <si>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</si>
  <si>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</si>
  <si>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</si>
  <si>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</si>
  <si>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</si>
  <si>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</si>
  <si>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</si>
  <si>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</si>
  <si>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</si>
  <si>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</si>
  <si>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</si>
  <si>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</si>
  <si>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</si>
  <si>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</si>
  <si>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</si>
  <si>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</si>
  <si>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</si>
  <si>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</si>
  <si>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</si>
  <si>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</si>
  <si>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</si>
  <si>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</si>
  <si>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</si>
  <si>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</si>
  <si>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</si>
  <si>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</si>
  <si>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</si>
  <si>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</si>
  <si>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</si>
  <si>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</si>
  <si>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</si>
  <si>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</si>
  <si>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</si>
  <si>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</si>
  <si>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</si>
  <si>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</si>
  <si>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</si>
  <si>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</si>
  <si>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</si>
  <si>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</si>
  <si>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</si>
  <si>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</si>
  <si>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</si>
  <si>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</si>
  <si>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</si>
  <si>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</si>
  <si>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</si>
  <si>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</si>
  <si>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</si>
  <si>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</si>
  <si>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</si>
  <si>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</si>
  <si>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</si>
  <si>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</si>
  <si>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</si>
  <si>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</si>
  <si>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</si>
  <si>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</si>
  <si>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</si>
  <si>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</si>
  <si>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</si>
  <si>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</si>
  <si>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</si>
  <si>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</si>
  <si>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</si>
  <si>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</si>
  <si>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</si>
  <si>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</si>
  <si>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</si>
  <si>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</si>
  <si>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</si>
  <si>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</si>
  <si>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</si>
  <si>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</si>
  <si>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</si>
  <si>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</si>
  <si>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</si>
  <si>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</si>
  <si>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</si>
  <si>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</si>
  <si>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</si>
  <si>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</si>
  <si>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</si>
  <si>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</si>
  <si>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</si>
  <si>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</si>
  <si>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</si>
  <si>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</si>
  <si>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</si>
  <si>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</si>
  <si>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</si>
  <si>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</si>
  <si>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</si>
  <si>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</si>
  <si>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</si>
  <si>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</si>
  <si>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</si>
  <si>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</si>
  <si>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</si>
  <si>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</si>
  <si>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</si>
  <si>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</si>
  <si>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</si>
  <si>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</si>
  <si>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</si>
  <si>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</si>
  <si>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</si>
  <si>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</si>
  <si>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</si>
  <si>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</si>
  <si>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</si>
  <si>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</si>
  <si>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</si>
  <si>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</si>
  <si>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</si>
  <si>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</si>
  <si>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</si>
  <si>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</si>
  <si>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</si>
  <si>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</si>
  <si>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</si>
  <si>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</si>
  <si>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</si>
  <si>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</si>
  <si>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</si>
  <si>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</si>
  <si>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</si>
  <si>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</si>
  <si>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</si>
  <si>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</si>
  <si>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</si>
  <si>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</si>
  <si>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</si>
  <si>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</si>
  <si>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</si>
  <si>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</si>
  <si>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</si>
  <si>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</si>
  <si>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</si>
  <si>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</si>
  <si>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Support</t>
  </si>
  <si>
    <t>@ID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</si>
  <si>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</si>
  <si>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</si>
  <si>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</si>
  <si>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</si>
  <si>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</si>
  <si>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</si>
  <si>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</si>
  <si>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</si>
  <si>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</si>
  <si>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</si>
  <si>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</si>
  <si>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</si>
  <si>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</si>
  <si>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</si>
  <si>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</si>
  <si>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</si>
  <si>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</si>
  <si>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</si>
  <si>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</si>
  <si>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</si>
  <si>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</si>
  <si>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</si>
  <si>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</si>
  <si>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</si>
  <si>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</si>
  <si>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</si>
  <si>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</si>
  <si>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</si>
  <si>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</si>
  <si>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</si>
  <si>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</si>
  <si>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</si>
  <si>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</si>
  <si>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</si>
  <si>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</si>
  <si>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</si>
  <si>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</si>
  <si>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</si>
  <si>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</si>
  <si>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</si>
  <si>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</si>
  <si>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</si>
  <si>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</si>
  <si>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</si>
  <si>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</si>
  <si>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</si>
  <si>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</si>
  <si>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</si>
  <si>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</si>
  <si>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</si>
  <si>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</si>
  <si>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</si>
  <si>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</si>
  <si>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</si>
  <si>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</si>
  <si>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</si>
  <si>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</si>
  <si>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</si>
  <si>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</si>
  <si>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</si>
  <si>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</si>
  <si>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</si>
  <si>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</si>
  <si>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</si>
  <si>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</si>
  <si>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</si>
  <si>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</si>
  <si>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</si>
  <si>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</si>
  <si>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</si>
  <si>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</si>
  <si>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</si>
  <si>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</si>
  <si>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</si>
  <si>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</si>
  <si>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</si>
  <si>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</si>
  <si>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</si>
  <si>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</si>
  <si>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</si>
  <si>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</si>
  <si>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</si>
  <si>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</si>
  <si>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</si>
  <si>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</si>
  <si>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</si>
  <si>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</si>
  <si>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</si>
  <si>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</si>
  <si>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</si>
  <si>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</si>
  <si>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</si>
  <si>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</si>
  <si>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</si>
  <si>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</si>
  <si>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</si>
  <si>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</si>
  <si>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</si>
  <si>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YICF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</si>
  <si>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</si>
  <si>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</si>
  <si>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</si>
  <si>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</si>
  <si>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</si>
  <si>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</si>
  <si>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</si>
  <si>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</si>
  <si>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</si>
  <si>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</si>
  <si>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</si>
  <si>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</si>
  <si>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</si>
  <si>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</si>
  <si>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</si>
  <si>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</si>
  <si>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</si>
  <si>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</si>
  <si>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</si>
  <si>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</si>
  <si>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</si>
  <si>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</si>
  <si>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</si>
  <si>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</si>
  <si>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</si>
  <si>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</si>
  <si>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</si>
  <si>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</si>
  <si>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</si>
  <si>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</si>
  <si>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</si>
  <si>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</si>
  <si>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</si>
  <si>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</si>
  <si>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</si>
  <si>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</si>
  <si>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</si>
  <si>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</si>
  <si>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</si>
  <si>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</si>
  <si>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</si>
  <si>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</si>
  <si>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</si>
  <si>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</si>
  <si>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</si>
  <si>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</si>
  <si>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</si>
  <si>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</si>
  <si>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</si>
  <si>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</si>
  <si>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Funds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</si>
  <si>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</si>
  <si>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</si>
  <si>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</si>
  <si>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</si>
  <si>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</si>
  <si>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</si>
  <si>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</si>
  <si>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</si>
  <si>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</si>
  <si>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</si>
  <si>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</si>
  <si>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</si>
  <si>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</si>
  <si>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</si>
  <si>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</si>
  <si>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</si>
  <si>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</si>
  <si>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</si>
  <si>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</si>
  <si>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</si>
  <si>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</si>
  <si>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</si>
  <si>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</si>
  <si>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</si>
  <si>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</si>
  <si>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</si>
  <si>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</si>
  <si>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</si>
  <si>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</si>
  <si>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</si>
  <si>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</si>
  <si>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</si>
  <si>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</si>
  <si>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</si>
  <si>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</si>
  <si>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</si>
  <si>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</si>
  <si>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</si>
  <si>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</si>
  <si>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</si>
  <si>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</si>
  <si>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</si>
  <si>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</si>
  <si>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</si>
  <si>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</si>
  <si>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</si>
  <si>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</si>
  <si>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</si>
  <si>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</si>
  <si>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</si>
  <si>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</si>
  <si>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</si>
  <si>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</si>
  <si>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</si>
  <si>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</si>
  <si>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</si>
  <si>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</si>
  <si>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</si>
  <si>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YBSEOE</t>
  </si>
  <si>
    <t>YCSFTE</t>
  </si>
  <si>
    <t>YCSIPR</t>
  </si>
  <si>
    <t>YCSOPR</t>
  </si>
  <si>
    <t>YCSCA</t>
  </si>
  <si>
    <t>YCSCUC</t>
  </si>
  <si>
    <t>YCSOAA</t>
  </si>
  <si>
    <t>YCSOOR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</si>
  <si>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</si>
  <si>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</si>
  <si>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</si>
  <si>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</si>
  <si>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</si>
  <si>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</si>
  <si>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</si>
  <si>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</si>
  <si>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</si>
  <si>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</si>
  <si>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</si>
  <si>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</si>
  <si>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</si>
  <si>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</si>
  <si>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YCSNORNE</t>
  </si>
  <si>
    <t>YCSEI</t>
  </si>
  <si>
    <t>YCSFIT</t>
  </si>
  <si>
    <t>Costcenter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</si>
  <si>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</si>
  <si>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</si>
  <si>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</si>
  <si>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</si>
  <si>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</si>
  <si>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</si>
  <si>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</si>
  <si>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</si>
  <si>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</si>
  <si>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</si>
  <si>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</si>
  <si>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</si>
  <si>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</si>
  <si>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</si>
  <si>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</si>
  <si>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</si>
  <si>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</si>
  <si>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</si>
  <si>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</si>
  <si>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t>YUNAS</t>
  </si>
  <si>
    <t>YUNAREC</t>
  </si>
  <si>
    <t>YTAX</t>
  </si>
  <si>
    <t>SNAR</t>
  </si>
  <si>
    <t>YCAS</t>
  </si>
  <si>
    <t>Upload Costcenter</t>
  </si>
  <si>
    <t>CC's</t>
  </si>
  <si>
    <t>NA</t>
  </si>
  <si>
    <t xml:space="preserve">  ----------------</t>
  </si>
  <si>
    <t>Page 1 of 21</t>
  </si>
  <si>
    <t>TRANSMITTAL AND CERTIFICATION</t>
  </si>
  <si>
    <t>HOSPITAL'S YEAR END REPORT</t>
  </si>
  <si>
    <t>TO</t>
  </si>
  <si>
    <t>The Department of Health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</si>
  <si>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</si>
  <si>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</si>
  <si>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</si>
  <si>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</si>
  <si>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</si>
  <si>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</si>
  <si>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</si>
  <si>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</si>
  <si>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</si>
  <si>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</si>
  <si>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</si>
  <si>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</si>
  <si>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</si>
  <si>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</si>
  <si>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</si>
  <si>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</si>
  <si>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</si>
  <si>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</si>
  <si>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</si>
  <si>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</si>
  <si>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</si>
  <si>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</si>
  <si>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</si>
  <si>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</si>
  <si>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</si>
  <si>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</si>
  <si>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</si>
  <si>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</si>
  <si>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</si>
  <si>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</si>
  <si>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</si>
  <si>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</si>
  <si>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</si>
  <si>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</si>
  <si>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</si>
  <si>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</si>
  <si>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</si>
  <si>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</si>
  <si>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</si>
  <si>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</si>
  <si>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</si>
  <si>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</si>
  <si>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</si>
  <si>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</si>
  <si>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</si>
  <si>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</si>
  <si>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</si>
  <si>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</si>
  <si>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</si>
  <si>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</si>
  <si>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</si>
  <si>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</si>
  <si>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</si>
  <si>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</si>
  <si>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</si>
  <si>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</si>
  <si>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</si>
  <si>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</si>
  <si>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</si>
  <si>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</si>
  <si>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</si>
  <si>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</si>
  <si>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</si>
  <si>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</si>
  <si>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</si>
  <si>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</si>
  <si>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</si>
  <si>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</si>
  <si>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</si>
  <si>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</si>
  <si>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</si>
  <si>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</si>
  <si>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</si>
  <si>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</si>
  <si>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</si>
  <si>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</si>
  <si>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</si>
  <si>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</si>
  <si>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</si>
  <si>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</si>
  <si>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</si>
  <si>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</si>
  <si>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</si>
  <si>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</si>
  <si>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</si>
  <si>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</si>
  <si>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</si>
  <si>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</si>
  <si>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</si>
  <si>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</si>
  <si>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</si>
  <si>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</si>
  <si>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</si>
  <si>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</si>
  <si>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</si>
  <si>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</si>
  <si>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</si>
  <si>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</si>
  <si>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</si>
  <si>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</si>
  <si>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</si>
  <si>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</si>
  <si>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</si>
  <si>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</si>
  <si>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</si>
  <si>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</si>
  <si>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</si>
  <si>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</si>
  <si>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</si>
  <si>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</si>
  <si>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</si>
  <si>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</si>
  <si>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</si>
  <si>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</si>
  <si>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</si>
  <si>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</si>
  <si>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</si>
  <si>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</si>
  <si>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</si>
  <si>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</si>
  <si>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</si>
  <si>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</si>
  <si>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</si>
  <si>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</si>
  <si>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</si>
  <si>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</si>
  <si>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</si>
  <si>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</si>
  <si>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</si>
  <si>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Preferred Stock</t>
  </si>
  <si>
    <t>Common Stock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</si>
  <si>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</si>
  <si>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</si>
  <si>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</si>
  <si>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</si>
  <si>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</si>
  <si>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</si>
  <si>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</si>
  <si>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</si>
  <si>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</si>
  <si>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</si>
  <si>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</si>
  <si>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Charity and Uncompensated Care</t>
  </si>
  <si>
    <t>Other Adjustments and Allowances</t>
  </si>
  <si>
    <t>NET PATIENT SERVICE REVENUE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</si>
  <si>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</si>
  <si>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</si>
  <si>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</si>
  <si>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</si>
  <si>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</si>
  <si>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</si>
  <si>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</si>
  <si>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</si>
  <si>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</si>
  <si>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</si>
  <si>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</si>
  <si>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</si>
  <si>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</si>
  <si>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</si>
  <si>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</si>
  <si>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</si>
  <si>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</si>
  <si>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</si>
  <si>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</si>
  <si>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</si>
  <si>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</si>
  <si>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</si>
  <si>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</si>
  <si>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</si>
  <si>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</si>
  <si>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</si>
  <si>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</si>
  <si>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</si>
  <si>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</si>
  <si>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</si>
  <si>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</si>
  <si>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</si>
  <si>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</si>
  <si>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</si>
  <si>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</si>
  <si>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</si>
  <si>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Intravenous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</si>
  <si>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</si>
  <si>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</si>
  <si>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</si>
  <si>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</si>
  <si>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</si>
  <si>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</si>
  <si>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</si>
  <si>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</si>
  <si>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</si>
  <si>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</si>
  <si>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</si>
  <si>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</si>
  <si>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</si>
  <si>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</si>
  <si>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</si>
  <si>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</si>
  <si>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</si>
  <si>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Acquisitions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</si>
  <si>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</si>
  <si>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</si>
  <si>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</si>
  <si>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</si>
  <si>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</si>
  <si>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</si>
  <si>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</si>
  <si>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</si>
  <si>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</si>
  <si>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</si>
  <si>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</si>
  <si>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</si>
  <si>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</si>
  <si>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</si>
  <si>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</si>
  <si>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Your hospital license number and fiscal year end have already been entered. These items need to be in alpha format rather</t>
  </si>
  <si>
    <t>calculated on lines 48 and 52, respectively.</t>
  </si>
  <si>
    <t>To submit your report by electronic mail, please send to:</t>
  </si>
  <si>
    <t>than numeric format in order to pick up correctly for upload to the year end report database.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</si>
  <si>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</si>
  <si>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</si>
  <si>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Please remember to send a signed certification page and an audited financial statement by regular mail when they are available.</t>
  </si>
  <si>
    <t>The employee benefits can be entered directly, assigned to the cost centers based on a percentage of salaries, or a combination of the two.</t>
  </si>
  <si>
    <t>2)    Enter the employee benefits directly recorded by cost center in cells C47..CC47.</t>
  </si>
  <si>
    <t>2)    Enter the amount of depreciation directly recorded by cost center in cells C51..CC51.</t>
  </si>
  <si>
    <t xml:space="preserve">After the salaries and the departmental square footage statistics are entered, the departmental employee benefits and depreciation will be </t>
  </si>
  <si>
    <t>Acute Care - Med/Surg</t>
  </si>
  <si>
    <t>PAYER UNITS OF SERVICE AND REVENUE</t>
  </si>
  <si>
    <t>Rec. From 3rd Party Payers</t>
  </si>
  <si>
    <t>Payables to 3rd Party Payers</t>
  </si>
  <si>
    <t>Payer</t>
  </si>
  <si>
    <t>Newborn Patient Days</t>
  </si>
  <si>
    <t>PAYER</t>
  </si>
  <si>
    <t>7060  Intravenous Therapy</t>
  </si>
  <si>
    <t>7340  Electromyography</t>
  </si>
  <si>
    <t>8200  Research / Education</t>
  </si>
  <si>
    <t>8660  Auxiliary Groups</t>
  </si>
  <si>
    <t>Radiology - Diagnostic</t>
  </si>
  <si>
    <t>Street Address</t>
  </si>
  <si>
    <t>Mailing Address</t>
  </si>
  <si>
    <t>Less: Treasury Stock</t>
  </si>
  <si>
    <t>randall.huyck@doh.wa.gov.</t>
  </si>
  <si>
    <t>If you have any questions or concerns please call Randy Huyck at 360-236-4210 or send an e-mail to</t>
  </si>
  <si>
    <t>It is only necessary to enter data on this page. Items will automatically transfer from this page to the report pages.</t>
  </si>
  <si>
    <t>Provision for Bad Debt</t>
  </si>
  <si>
    <t>Bad Debt</t>
  </si>
  <si>
    <t>The operating expenses, the units of measure and the operating expenses per unit of measure are stated on line 496 thru line 575 in columns</t>
  </si>
  <si>
    <t>hos@doh.wa.gov.</t>
  </si>
  <si>
    <t>The operating expenses, the units of measure and the operating expenses per unit of measure are stated on line 484 thru line 568 in columns</t>
  </si>
  <si>
    <t>Bad Debt Expense</t>
  </si>
  <si>
    <t>YUNABD</t>
  </si>
  <si>
    <t>2013</t>
  </si>
  <si>
    <t>If you have any questions or concerns please call Communty Health Systems at 360-236-4210 or send an e-mail to</t>
  </si>
  <si>
    <t>043</t>
  </si>
  <si>
    <t>Office of Community Health Systems</t>
  </si>
  <si>
    <t>P.O. Box 47853</t>
  </si>
  <si>
    <t>Olympia, Washington 98504-7853</t>
  </si>
  <si>
    <t>DOH FORM 689-182 (Rev 12/05/2017)</t>
  </si>
  <si>
    <t>12/31/2018</t>
  </si>
  <si>
    <t>Lake Chelan Community Hospital</t>
  </si>
  <si>
    <t>503 E Highland</t>
  </si>
  <si>
    <t>Chelan, WA 98816</t>
  </si>
  <si>
    <t>Chelan</t>
  </si>
  <si>
    <t>Steve Patonai</t>
  </si>
  <si>
    <t>Vickie Bodle</t>
  </si>
  <si>
    <t>Phyllis Gleasman</t>
  </si>
  <si>
    <t>509-682-2531</t>
  </si>
  <si>
    <t>509-682-6131</t>
  </si>
  <si>
    <t xml:space="preserve">               159,855</t>
  </si>
  <si>
    <t xml:space="preserve">               416,018</t>
  </si>
  <si>
    <t>12/31/2019</t>
  </si>
  <si>
    <t>George Rohrich</t>
  </si>
  <si>
    <t>Mike Ellis</t>
  </si>
  <si>
    <t>509-682-3300</t>
  </si>
  <si>
    <t>509-682-3475</t>
  </si>
  <si>
    <t>165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</si>
</sst>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_)"/>
    <numFmt numFmtId="165" formatCode="_(* #,##0_);_(* \(#,##0\);_(* &quot;-&quot;??_);_(@_)"/>
    <numFmt numFmtId="166" formatCode="0_);\(0\)"/>
    <numFmt numFmtId="167" formatCode="0.0%"/>
  </numFmts>
  <fonts count="105" x14ac:knownFonts="1">
    <font>
      <sz val="12"/>
      <name val="Courie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8"/>
      <name val="Arial"/>
      <family val="2"/>
    </font>
    <font>
      <sz val="6"/>
      <name val="Arial"/>
      <family val="2"/>
    </font>
    <font>
      <sz val="11"/>
      <color indexed="12"/>
      <name val="Arial"/>
      <family val="2"/>
    </font>
    <font>
      <sz val="11"/>
      <name val="Courier"/>
      <family val="3"/>
    </font>
    <font>
      <u/>
      <sz val="9"/>
      <color indexed="12"/>
      <name val="Courier"/>
      <family val="3"/>
    </font>
    <font>
      <u/>
      <sz val="11"/>
      <color indexed="12"/>
      <name val="Arial"/>
      <family val="2"/>
    </font>
    <font>
      <sz val="9"/>
      <name val="Arial"/>
      <family val="2"/>
    </font>
    <font>
      <sz val="12"/>
      <name val="Courie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</font>
    <font>
      <b/>
      <sz val="15"/>
      <color theme="3"/>
      <name val="Calibri"/>
      <family val="2"/>
    </font>
    <font>
      <b/>
      <sz val="13"/>
      <color theme="3"/>
      <name val="Calibri"/>
      <family val="2"/>
    </font>
    <font>
      <b/>
      <sz val="11"/>
      <color theme="3"/>
      <name val="Calibri"/>
      <family val="2"/>
    </font>
    <font>
      <sz val="12"/>
      <color theme="1"/>
      <name val="Calibri"/>
      <family val="2"/>
    </font>
    <font>
      <sz val="12"/>
      <color theme="0"/>
      <name val="Calibri"/>
      <family val="2"/>
    </font>
    <font>
      <sz val="12"/>
      <color rgb="FF9C0006"/>
      <name val="Calibri"/>
      <family val="2"/>
    </font>
    <font>
      <b/>
      <sz val="12"/>
      <color rgb="FFFA7D00"/>
      <name val="Calibri"/>
      <family val="2"/>
    </font>
    <font>
      <b/>
      <sz val="12"/>
      <color theme="0"/>
      <name val="Calibri"/>
      <family val="2"/>
    </font>
    <font>
      <i/>
      <sz val="12"/>
      <color rgb="FF7F7F7F"/>
      <name val="Calibri"/>
      <family val="2"/>
    </font>
    <font>
      <sz val="12"/>
      <color rgb="FF006100"/>
      <name val="Calibri"/>
      <family val="2"/>
    </font>
    <font>
      <sz val="12"/>
      <color rgb="FF3F3F76"/>
      <name val="Calibri"/>
      <family val="2"/>
    </font>
    <font>
      <sz val="12"/>
      <color rgb="FFFA7D00"/>
      <name val="Calibri"/>
      <family val="2"/>
    </font>
    <font>
      <sz val="12"/>
      <color rgb="FF9C6500"/>
      <name val="Calibri"/>
      <family val="2"/>
    </font>
    <font>
      <b/>
      <sz val="12"/>
      <color rgb="FF3F3F3F"/>
      <name val="Calibri"/>
      <family val="2"/>
    </font>
    <font>
      <b/>
      <sz val="12"/>
      <color theme="1"/>
      <name val="Calibri"/>
      <family val="2"/>
    </font>
    <font>
      <sz val="12"/>
      <color rgb="FFFF0000"/>
      <name val="Calibri"/>
      <family val="2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2"/>
      <name val="Helv"/>
    </font>
    <font>
      <sz val="12"/>
      <name val="Book Antiqua"/>
      <family val="1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rgb="FF000000"/>
      <name val="Times New Roman"/>
      <family val="1"/>
    </font>
    <font>
      <sz val="10"/>
      <color theme="1"/>
      <name val="Segoe UI"/>
      <family val="2"/>
    </font>
    <font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8"/>
      <color indexed="56"/>
      <name val="Cambria"/>
      <family val="2"/>
    </font>
    <font>
      <sz val="10"/>
      <name val="MS Sans Serif"/>
      <family val="2"/>
    </font>
    <font>
      <sz val="10"/>
      <name val="MS Sans Serif"/>
    </font>
    <font>
      <sz val="10"/>
      <color theme="0"/>
      <name val="Arial"/>
      <family val="2"/>
    </font>
    <font>
      <sz val="10"/>
      <color rgb="FF9C0006"/>
      <name val="Arial"/>
      <family val="2"/>
    </font>
    <font>
      <b/>
      <sz val="10"/>
      <color rgb="FFFA7D00"/>
      <name val="Arial"/>
      <family val="2"/>
    </font>
    <font>
      <b/>
      <sz val="10"/>
      <color theme="0"/>
      <name val="Arial"/>
      <family val="2"/>
    </font>
    <font>
      <sz val="11"/>
      <color theme="1"/>
      <name val="Arial"/>
      <family val="2"/>
    </font>
    <font>
      <i/>
      <sz val="10"/>
      <color rgb="FF7F7F7F"/>
      <name val="Arial"/>
      <family val="2"/>
    </font>
    <font>
      <sz val="10"/>
      <color rgb="FF006100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u/>
      <sz val="10"/>
      <color theme="10"/>
      <name val="Arial"/>
      <family val="2"/>
    </font>
    <font>
      <sz val="10"/>
      <color rgb="FF3F3F76"/>
      <name val="Arial"/>
      <family val="2"/>
    </font>
    <font>
      <sz val="10"/>
      <color rgb="FFFA7D00"/>
      <name val="Arial"/>
      <family val="2"/>
    </font>
    <font>
      <sz val="10"/>
      <color rgb="FF9C6500"/>
      <name val="Arial"/>
      <family val="2"/>
    </font>
    <font>
      <b/>
      <sz val="10"/>
      <color rgb="FF3F3F3F"/>
      <name val="Arial"/>
      <family val="2"/>
    </font>
    <font>
      <b/>
      <sz val="10"/>
      <name val="Calibri"/>
      <family val="2"/>
      <scheme val="minor"/>
    </font>
    <font>
      <b/>
      <sz val="26"/>
      <color theme="3"/>
      <name val="Cambria"/>
      <family val="2"/>
      <scheme val="major"/>
    </font>
    <font>
      <b/>
      <sz val="10"/>
      <color theme="0"/>
      <name val="Calibri"/>
      <family val="2"/>
      <scheme val="minor"/>
    </font>
    <font>
      <sz val="10"/>
      <color rgb="FFFF0000"/>
      <name val="Arial"/>
      <family val="2"/>
    </font>
    <font>
      <sz val="10"/>
      <name val="Arial"/>
      <family val="2"/>
    </font>
  </fonts>
  <fills count="6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2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3"/>
      </patternFill>
    </fill>
    <fill>
      <patternFill patternType="solid">
        <fgColor indexed="10"/>
      </patternFill>
    </fill>
    <fill>
      <patternFill patternType="solid">
        <fgColor indexed="55"/>
      </patternFill>
    </fill>
    <fill>
      <patternFill patternType="solid">
        <fgColor theme="0" tint="-4.9989318521683403E-2"/>
        <bgColor indexed="65"/>
      </patternFill>
    </fill>
    <fill>
      <patternFill patternType="solid">
        <fgColor theme="5"/>
        <bgColor indexed="64"/>
      </patternFill>
    </fill>
    <fill>
      <patternFill patternType="solid">
        <fgColor theme="5"/>
        <bgColor indexed="15"/>
      </patternFill>
    </fill>
    <fill>
      <patternFill patternType="solid">
        <fgColor theme="0" tint="-4.9989318521683403E-2"/>
        <bgColor indexed="15"/>
      </patternFill>
    </fill>
    <fill>
      <patternFill patternType="solid">
        <fgColor theme="3"/>
        <bgColor indexed="15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medium">
        <color theme="0" tint="-0.499984740745262"/>
      </top>
      <bottom style="double">
        <color theme="0" tint="-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ck">
        <color theme="0" tint="-0.499984740745262"/>
      </top>
      <bottom style="thick">
        <color theme="0" tint="-0.499984740745262"/>
      </bottom>
      <diagonal/>
    </border>
  </borders>
  <cellStyleXfs count="5996">
    <xf numFmtId="37" fontId="0" fillId="0" borderId="0"/>
    <xf numFmtId="43" fontId="12" fillId="0" borderId="0" applyFon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0" fontId="27" fillId="0" borderId="33" applyNumberFormat="0" applyFill="0" applyAlignment="0" applyProtection="0"/>
    <xf numFmtId="0" fontId="28" fillId="0" borderId="34" applyNumberFormat="0" applyFill="0" applyAlignment="0" applyProtection="0"/>
    <xf numFmtId="0" fontId="29" fillId="0" borderId="35" applyNumberFormat="0" applyFill="0" applyAlignment="0" applyProtection="0"/>
    <xf numFmtId="0" fontId="29" fillId="0" borderId="0" applyNumberFormat="0" applyFill="0" applyBorder="0" applyAlignment="0" applyProtection="0"/>
    <xf numFmtId="0" fontId="30" fillId="10" borderId="0" applyNumberFormat="0" applyBorder="0" applyAlignment="0" applyProtection="0"/>
    <xf numFmtId="0" fontId="31" fillId="11" borderId="0" applyNumberFormat="0" applyBorder="0" applyAlignment="0" applyProtection="0"/>
    <xf numFmtId="0" fontId="32" fillId="13" borderId="36" applyNumberFormat="0" applyAlignment="0" applyProtection="0"/>
    <xf numFmtId="0" fontId="33" fillId="14" borderId="37" applyNumberFormat="0" applyAlignment="0" applyProtection="0"/>
    <xf numFmtId="0" fontId="34" fillId="14" borderId="36" applyNumberFormat="0" applyAlignment="0" applyProtection="0"/>
    <xf numFmtId="0" fontId="35" fillId="0" borderId="38" applyNumberFormat="0" applyFill="0" applyAlignment="0" applyProtection="0"/>
    <xf numFmtId="0" fontId="36" fillId="15" borderId="39" applyNumberFormat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41" applyNumberFormat="0" applyFill="0" applyAlignment="0" applyProtection="0"/>
    <xf numFmtId="0" fontId="40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40" fillId="21" borderId="0" applyNumberFormat="0" applyBorder="0" applyAlignment="0" applyProtection="0"/>
    <xf numFmtId="0" fontId="11" fillId="22" borderId="0" applyNumberFormat="0" applyBorder="0" applyAlignment="0" applyProtection="0"/>
    <xf numFmtId="0" fontId="11" fillId="23" borderId="0" applyNumberFormat="0" applyBorder="0" applyAlignment="0" applyProtection="0"/>
    <xf numFmtId="0" fontId="40" fillId="25" borderId="0" applyNumberFormat="0" applyBorder="0" applyAlignment="0" applyProtection="0"/>
    <xf numFmtId="0" fontId="11" fillId="26" borderId="0" applyNumberFormat="0" applyBorder="0" applyAlignment="0" applyProtection="0"/>
    <xf numFmtId="0" fontId="11" fillId="27" borderId="0" applyNumberFormat="0" applyBorder="0" applyAlignment="0" applyProtection="0"/>
    <xf numFmtId="0" fontId="40" fillId="29" borderId="0" applyNumberFormat="0" applyBorder="0" applyAlignment="0" applyProtection="0"/>
    <xf numFmtId="0" fontId="11" fillId="30" borderId="0" applyNumberFormat="0" applyBorder="0" applyAlignment="0" applyProtection="0"/>
    <xf numFmtId="0" fontId="11" fillId="31" borderId="0" applyNumberFormat="0" applyBorder="0" applyAlignment="0" applyProtection="0"/>
    <xf numFmtId="0" fontId="40" fillId="33" borderId="0" applyNumberFormat="0" applyBorder="0" applyAlignment="0" applyProtection="0"/>
    <xf numFmtId="0" fontId="11" fillId="34" borderId="0" applyNumberFormat="0" applyBorder="0" applyAlignment="0" applyProtection="0"/>
    <xf numFmtId="0" fontId="11" fillId="35" borderId="0" applyNumberFormat="0" applyBorder="0" applyAlignment="0" applyProtection="0"/>
    <xf numFmtId="0" fontId="40" fillId="37" borderId="0" applyNumberFormat="0" applyBorder="0" applyAlignment="0" applyProtection="0"/>
    <xf numFmtId="0" fontId="11" fillId="38" borderId="0" applyNumberFormat="0" applyBorder="0" applyAlignment="0" applyProtection="0"/>
    <xf numFmtId="0" fontId="11" fillId="39" borderId="0" applyNumberFormat="0" applyBorder="0" applyAlignment="0" applyProtection="0"/>
    <xf numFmtId="37" fontId="25" fillId="0" borderId="0"/>
    <xf numFmtId="37" fontId="25" fillId="0" borderId="0"/>
    <xf numFmtId="0" fontId="11" fillId="0" borderId="0"/>
    <xf numFmtId="0" fontId="12" fillId="0" borderId="0"/>
    <xf numFmtId="43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12" fillId="0" borderId="0"/>
    <xf numFmtId="44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" fillId="0" borderId="0"/>
    <xf numFmtId="37" fontId="25" fillId="0" borderId="0"/>
    <xf numFmtId="9" fontId="12" fillId="0" borderId="0" applyFont="0" applyFill="0" applyBorder="0" applyAlignment="0" applyProtection="0"/>
    <xf numFmtId="37" fontId="25" fillId="0" borderId="0"/>
    <xf numFmtId="9" fontId="12" fillId="0" borderId="0" applyFont="0" applyFill="0" applyBorder="0" applyAlignment="0" applyProtection="0"/>
    <xf numFmtId="37" fontId="17" fillId="0" borderId="0"/>
    <xf numFmtId="37" fontId="17" fillId="0" borderId="0"/>
    <xf numFmtId="37" fontId="17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37" fontId="25" fillId="0" borderId="0"/>
    <xf numFmtId="9" fontId="12" fillId="0" borderId="0" applyFont="0" applyFill="0" applyBorder="0" applyAlignment="0" applyProtection="0"/>
    <xf numFmtId="37" fontId="17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43" fontId="12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0" fontId="45" fillId="18" borderId="0" applyNumberFormat="0" applyBorder="0" applyAlignment="0" applyProtection="0"/>
    <xf numFmtId="0" fontId="45" fillId="22" borderId="0" applyNumberFormat="0" applyBorder="0" applyAlignment="0" applyProtection="0"/>
    <xf numFmtId="0" fontId="45" fillId="26" borderId="0" applyNumberFormat="0" applyBorder="0" applyAlignment="0" applyProtection="0"/>
    <xf numFmtId="0" fontId="45" fillId="30" borderId="0" applyNumberFormat="0" applyBorder="0" applyAlignment="0" applyProtection="0"/>
    <xf numFmtId="0" fontId="45" fillId="34" borderId="0" applyNumberFormat="0" applyBorder="0" applyAlignment="0" applyProtection="0"/>
    <xf numFmtId="0" fontId="45" fillId="38" borderId="0" applyNumberFormat="0" applyBorder="0" applyAlignment="0" applyProtection="0"/>
    <xf numFmtId="0" fontId="45" fillId="19" borderId="0" applyNumberFormat="0" applyBorder="0" applyAlignment="0" applyProtection="0"/>
    <xf numFmtId="0" fontId="45" fillId="23" borderId="0" applyNumberFormat="0" applyBorder="0" applyAlignment="0" applyProtection="0"/>
    <xf numFmtId="0" fontId="45" fillId="27" borderId="0" applyNumberFormat="0" applyBorder="0" applyAlignment="0" applyProtection="0"/>
    <xf numFmtId="0" fontId="45" fillId="31" borderId="0" applyNumberFormat="0" applyBorder="0" applyAlignment="0" applyProtection="0"/>
    <xf numFmtId="0" fontId="45" fillId="35" borderId="0" applyNumberFormat="0" applyBorder="0" applyAlignment="0" applyProtection="0"/>
    <xf numFmtId="0" fontId="45" fillId="39" borderId="0" applyNumberFormat="0" applyBorder="0" applyAlignment="0" applyProtection="0"/>
    <xf numFmtId="0" fontId="46" fillId="20" borderId="0" applyNumberFormat="0" applyBorder="0" applyAlignment="0" applyProtection="0"/>
    <xf numFmtId="0" fontId="46" fillId="24" borderId="0" applyNumberFormat="0" applyBorder="0" applyAlignment="0" applyProtection="0"/>
    <xf numFmtId="0" fontId="46" fillId="28" borderId="0" applyNumberFormat="0" applyBorder="0" applyAlignment="0" applyProtection="0"/>
    <xf numFmtId="0" fontId="46" fillId="32" borderId="0" applyNumberFormat="0" applyBorder="0" applyAlignment="0" applyProtection="0"/>
    <xf numFmtId="0" fontId="46" fillId="36" borderId="0" applyNumberFormat="0" applyBorder="0" applyAlignment="0" applyProtection="0"/>
    <xf numFmtId="0" fontId="46" fillId="40" borderId="0" applyNumberFormat="0" applyBorder="0" applyAlignment="0" applyProtection="0"/>
    <xf numFmtId="0" fontId="46" fillId="17" borderId="0" applyNumberFormat="0" applyBorder="0" applyAlignment="0" applyProtection="0"/>
    <xf numFmtId="0" fontId="46" fillId="21" borderId="0" applyNumberFormat="0" applyBorder="0" applyAlignment="0" applyProtection="0"/>
    <xf numFmtId="0" fontId="46" fillId="25" borderId="0" applyNumberFormat="0" applyBorder="0" applyAlignment="0" applyProtection="0"/>
    <xf numFmtId="0" fontId="46" fillId="29" borderId="0" applyNumberFormat="0" applyBorder="0" applyAlignment="0" applyProtection="0"/>
    <xf numFmtId="0" fontId="46" fillId="33" borderId="0" applyNumberFormat="0" applyBorder="0" applyAlignment="0" applyProtection="0"/>
    <xf numFmtId="0" fontId="46" fillId="37" borderId="0" applyNumberFormat="0" applyBorder="0" applyAlignment="0" applyProtection="0"/>
    <xf numFmtId="0" fontId="47" fillId="11" borderId="0" applyNumberFormat="0" applyBorder="0" applyAlignment="0" applyProtection="0"/>
    <xf numFmtId="0" fontId="48" fillId="14" borderId="36" applyNumberFormat="0" applyAlignment="0" applyProtection="0"/>
    <xf numFmtId="0" fontId="49" fillId="15" borderId="39" applyNumberFormat="0" applyAlignment="0" applyProtection="0"/>
    <xf numFmtId="43" fontId="12" fillId="0" borderId="0" applyFont="0" applyFill="0" applyBorder="0" applyAlignment="0" applyProtection="0"/>
    <xf numFmtId="43" fontId="45" fillId="0" borderId="0" applyFont="0" applyFill="0" applyBorder="0" applyAlignment="0" applyProtection="0"/>
    <xf numFmtId="0" fontId="50" fillId="0" borderId="0" applyNumberFormat="0" applyFill="0" applyBorder="0" applyAlignment="0" applyProtection="0"/>
    <xf numFmtId="0" fontId="51" fillId="10" borderId="0" applyNumberFormat="0" applyBorder="0" applyAlignment="0" applyProtection="0"/>
    <xf numFmtId="0" fontId="42" fillId="0" borderId="33" applyNumberFormat="0" applyFill="0" applyAlignment="0" applyProtection="0"/>
    <xf numFmtId="0" fontId="43" fillId="0" borderId="34" applyNumberFormat="0" applyFill="0" applyAlignment="0" applyProtection="0"/>
    <xf numFmtId="0" fontId="44" fillId="0" borderId="35" applyNumberFormat="0" applyFill="0" applyAlignment="0" applyProtection="0"/>
    <xf numFmtId="0" fontId="44" fillId="0" borderId="0" applyNumberFormat="0" applyFill="0" applyBorder="0" applyAlignment="0" applyProtection="0"/>
    <xf numFmtId="0" fontId="52" fillId="13" borderId="36" applyNumberFormat="0" applyAlignment="0" applyProtection="0"/>
    <xf numFmtId="0" fontId="53" fillId="0" borderId="38" applyNumberFormat="0" applyFill="0" applyAlignment="0" applyProtection="0"/>
    <xf numFmtId="0" fontId="54" fillId="12" borderId="0" applyNumberFormat="0" applyBorder="0" applyAlignment="0" applyProtection="0"/>
    <xf numFmtId="0" fontId="12" fillId="0" borderId="0"/>
    <xf numFmtId="0" fontId="11" fillId="0" borderId="0"/>
    <xf numFmtId="0" fontId="12" fillId="0" borderId="0"/>
    <xf numFmtId="0" fontId="12" fillId="0" borderId="0"/>
    <xf numFmtId="0" fontId="45" fillId="0" borderId="0"/>
    <xf numFmtId="0" fontId="45" fillId="16" borderId="40" applyNumberFormat="0" applyFont="0" applyAlignment="0" applyProtection="0"/>
    <xf numFmtId="0" fontId="55" fillId="14" borderId="37" applyNumberFormat="0" applyAlignment="0" applyProtection="0"/>
    <xf numFmtId="9" fontId="45" fillId="0" borderId="0" applyFont="0" applyFill="0" applyBorder="0" applyAlignment="0" applyProtection="0"/>
    <xf numFmtId="0" fontId="56" fillId="0" borderId="41" applyNumberFormat="0" applyFill="0" applyAlignment="0" applyProtection="0"/>
    <xf numFmtId="0" fontId="57" fillId="0" borderId="0" applyNumberFormat="0" applyFill="0" applyBorder="0" applyAlignment="0" applyProtection="0"/>
    <xf numFmtId="37" fontId="17" fillId="0" borderId="0"/>
    <xf numFmtId="0" fontId="11" fillId="0" borderId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9" fontId="12" fillId="0" borderId="0" applyFont="0" applyFill="0" applyBorder="0" applyAlignment="0" applyProtection="0"/>
    <xf numFmtId="9" fontId="45" fillId="0" borderId="0" applyFont="0" applyFill="0" applyBorder="0" applyAlignment="0" applyProtection="0"/>
    <xf numFmtId="0" fontId="12" fillId="0" borderId="0"/>
    <xf numFmtId="0" fontId="11" fillId="0" borderId="0"/>
    <xf numFmtId="37" fontId="25" fillId="0" borderId="0"/>
    <xf numFmtId="37" fontId="25" fillId="0" borderId="0"/>
    <xf numFmtId="0" fontId="12" fillId="0" borderId="0"/>
    <xf numFmtId="37" fontId="25" fillId="0" borderId="0"/>
    <xf numFmtId="0" fontId="11" fillId="0" borderId="0"/>
    <xf numFmtId="0" fontId="58" fillId="0" borderId="0" applyNumberFormat="0" applyFill="0" applyBorder="0" applyAlignment="0" applyProtection="0"/>
    <xf numFmtId="0" fontId="11" fillId="16" borderId="40" applyNumberFormat="0" applyFont="0" applyAlignment="0" applyProtection="0"/>
    <xf numFmtId="37" fontId="25" fillId="0" borderId="0"/>
    <xf numFmtId="37" fontId="17" fillId="0" borderId="0"/>
    <xf numFmtId="0" fontId="11" fillId="0" borderId="0"/>
    <xf numFmtId="0" fontId="59" fillId="12" borderId="0" applyNumberFormat="0" applyBorder="0" applyAlignment="0" applyProtection="0"/>
    <xf numFmtId="0" fontId="40" fillId="20" borderId="0" applyNumberFormat="0" applyBorder="0" applyAlignment="0" applyProtection="0"/>
    <xf numFmtId="0" fontId="40" fillId="24" borderId="0" applyNumberFormat="0" applyBorder="0" applyAlignment="0" applyProtection="0"/>
    <xf numFmtId="0" fontId="40" fillId="28" borderId="0" applyNumberFormat="0" applyBorder="0" applyAlignment="0" applyProtection="0"/>
    <xf numFmtId="0" fontId="40" fillId="32" borderId="0" applyNumberFormat="0" applyBorder="0" applyAlignment="0" applyProtection="0"/>
    <xf numFmtId="0" fontId="40" fillId="36" borderId="0" applyNumberFormat="0" applyBorder="0" applyAlignment="0" applyProtection="0"/>
    <xf numFmtId="0" fontId="40" fillId="40" borderId="0" applyNumberFormat="0" applyBorder="0" applyAlignment="0" applyProtection="0"/>
    <xf numFmtId="0" fontId="60" fillId="0" borderId="0"/>
    <xf numFmtId="43" fontId="61" fillId="0" borderId="0" applyFont="0" applyFill="0" applyBorder="0" applyAlignment="0" applyProtection="0"/>
    <xf numFmtId="44" fontId="61" fillId="0" borderId="0" applyFont="0" applyFill="0" applyBorder="0" applyAlignment="0" applyProtection="0"/>
    <xf numFmtId="43" fontId="60" fillId="0" borderId="0" applyFont="0" applyFill="0" applyBorder="0" applyAlignment="0" applyProtection="0"/>
    <xf numFmtId="9" fontId="60" fillId="0" borderId="0" applyFont="0" applyFill="0" applyBorder="0" applyAlignment="0" applyProtection="0"/>
    <xf numFmtId="44" fontId="12" fillId="0" borderId="0" applyFont="0" applyFill="0" applyBorder="0" applyAlignment="0" applyProtection="0"/>
    <xf numFmtId="43" fontId="45" fillId="0" borderId="0" applyFont="0" applyFill="0" applyBorder="0" applyAlignment="0" applyProtection="0"/>
    <xf numFmtId="0" fontId="45" fillId="0" borderId="0"/>
    <xf numFmtId="9" fontId="12" fillId="0" borderId="0" applyFont="0" applyFill="0" applyBorder="0" applyAlignment="0" applyProtection="0"/>
    <xf numFmtId="37" fontId="17" fillId="0" borderId="0"/>
    <xf numFmtId="37" fontId="17" fillId="0" borderId="0"/>
    <xf numFmtId="37" fontId="17" fillId="0" borderId="0"/>
    <xf numFmtId="37" fontId="25" fillId="0" borderId="0"/>
    <xf numFmtId="37" fontId="25" fillId="0" borderId="0"/>
    <xf numFmtId="0" fontId="12" fillId="0" borderId="0"/>
    <xf numFmtId="37" fontId="25" fillId="0" borderId="0"/>
    <xf numFmtId="9" fontId="12" fillId="0" borderId="0" applyFont="0" applyFill="0" applyBorder="0" applyAlignment="0" applyProtection="0"/>
    <xf numFmtId="37" fontId="25" fillId="0" borderId="0"/>
    <xf numFmtId="37" fontId="17" fillId="0" borderId="0"/>
    <xf numFmtId="0" fontId="12" fillId="0" borderId="0"/>
    <xf numFmtId="43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2" fillId="0" borderId="0"/>
    <xf numFmtId="0" fontId="11" fillId="0" borderId="0"/>
    <xf numFmtId="37" fontId="25" fillId="0" borderId="0"/>
    <xf numFmtId="43" fontId="12" fillId="0" borderId="0" applyFont="0" applyFill="0" applyBorder="0" applyAlignment="0" applyProtection="0"/>
    <xf numFmtId="37" fontId="25" fillId="0" borderId="0"/>
    <xf numFmtId="37" fontId="25" fillId="0" borderId="0"/>
    <xf numFmtId="43" fontId="12" fillId="0" borderId="0" applyFont="0" applyFill="0" applyBorder="0" applyAlignment="0" applyProtection="0"/>
    <xf numFmtId="43" fontId="45" fillId="0" borderId="0" applyFont="0" applyFill="0" applyBorder="0" applyAlignment="0" applyProtection="0"/>
    <xf numFmtId="0" fontId="12" fillId="0" borderId="0"/>
    <xf numFmtId="0" fontId="11" fillId="0" borderId="0"/>
    <xf numFmtId="9" fontId="12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37" fontId="17" fillId="0" borderId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2" fillId="0" borderId="0"/>
    <xf numFmtId="37" fontId="25" fillId="0" borderId="0"/>
    <xf numFmtId="37" fontId="25" fillId="0" borderId="0"/>
    <xf numFmtId="37" fontId="17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2" fillId="0" borderId="0"/>
    <xf numFmtId="0" fontId="12" fillId="0" borderId="0"/>
    <xf numFmtId="37" fontId="17" fillId="0" borderId="0"/>
    <xf numFmtId="43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37" fontId="25" fillId="0" borderId="0"/>
    <xf numFmtId="37" fontId="25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16" borderId="40" applyNumberFormat="0" applyFont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2" borderId="0" applyNumberFormat="0" applyBorder="0" applyAlignment="0" applyProtection="0"/>
    <xf numFmtId="0" fontId="11" fillId="23" borderId="0" applyNumberFormat="0" applyBorder="0" applyAlignment="0" applyProtection="0"/>
    <xf numFmtId="0" fontId="11" fillId="26" borderId="0" applyNumberFormat="0" applyBorder="0" applyAlignment="0" applyProtection="0"/>
    <xf numFmtId="0" fontId="11" fillId="27" borderId="0" applyNumberFormat="0" applyBorder="0" applyAlignment="0" applyProtection="0"/>
    <xf numFmtId="0" fontId="11" fillId="30" borderId="0" applyNumberFormat="0" applyBorder="0" applyAlignment="0" applyProtection="0"/>
    <xf numFmtId="0" fontId="11" fillId="31" borderId="0" applyNumberFormat="0" applyBorder="0" applyAlignment="0" applyProtection="0"/>
    <xf numFmtId="0" fontId="11" fillId="34" borderId="0" applyNumberFormat="0" applyBorder="0" applyAlignment="0" applyProtection="0"/>
    <xf numFmtId="0" fontId="11" fillId="35" borderId="0" applyNumberFormat="0" applyBorder="0" applyAlignment="0" applyProtection="0"/>
    <xf numFmtId="0" fontId="11" fillId="38" borderId="0" applyNumberFormat="0" applyBorder="0" applyAlignment="0" applyProtection="0"/>
    <xf numFmtId="0" fontId="11" fillId="39" borderId="0" applyNumberFormat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16" borderId="40" applyNumberFormat="0" applyFont="0" applyAlignment="0" applyProtection="0"/>
    <xf numFmtId="0" fontId="11" fillId="0" borderId="0"/>
    <xf numFmtId="43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16" borderId="40" applyNumberFormat="0" applyFont="0" applyAlignment="0" applyProtection="0"/>
    <xf numFmtId="44" fontId="6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2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2" borderId="0" applyNumberFormat="0" applyBorder="0" applyAlignment="0" applyProtection="0"/>
    <xf numFmtId="0" fontId="11" fillId="23" borderId="0" applyNumberFormat="0" applyBorder="0" applyAlignment="0" applyProtection="0"/>
    <xf numFmtId="0" fontId="11" fillId="26" borderId="0" applyNumberFormat="0" applyBorder="0" applyAlignment="0" applyProtection="0"/>
    <xf numFmtId="0" fontId="11" fillId="27" borderId="0" applyNumberFormat="0" applyBorder="0" applyAlignment="0" applyProtection="0"/>
    <xf numFmtId="0" fontId="11" fillId="30" borderId="0" applyNumberFormat="0" applyBorder="0" applyAlignment="0" applyProtection="0"/>
    <xf numFmtId="0" fontId="11" fillId="31" borderId="0" applyNumberFormat="0" applyBorder="0" applyAlignment="0" applyProtection="0"/>
    <xf numFmtId="0" fontId="11" fillId="0" borderId="0"/>
    <xf numFmtId="0" fontId="11" fillId="34" borderId="0" applyNumberFormat="0" applyBorder="0" applyAlignment="0" applyProtection="0"/>
    <xf numFmtId="0" fontId="11" fillId="35" borderId="0" applyNumberFormat="0" applyBorder="0" applyAlignment="0" applyProtection="0"/>
    <xf numFmtId="0" fontId="11" fillId="38" borderId="0" applyNumberFormat="0" applyBorder="0" applyAlignment="0" applyProtection="0"/>
    <xf numFmtId="0" fontId="11" fillId="39" borderId="0" applyNumberFormat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0" fontId="58" fillId="0" borderId="0" applyNumberFormat="0" applyFill="0" applyBorder="0" applyAlignment="0" applyProtection="0"/>
    <xf numFmtId="0" fontId="59" fillId="12" borderId="0" applyNumberFormat="0" applyBorder="0" applyAlignment="0" applyProtection="0"/>
    <xf numFmtId="0" fontId="11" fillId="16" borderId="40" applyNumberFormat="0" applyFont="0" applyAlignment="0" applyProtection="0"/>
    <xf numFmtId="0" fontId="40" fillId="20" borderId="0" applyNumberFormat="0" applyBorder="0" applyAlignment="0" applyProtection="0"/>
    <xf numFmtId="0" fontId="40" fillId="24" borderId="0" applyNumberFormat="0" applyBorder="0" applyAlignment="0" applyProtection="0"/>
    <xf numFmtId="0" fontId="40" fillId="28" borderId="0" applyNumberFormat="0" applyBorder="0" applyAlignment="0" applyProtection="0"/>
    <xf numFmtId="0" fontId="40" fillId="32" borderId="0" applyNumberFormat="0" applyBorder="0" applyAlignment="0" applyProtection="0"/>
    <xf numFmtId="0" fontId="40" fillId="36" borderId="0" applyNumberFormat="0" applyBorder="0" applyAlignment="0" applyProtection="0"/>
    <xf numFmtId="0" fontId="40" fillId="40" borderId="0" applyNumberFormat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4" fillId="0" borderId="0" applyFont="0" applyFill="0" applyBorder="0" applyAlignment="0" applyProtection="0"/>
    <xf numFmtId="0" fontId="64" fillId="0" borderId="0"/>
    <xf numFmtId="0" fontId="26" fillId="0" borderId="0" applyNumberFormat="0" applyFill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66" fillId="43" borderId="0" applyNumberFormat="0" applyBorder="0" applyAlignment="0" applyProtection="0"/>
    <xf numFmtId="0" fontId="66" fillId="43" borderId="0" applyNumberFormat="0" applyBorder="0" applyAlignment="0" applyProtection="0"/>
    <xf numFmtId="0" fontId="63" fillId="18" borderId="0" applyNumberFormat="0" applyBorder="0" applyAlignment="0" applyProtection="0"/>
    <xf numFmtId="0" fontId="63" fillId="18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66" fillId="45" borderId="0" applyNumberFormat="0" applyBorder="0" applyAlignment="0" applyProtection="0"/>
    <xf numFmtId="0" fontId="66" fillId="45" borderId="0" applyNumberFormat="0" applyBorder="0" applyAlignment="0" applyProtection="0"/>
    <xf numFmtId="0" fontId="63" fillId="22" borderId="0" applyNumberFormat="0" applyBorder="0" applyAlignment="0" applyProtection="0"/>
    <xf numFmtId="0" fontId="63" fillId="22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66" fillId="46" borderId="0" applyNumberFormat="0" applyBorder="0" applyAlignment="0" applyProtection="0"/>
    <xf numFmtId="0" fontId="66" fillId="46" borderId="0" applyNumberFormat="0" applyBorder="0" applyAlignment="0" applyProtection="0"/>
    <xf numFmtId="0" fontId="63" fillId="26" borderId="0" applyNumberFormat="0" applyBorder="0" applyAlignment="0" applyProtection="0"/>
    <xf numFmtId="0" fontId="63" fillId="26" borderId="0" applyNumberFormat="0" applyBorder="0" applyAlignment="0" applyProtection="0"/>
    <xf numFmtId="0" fontId="11" fillId="30" borderId="0" applyNumberFormat="0" applyBorder="0" applyAlignment="0" applyProtection="0"/>
    <xf numFmtId="0" fontId="11" fillId="30" borderId="0" applyNumberFormat="0" applyBorder="0" applyAlignment="0" applyProtection="0"/>
    <xf numFmtId="0" fontId="11" fillId="30" borderId="0" applyNumberFormat="0" applyBorder="0" applyAlignment="0" applyProtection="0"/>
    <xf numFmtId="0" fontId="11" fillId="30" borderId="0" applyNumberFormat="0" applyBorder="0" applyAlignment="0" applyProtection="0"/>
    <xf numFmtId="0" fontId="11" fillId="30" borderId="0" applyNumberFormat="0" applyBorder="0" applyAlignment="0" applyProtection="0"/>
    <xf numFmtId="0" fontId="11" fillId="30" borderId="0" applyNumberFormat="0" applyBorder="0" applyAlignment="0" applyProtection="0"/>
    <xf numFmtId="0" fontId="11" fillId="30" borderId="0" applyNumberFormat="0" applyBorder="0" applyAlignment="0" applyProtection="0"/>
    <xf numFmtId="0" fontId="11" fillId="30" borderId="0" applyNumberFormat="0" applyBorder="0" applyAlignment="0" applyProtection="0"/>
    <xf numFmtId="0" fontId="11" fillId="30" borderId="0" applyNumberFormat="0" applyBorder="0" applyAlignment="0" applyProtection="0"/>
    <xf numFmtId="0" fontId="66" fillId="48" borderId="0" applyNumberFormat="0" applyBorder="0" applyAlignment="0" applyProtection="0"/>
    <xf numFmtId="0" fontId="66" fillId="48" borderId="0" applyNumberFormat="0" applyBorder="0" applyAlignment="0" applyProtection="0"/>
    <xf numFmtId="0" fontId="63" fillId="30" borderId="0" applyNumberFormat="0" applyBorder="0" applyAlignment="0" applyProtection="0"/>
    <xf numFmtId="0" fontId="63" fillId="30" borderId="0" applyNumberFormat="0" applyBorder="0" applyAlignment="0" applyProtection="0"/>
    <xf numFmtId="0" fontId="11" fillId="34" borderId="0" applyNumberFormat="0" applyBorder="0" applyAlignment="0" applyProtection="0"/>
    <xf numFmtId="0" fontId="11" fillId="34" borderId="0" applyNumberFormat="0" applyBorder="0" applyAlignment="0" applyProtection="0"/>
    <xf numFmtId="0" fontId="11" fillId="34" borderId="0" applyNumberFormat="0" applyBorder="0" applyAlignment="0" applyProtection="0"/>
    <xf numFmtId="0" fontId="11" fillId="34" borderId="0" applyNumberFormat="0" applyBorder="0" applyAlignment="0" applyProtection="0"/>
    <xf numFmtId="0" fontId="11" fillId="34" borderId="0" applyNumberFormat="0" applyBorder="0" applyAlignment="0" applyProtection="0"/>
    <xf numFmtId="0" fontId="11" fillId="34" borderId="0" applyNumberFormat="0" applyBorder="0" applyAlignment="0" applyProtection="0"/>
    <xf numFmtId="0" fontId="11" fillId="34" borderId="0" applyNumberFormat="0" applyBorder="0" applyAlignment="0" applyProtection="0"/>
    <xf numFmtId="0" fontId="11" fillId="34" borderId="0" applyNumberFormat="0" applyBorder="0" applyAlignment="0" applyProtection="0"/>
    <xf numFmtId="0" fontId="11" fillId="34" borderId="0" applyNumberFormat="0" applyBorder="0" applyAlignment="0" applyProtection="0"/>
    <xf numFmtId="0" fontId="66" fillId="42" borderId="0" applyNumberFormat="0" applyBorder="0" applyAlignment="0" applyProtection="0"/>
    <xf numFmtId="0" fontId="66" fillId="42" borderId="0" applyNumberFormat="0" applyBorder="0" applyAlignment="0" applyProtection="0"/>
    <xf numFmtId="0" fontId="63" fillId="34" borderId="0" applyNumberFormat="0" applyBorder="0" applyAlignment="0" applyProtection="0"/>
    <xf numFmtId="0" fontId="63" fillId="34" borderId="0" applyNumberFormat="0" applyBorder="0" applyAlignment="0" applyProtection="0"/>
    <xf numFmtId="0" fontId="11" fillId="38" borderId="0" applyNumberFormat="0" applyBorder="0" applyAlignment="0" applyProtection="0"/>
    <xf numFmtId="0" fontId="11" fillId="38" borderId="0" applyNumberFormat="0" applyBorder="0" applyAlignment="0" applyProtection="0"/>
    <xf numFmtId="0" fontId="11" fillId="38" borderId="0" applyNumberFormat="0" applyBorder="0" applyAlignment="0" applyProtection="0"/>
    <xf numFmtId="0" fontId="11" fillId="38" borderId="0" applyNumberFormat="0" applyBorder="0" applyAlignment="0" applyProtection="0"/>
    <xf numFmtId="0" fontId="11" fillId="38" borderId="0" applyNumberFormat="0" applyBorder="0" applyAlignment="0" applyProtection="0"/>
    <xf numFmtId="0" fontId="11" fillId="38" borderId="0" applyNumberFormat="0" applyBorder="0" applyAlignment="0" applyProtection="0"/>
    <xf numFmtId="0" fontId="11" fillId="38" borderId="0" applyNumberFormat="0" applyBorder="0" applyAlignment="0" applyProtection="0"/>
    <xf numFmtId="0" fontId="11" fillId="38" borderId="0" applyNumberFormat="0" applyBorder="0" applyAlignment="0" applyProtection="0"/>
    <xf numFmtId="0" fontId="11" fillId="38" borderId="0" applyNumberFormat="0" applyBorder="0" applyAlignment="0" applyProtection="0"/>
    <xf numFmtId="0" fontId="66" fillId="44" borderId="0" applyNumberFormat="0" applyBorder="0" applyAlignment="0" applyProtection="0"/>
    <xf numFmtId="0" fontId="66" fillId="44" borderId="0" applyNumberFormat="0" applyBorder="0" applyAlignment="0" applyProtection="0"/>
    <xf numFmtId="0" fontId="63" fillId="38" borderId="0" applyNumberFormat="0" applyBorder="0" applyAlignment="0" applyProtection="0"/>
    <xf numFmtId="0" fontId="63" fillId="38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66" fillId="49" borderId="0" applyNumberFormat="0" applyBorder="0" applyAlignment="0" applyProtection="0"/>
    <xf numFmtId="0" fontId="66" fillId="49" borderId="0" applyNumberFormat="0" applyBorder="0" applyAlignment="0" applyProtection="0"/>
    <xf numFmtId="0" fontId="63" fillId="19" borderId="0" applyNumberFormat="0" applyBorder="0" applyAlignment="0" applyProtection="0"/>
    <xf numFmtId="0" fontId="63" fillId="19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66" fillId="50" borderId="0" applyNumberFormat="0" applyBorder="0" applyAlignment="0" applyProtection="0"/>
    <xf numFmtId="0" fontId="66" fillId="50" borderId="0" applyNumberFormat="0" applyBorder="0" applyAlignment="0" applyProtection="0"/>
    <xf numFmtId="0" fontId="63" fillId="23" borderId="0" applyNumberFormat="0" applyBorder="0" applyAlignment="0" applyProtection="0"/>
    <xf numFmtId="0" fontId="63" fillId="23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66" fillId="52" borderId="0" applyNumberFormat="0" applyBorder="0" applyAlignment="0" applyProtection="0"/>
    <xf numFmtId="0" fontId="66" fillId="52" borderId="0" applyNumberFormat="0" applyBorder="0" applyAlignment="0" applyProtection="0"/>
    <xf numFmtId="0" fontId="63" fillId="27" borderId="0" applyNumberFormat="0" applyBorder="0" applyAlignment="0" applyProtection="0"/>
    <xf numFmtId="0" fontId="63" fillId="27" borderId="0" applyNumberFormat="0" applyBorder="0" applyAlignment="0" applyProtection="0"/>
    <xf numFmtId="0" fontId="11" fillId="31" borderId="0" applyNumberFormat="0" applyBorder="0" applyAlignment="0" applyProtection="0"/>
    <xf numFmtId="0" fontId="11" fillId="31" borderId="0" applyNumberFormat="0" applyBorder="0" applyAlignment="0" applyProtection="0"/>
    <xf numFmtId="0" fontId="11" fillId="31" borderId="0" applyNumberFormat="0" applyBorder="0" applyAlignment="0" applyProtection="0"/>
    <xf numFmtId="0" fontId="11" fillId="31" borderId="0" applyNumberFormat="0" applyBorder="0" applyAlignment="0" applyProtection="0"/>
    <xf numFmtId="0" fontId="11" fillId="31" borderId="0" applyNumberFormat="0" applyBorder="0" applyAlignment="0" applyProtection="0"/>
    <xf numFmtId="0" fontId="11" fillId="31" borderId="0" applyNumberFormat="0" applyBorder="0" applyAlignment="0" applyProtection="0"/>
    <xf numFmtId="0" fontId="11" fillId="31" borderId="0" applyNumberFormat="0" applyBorder="0" applyAlignment="0" applyProtection="0"/>
    <xf numFmtId="0" fontId="11" fillId="31" borderId="0" applyNumberFormat="0" applyBorder="0" applyAlignment="0" applyProtection="0"/>
    <xf numFmtId="0" fontId="11" fillId="31" borderId="0" applyNumberFormat="0" applyBorder="0" applyAlignment="0" applyProtection="0"/>
    <xf numFmtId="0" fontId="66" fillId="48" borderId="0" applyNumberFormat="0" applyBorder="0" applyAlignment="0" applyProtection="0"/>
    <xf numFmtId="0" fontId="66" fillId="48" borderId="0" applyNumberFormat="0" applyBorder="0" applyAlignment="0" applyProtection="0"/>
    <xf numFmtId="0" fontId="63" fillId="31" borderId="0" applyNumberFormat="0" applyBorder="0" applyAlignment="0" applyProtection="0"/>
    <xf numFmtId="0" fontId="63" fillId="31" borderId="0" applyNumberFormat="0" applyBorder="0" applyAlignment="0" applyProtection="0"/>
    <xf numFmtId="0" fontId="11" fillId="35" borderId="0" applyNumberFormat="0" applyBorder="0" applyAlignment="0" applyProtection="0"/>
    <xf numFmtId="0" fontId="11" fillId="35" borderId="0" applyNumberFormat="0" applyBorder="0" applyAlignment="0" applyProtection="0"/>
    <xf numFmtId="0" fontId="11" fillId="35" borderId="0" applyNumberFormat="0" applyBorder="0" applyAlignment="0" applyProtection="0"/>
    <xf numFmtId="0" fontId="11" fillId="35" borderId="0" applyNumberFormat="0" applyBorder="0" applyAlignment="0" applyProtection="0"/>
    <xf numFmtId="0" fontId="11" fillId="35" borderId="0" applyNumberFormat="0" applyBorder="0" applyAlignment="0" applyProtection="0"/>
    <xf numFmtId="0" fontId="11" fillId="35" borderId="0" applyNumberFormat="0" applyBorder="0" applyAlignment="0" applyProtection="0"/>
    <xf numFmtId="0" fontId="11" fillId="35" borderId="0" applyNumberFormat="0" applyBorder="0" applyAlignment="0" applyProtection="0"/>
    <xf numFmtId="0" fontId="11" fillId="35" borderId="0" applyNumberFormat="0" applyBorder="0" applyAlignment="0" applyProtection="0"/>
    <xf numFmtId="0" fontId="11" fillId="35" borderId="0" applyNumberFormat="0" applyBorder="0" applyAlignment="0" applyProtection="0"/>
    <xf numFmtId="0" fontId="66" fillId="49" borderId="0" applyNumberFormat="0" applyBorder="0" applyAlignment="0" applyProtection="0"/>
    <xf numFmtId="0" fontId="66" fillId="49" borderId="0" applyNumberFormat="0" applyBorder="0" applyAlignment="0" applyProtection="0"/>
    <xf numFmtId="0" fontId="63" fillId="35" borderId="0" applyNumberFormat="0" applyBorder="0" applyAlignment="0" applyProtection="0"/>
    <xf numFmtId="0" fontId="63" fillId="35" borderId="0" applyNumberFormat="0" applyBorder="0" applyAlignment="0" applyProtection="0"/>
    <xf numFmtId="0" fontId="11" fillId="39" borderId="0" applyNumberFormat="0" applyBorder="0" applyAlignment="0" applyProtection="0"/>
    <xf numFmtId="0" fontId="11" fillId="39" borderId="0" applyNumberFormat="0" applyBorder="0" applyAlignment="0" applyProtection="0"/>
    <xf numFmtId="0" fontId="11" fillId="39" borderId="0" applyNumberFormat="0" applyBorder="0" applyAlignment="0" applyProtection="0"/>
    <xf numFmtId="0" fontId="11" fillId="39" borderId="0" applyNumberFormat="0" applyBorder="0" applyAlignment="0" applyProtection="0"/>
    <xf numFmtId="0" fontId="11" fillId="39" borderId="0" applyNumberFormat="0" applyBorder="0" applyAlignment="0" applyProtection="0"/>
    <xf numFmtId="0" fontId="11" fillId="39" borderId="0" applyNumberFormat="0" applyBorder="0" applyAlignment="0" applyProtection="0"/>
    <xf numFmtId="0" fontId="11" fillId="39" borderId="0" applyNumberFormat="0" applyBorder="0" applyAlignment="0" applyProtection="0"/>
    <xf numFmtId="0" fontId="11" fillId="39" borderId="0" applyNumberFormat="0" applyBorder="0" applyAlignment="0" applyProtection="0"/>
    <xf numFmtId="0" fontId="11" fillId="39" borderId="0" applyNumberFormat="0" applyBorder="0" applyAlignment="0" applyProtection="0"/>
    <xf numFmtId="0" fontId="66" fillId="54" borderId="0" applyNumberFormat="0" applyBorder="0" applyAlignment="0" applyProtection="0"/>
    <xf numFmtId="0" fontId="66" fillId="54" borderId="0" applyNumberFormat="0" applyBorder="0" applyAlignment="0" applyProtection="0"/>
    <xf numFmtId="0" fontId="63" fillId="39" borderId="0" applyNumberFormat="0" applyBorder="0" applyAlignment="0" applyProtection="0"/>
    <xf numFmtId="0" fontId="63" fillId="39" borderId="0" applyNumberFormat="0" applyBorder="0" applyAlignment="0" applyProtection="0"/>
    <xf numFmtId="0" fontId="40" fillId="20" borderId="0" applyNumberFormat="0" applyBorder="0" applyAlignment="0" applyProtection="0"/>
    <xf numFmtId="0" fontId="68" fillId="55" borderId="0" applyNumberFormat="0" applyBorder="0" applyAlignment="0" applyProtection="0"/>
    <xf numFmtId="0" fontId="68" fillId="55" borderId="0" applyNumberFormat="0" applyBorder="0" applyAlignment="0" applyProtection="0"/>
    <xf numFmtId="0" fontId="85" fillId="20" borderId="0" applyNumberFormat="0" applyBorder="0" applyAlignment="0" applyProtection="0"/>
    <xf numFmtId="0" fontId="40" fillId="24" borderId="0" applyNumberFormat="0" applyBorder="0" applyAlignment="0" applyProtection="0"/>
    <xf numFmtId="0" fontId="68" fillId="50" borderId="0" applyNumberFormat="0" applyBorder="0" applyAlignment="0" applyProtection="0"/>
    <xf numFmtId="0" fontId="68" fillId="50" borderId="0" applyNumberFormat="0" applyBorder="0" applyAlignment="0" applyProtection="0"/>
    <xf numFmtId="0" fontId="85" fillId="24" borderId="0" applyNumberFormat="0" applyBorder="0" applyAlignment="0" applyProtection="0"/>
    <xf numFmtId="0" fontId="40" fillId="28" borderId="0" applyNumberFormat="0" applyBorder="0" applyAlignment="0" applyProtection="0"/>
    <xf numFmtId="0" fontId="68" fillId="52" borderId="0" applyNumberFormat="0" applyBorder="0" applyAlignment="0" applyProtection="0"/>
    <xf numFmtId="0" fontId="68" fillId="52" borderId="0" applyNumberFormat="0" applyBorder="0" applyAlignment="0" applyProtection="0"/>
    <xf numFmtId="0" fontId="85" fillId="28" borderId="0" applyNumberFormat="0" applyBorder="0" applyAlignment="0" applyProtection="0"/>
    <xf numFmtId="0" fontId="40" fillId="32" borderId="0" applyNumberFormat="0" applyBorder="0" applyAlignment="0" applyProtection="0"/>
    <xf numFmtId="0" fontId="68" fillId="56" borderId="0" applyNumberFormat="0" applyBorder="0" applyAlignment="0" applyProtection="0"/>
    <xf numFmtId="0" fontId="68" fillId="56" borderId="0" applyNumberFormat="0" applyBorder="0" applyAlignment="0" applyProtection="0"/>
    <xf numFmtId="0" fontId="85" fillId="32" borderId="0" applyNumberFormat="0" applyBorder="0" applyAlignment="0" applyProtection="0"/>
    <xf numFmtId="0" fontId="40" fillId="36" borderId="0" applyNumberFormat="0" applyBorder="0" applyAlignment="0" applyProtection="0"/>
    <xf numFmtId="0" fontId="68" fillId="57" borderId="0" applyNumberFormat="0" applyBorder="0" applyAlignment="0" applyProtection="0"/>
    <xf numFmtId="0" fontId="68" fillId="57" borderId="0" applyNumberFormat="0" applyBorder="0" applyAlignment="0" applyProtection="0"/>
    <xf numFmtId="0" fontId="85" fillId="36" borderId="0" applyNumberFormat="0" applyBorder="0" applyAlignment="0" applyProtection="0"/>
    <xf numFmtId="0" fontId="40" fillId="40" borderId="0" applyNumberFormat="0" applyBorder="0" applyAlignment="0" applyProtection="0"/>
    <xf numFmtId="0" fontId="68" fillId="59" borderId="0" applyNumberFormat="0" applyBorder="0" applyAlignment="0" applyProtection="0"/>
    <xf numFmtId="0" fontId="68" fillId="59" borderId="0" applyNumberFormat="0" applyBorder="0" applyAlignment="0" applyProtection="0"/>
    <xf numFmtId="0" fontId="85" fillId="40" borderId="0" applyNumberFormat="0" applyBorder="0" applyAlignment="0" applyProtection="0"/>
    <xf numFmtId="0" fontId="40" fillId="17" borderId="0" applyNumberFormat="0" applyBorder="0" applyAlignment="0" applyProtection="0"/>
    <xf numFmtId="0" fontId="68" fillId="60" borderId="0" applyNumberFormat="0" applyBorder="0" applyAlignment="0" applyProtection="0"/>
    <xf numFmtId="0" fontId="68" fillId="60" borderId="0" applyNumberFormat="0" applyBorder="0" applyAlignment="0" applyProtection="0"/>
    <xf numFmtId="0" fontId="85" fillId="17" borderId="0" applyNumberFormat="0" applyBorder="0" applyAlignment="0" applyProtection="0"/>
    <xf numFmtId="0" fontId="40" fillId="21" borderId="0" applyNumberFormat="0" applyBorder="0" applyAlignment="0" applyProtection="0"/>
    <xf numFmtId="0" fontId="68" fillId="62" borderId="0" applyNumberFormat="0" applyBorder="0" applyAlignment="0" applyProtection="0"/>
    <xf numFmtId="0" fontId="68" fillId="62" borderId="0" applyNumberFormat="0" applyBorder="0" applyAlignment="0" applyProtection="0"/>
    <xf numFmtId="0" fontId="85" fillId="21" borderId="0" applyNumberFormat="0" applyBorder="0" applyAlignment="0" applyProtection="0"/>
    <xf numFmtId="0" fontId="40" fillId="25" borderId="0" applyNumberFormat="0" applyBorder="0" applyAlignment="0" applyProtection="0"/>
    <xf numFmtId="0" fontId="68" fillId="58" borderId="0" applyNumberFormat="0" applyBorder="0" applyAlignment="0" applyProtection="0"/>
    <xf numFmtId="0" fontId="68" fillId="58" borderId="0" applyNumberFormat="0" applyBorder="0" applyAlignment="0" applyProtection="0"/>
    <xf numFmtId="0" fontId="85" fillId="25" borderId="0" applyNumberFormat="0" applyBorder="0" applyAlignment="0" applyProtection="0"/>
    <xf numFmtId="0" fontId="40" fillId="29" borderId="0" applyNumberFormat="0" applyBorder="0" applyAlignment="0" applyProtection="0"/>
    <xf numFmtId="0" fontId="68" fillId="56" borderId="0" applyNumberFormat="0" applyBorder="0" applyAlignment="0" applyProtection="0"/>
    <xf numFmtId="0" fontId="68" fillId="56" borderId="0" applyNumberFormat="0" applyBorder="0" applyAlignment="0" applyProtection="0"/>
    <xf numFmtId="0" fontId="85" fillId="29" borderId="0" applyNumberFormat="0" applyBorder="0" applyAlignment="0" applyProtection="0"/>
    <xf numFmtId="0" fontId="40" fillId="33" borderId="0" applyNumberFormat="0" applyBorder="0" applyAlignment="0" applyProtection="0"/>
    <xf numFmtId="0" fontId="68" fillId="57" borderId="0" applyNumberFormat="0" applyBorder="0" applyAlignment="0" applyProtection="0"/>
    <xf numFmtId="0" fontId="68" fillId="57" borderId="0" applyNumberFormat="0" applyBorder="0" applyAlignment="0" applyProtection="0"/>
    <xf numFmtId="0" fontId="85" fillId="33" borderId="0" applyNumberFormat="0" applyBorder="0" applyAlignment="0" applyProtection="0"/>
    <xf numFmtId="0" fontId="40" fillId="37" borderId="0" applyNumberFormat="0" applyBorder="0" applyAlignment="0" applyProtection="0"/>
    <xf numFmtId="0" fontId="68" fillId="61" borderId="0" applyNumberFormat="0" applyBorder="0" applyAlignment="0" applyProtection="0"/>
    <xf numFmtId="0" fontId="68" fillId="61" borderId="0" applyNumberFormat="0" applyBorder="0" applyAlignment="0" applyProtection="0"/>
    <xf numFmtId="0" fontId="85" fillId="37" borderId="0" applyNumberFormat="0" applyBorder="0" applyAlignment="0" applyProtection="0"/>
    <xf numFmtId="0" fontId="31" fillId="11" borderId="0" applyNumberFormat="0" applyBorder="0" applyAlignment="0" applyProtection="0"/>
    <xf numFmtId="0" fontId="69" fillId="45" borderId="0" applyNumberFormat="0" applyBorder="0" applyAlignment="0" applyProtection="0"/>
    <xf numFmtId="0" fontId="69" fillId="45" borderId="0" applyNumberFormat="0" applyBorder="0" applyAlignment="0" applyProtection="0"/>
    <xf numFmtId="0" fontId="86" fillId="11" borderId="0" applyNumberFormat="0" applyBorder="0" applyAlignment="0" applyProtection="0"/>
    <xf numFmtId="0" fontId="34" fillId="14" borderId="36" applyNumberFormat="0" applyAlignment="0" applyProtection="0"/>
    <xf numFmtId="0" fontId="70" fillId="51" borderId="42" applyNumberFormat="0" applyAlignment="0" applyProtection="0"/>
    <xf numFmtId="0" fontId="70" fillId="51" borderId="42" applyNumberFormat="0" applyAlignment="0" applyProtection="0"/>
    <xf numFmtId="0" fontId="87" fillId="14" borderId="36" applyNumberFormat="0" applyAlignment="0" applyProtection="0"/>
    <xf numFmtId="0" fontId="36" fillId="15" borderId="39" applyNumberFormat="0" applyAlignment="0" applyProtection="0"/>
    <xf numFmtId="0" fontId="71" fillId="63" borderId="43" applyNumberFormat="0" applyAlignment="0" applyProtection="0"/>
    <xf numFmtId="0" fontId="71" fillId="63" borderId="43" applyNumberFormat="0" applyAlignment="0" applyProtection="0"/>
    <xf numFmtId="0" fontId="88" fillId="15" borderId="39" applyNumberFormat="0" applyAlignment="0" applyProtection="0"/>
    <xf numFmtId="43" fontId="8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3" fillId="0" borderId="0" applyFont="0" applyFill="0" applyBorder="0" applyAlignment="0" applyProtection="0"/>
    <xf numFmtId="43" fontId="6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3" fillId="0" borderId="0" applyFont="0" applyFill="0" applyBorder="0" applyAlignment="0" applyProtection="0"/>
    <xf numFmtId="43" fontId="6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3" fontId="12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89" fillId="0" borderId="0" applyFont="0" applyFill="0" applyBorder="0" applyAlignment="0" applyProtection="0"/>
    <xf numFmtId="5" fontId="12" fillId="0" borderId="0" applyFont="0" applyFill="0" applyBorder="0" applyAlignment="0" applyProtection="0"/>
    <xf numFmtId="14" fontId="12" fillId="0" borderId="0" applyFont="0" applyFill="0" applyBorder="0" applyAlignment="0" applyProtection="0"/>
    <xf numFmtId="16" fontId="12" fillId="0" borderId="0" applyFont="0" applyFill="0" applyBorder="0" applyAlignment="0" applyProtection="0"/>
    <xf numFmtId="0" fontId="38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2" fontId="12" fillId="0" borderId="0" applyFont="0" applyFill="0" applyBorder="0" applyAlignment="0" applyProtection="0"/>
    <xf numFmtId="0" fontId="30" fillId="10" borderId="0" applyNumberFormat="0" applyBorder="0" applyAlignment="0" applyProtection="0"/>
    <xf numFmtId="0" fontId="73" fillId="46" borderId="0" applyNumberFormat="0" applyBorder="0" applyAlignment="0" applyProtection="0"/>
    <xf numFmtId="0" fontId="73" fillId="46" borderId="0" applyNumberFormat="0" applyBorder="0" applyAlignment="0" applyProtection="0"/>
    <xf numFmtId="0" fontId="91" fillId="10" borderId="0" applyNumberFormat="0" applyBorder="0" applyAlignment="0" applyProtection="0"/>
    <xf numFmtId="0" fontId="27" fillId="0" borderId="33" applyNumberFormat="0" applyFill="0" applyAlignment="0" applyProtection="0"/>
    <xf numFmtId="0" fontId="79" fillId="0" borderId="44" applyNumberFormat="0" applyFill="0" applyAlignment="0" applyProtection="0"/>
    <xf numFmtId="0" fontId="79" fillId="0" borderId="44" applyNumberFormat="0" applyFill="0" applyAlignment="0" applyProtection="0"/>
    <xf numFmtId="0" fontId="92" fillId="0" borderId="33" applyNumberFormat="0" applyFill="0" applyAlignment="0" applyProtection="0"/>
    <xf numFmtId="0" fontId="28" fillId="0" borderId="34" applyNumberFormat="0" applyFill="0" applyAlignment="0" applyProtection="0"/>
    <xf numFmtId="0" fontId="80" fillId="0" borderId="45" applyNumberFormat="0" applyFill="0" applyAlignment="0" applyProtection="0"/>
    <xf numFmtId="0" fontId="80" fillId="0" borderId="45" applyNumberFormat="0" applyFill="0" applyAlignment="0" applyProtection="0"/>
    <xf numFmtId="0" fontId="93" fillId="0" borderId="34" applyNumberFormat="0" applyFill="0" applyAlignment="0" applyProtection="0"/>
    <xf numFmtId="0" fontId="29" fillId="0" borderId="35" applyNumberFormat="0" applyFill="0" applyAlignment="0" applyProtection="0"/>
    <xf numFmtId="0" fontId="81" fillId="0" borderId="46" applyNumberFormat="0" applyFill="0" applyAlignment="0" applyProtection="0"/>
    <xf numFmtId="0" fontId="81" fillId="0" borderId="46" applyNumberFormat="0" applyFill="0" applyAlignment="0" applyProtection="0"/>
    <xf numFmtId="0" fontId="94" fillId="0" borderId="35" applyNumberFormat="0" applyFill="0" applyAlignment="0" applyProtection="0"/>
    <xf numFmtId="0" fontId="29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32" fillId="13" borderId="36" applyNumberFormat="0" applyAlignment="0" applyProtection="0"/>
    <xf numFmtId="0" fontId="74" fillId="44" borderId="42" applyNumberFormat="0" applyAlignment="0" applyProtection="0"/>
    <xf numFmtId="0" fontId="74" fillId="44" borderId="42" applyNumberFormat="0" applyAlignment="0" applyProtection="0"/>
    <xf numFmtId="0" fontId="96" fillId="13" borderId="36" applyNumberFormat="0" applyAlignment="0" applyProtection="0"/>
    <xf numFmtId="0" fontId="35" fillId="0" borderId="38" applyNumberFormat="0" applyFill="0" applyAlignment="0" applyProtection="0"/>
    <xf numFmtId="0" fontId="75" fillId="0" borderId="47" applyNumberFormat="0" applyFill="0" applyAlignment="0" applyProtection="0"/>
    <xf numFmtId="0" fontId="75" fillId="0" borderId="47" applyNumberFormat="0" applyFill="0" applyAlignment="0" applyProtection="0"/>
    <xf numFmtId="0" fontId="97" fillId="0" borderId="38" applyNumberFormat="0" applyFill="0" applyAlignment="0" applyProtection="0"/>
    <xf numFmtId="0" fontId="59" fillId="12" borderId="0" applyNumberFormat="0" applyBorder="0" applyAlignment="0" applyProtection="0"/>
    <xf numFmtId="0" fontId="76" fillId="53" borderId="0" applyNumberFormat="0" applyBorder="0" applyAlignment="0" applyProtection="0"/>
    <xf numFmtId="0" fontId="76" fillId="53" borderId="0" applyNumberFormat="0" applyBorder="0" applyAlignment="0" applyProtection="0"/>
    <xf numFmtId="0" fontId="98" fillId="12" borderId="0" applyNumberFormat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8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63" fillId="0" borderId="0"/>
    <xf numFmtId="0" fontId="6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12" fillId="0" borderId="0"/>
    <xf numFmtId="0" fontId="63" fillId="0" borderId="0"/>
    <xf numFmtId="0" fontId="63" fillId="0" borderId="0"/>
    <xf numFmtId="0" fontId="12" fillId="0" borderId="0"/>
    <xf numFmtId="0" fontId="11" fillId="0" borderId="0"/>
    <xf numFmtId="0" fontId="11" fillId="0" borderId="0"/>
    <xf numFmtId="0" fontId="63" fillId="0" borderId="0"/>
    <xf numFmtId="0" fontId="11" fillId="0" borderId="0"/>
    <xf numFmtId="0" fontId="63" fillId="0" borderId="0"/>
    <xf numFmtId="0" fontId="84" fillId="0" borderId="0"/>
    <xf numFmtId="0" fontId="83" fillId="0" borderId="0"/>
    <xf numFmtId="0" fontId="11" fillId="0" borderId="0"/>
    <xf numFmtId="0" fontId="11" fillId="0" borderId="0"/>
    <xf numFmtId="0" fontId="66" fillId="47" borderId="48" applyNumberFormat="0" applyFont="0" applyAlignment="0" applyProtection="0"/>
    <xf numFmtId="0" fontId="63" fillId="16" borderId="40" applyNumberFormat="0" applyFont="0" applyAlignment="0" applyProtection="0"/>
    <xf numFmtId="0" fontId="63" fillId="16" borderId="40" applyNumberFormat="0" applyFont="0" applyAlignment="0" applyProtection="0"/>
    <xf numFmtId="0" fontId="66" fillId="47" borderId="48" applyNumberFormat="0" applyFont="0" applyAlignment="0" applyProtection="0"/>
    <xf numFmtId="0" fontId="11" fillId="16" borderId="40" applyNumberFormat="0" applyFont="0" applyAlignment="0" applyProtection="0"/>
    <xf numFmtId="0" fontId="11" fillId="16" borderId="40" applyNumberFormat="0" applyFont="0" applyAlignment="0" applyProtection="0"/>
    <xf numFmtId="0" fontId="11" fillId="16" borderId="40" applyNumberFormat="0" applyFont="0" applyAlignment="0" applyProtection="0"/>
    <xf numFmtId="0" fontId="11" fillId="16" borderId="40" applyNumberFormat="0" applyFont="0" applyAlignment="0" applyProtection="0"/>
    <xf numFmtId="0" fontId="11" fillId="16" borderId="40" applyNumberFormat="0" applyFont="0" applyAlignment="0" applyProtection="0"/>
    <xf numFmtId="0" fontId="11" fillId="16" borderId="40" applyNumberFormat="0" applyFont="0" applyAlignment="0" applyProtection="0"/>
    <xf numFmtId="0" fontId="33" fillId="14" borderId="37" applyNumberFormat="0" applyAlignment="0" applyProtection="0"/>
    <xf numFmtId="0" fontId="77" fillId="51" borderId="49" applyNumberFormat="0" applyAlignment="0" applyProtection="0"/>
    <xf numFmtId="0" fontId="77" fillId="51" borderId="49" applyNumberFormat="0" applyAlignment="0" applyProtection="0"/>
    <xf numFmtId="0" fontId="99" fillId="14" borderId="37" applyNumberFormat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63" fillId="0" borderId="0" applyFont="0" applyFill="0" applyBorder="0" applyAlignment="0" applyProtection="0"/>
    <xf numFmtId="9" fontId="6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29" fillId="64" borderId="51">
      <alignment vertical="center"/>
    </xf>
    <xf numFmtId="0" fontId="100" fillId="65" borderId="52">
      <alignment horizontal="left" vertical="center"/>
    </xf>
    <xf numFmtId="167" fontId="65" fillId="66" borderId="53">
      <alignment vertical="center"/>
    </xf>
    <xf numFmtId="37" fontId="101" fillId="67" borderId="54" applyNumberFormat="0">
      <alignment vertical="center"/>
      <protection locked="0"/>
    </xf>
    <xf numFmtId="37" fontId="100" fillId="41" borderId="0">
      <alignment horizontal="left" vertical="center"/>
    </xf>
    <xf numFmtId="0" fontId="102" fillId="68" borderId="0">
      <alignment horizontal="right" vertical="center"/>
    </xf>
    <xf numFmtId="0" fontId="82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9" fillId="0" borderId="41" applyNumberFormat="0" applyFill="0" applyAlignment="0" applyProtection="0"/>
    <xf numFmtId="0" fontId="78" fillId="0" borderId="50" applyNumberFormat="0" applyFill="0" applyAlignment="0" applyProtection="0"/>
    <xf numFmtId="0" fontId="78" fillId="0" borderId="50" applyNumberFormat="0" applyFill="0" applyAlignment="0" applyProtection="0"/>
    <xf numFmtId="0" fontId="62" fillId="0" borderId="41" applyNumberFormat="0" applyFill="0" applyAlignment="0" applyProtection="0"/>
    <xf numFmtId="0" fontId="3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43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37" fontId="25" fillId="0" borderId="0"/>
    <xf numFmtId="37" fontId="17" fillId="0" borderId="0"/>
    <xf numFmtId="37" fontId="17" fillId="0" borderId="0"/>
    <xf numFmtId="37" fontId="17" fillId="0" borderId="0"/>
    <xf numFmtId="0" fontId="12" fillId="0" borderId="0"/>
    <xf numFmtId="37" fontId="25" fillId="0" borderId="0"/>
    <xf numFmtId="37" fontId="17" fillId="0" borderId="0"/>
    <xf numFmtId="0" fontId="11" fillId="0" borderId="0"/>
    <xf numFmtId="0" fontId="12" fillId="0" borderId="0"/>
    <xf numFmtId="43" fontId="12" fillId="0" borderId="0" applyFont="0" applyFill="0" applyBorder="0" applyAlignment="0" applyProtection="0"/>
    <xf numFmtId="0" fontId="11" fillId="0" borderId="0"/>
    <xf numFmtId="0" fontId="12" fillId="0" borderId="0"/>
    <xf numFmtId="0" fontId="45" fillId="0" borderId="0"/>
    <xf numFmtId="9" fontId="45" fillId="0" borderId="0" applyFont="0" applyFill="0" applyBorder="0" applyAlignment="0" applyProtection="0"/>
    <xf numFmtId="37" fontId="25" fillId="0" borderId="0"/>
    <xf numFmtId="37" fontId="17" fillId="0" borderId="0"/>
    <xf numFmtId="43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0" fontId="11" fillId="0" borderId="0"/>
    <xf numFmtId="0" fontId="11" fillId="0" borderId="0"/>
    <xf numFmtId="0" fontId="11" fillId="0" borderId="0"/>
    <xf numFmtId="9" fontId="12" fillId="0" borderId="0" applyFont="0" applyFill="0" applyBorder="0" applyAlignment="0" applyProtection="0"/>
    <xf numFmtId="9" fontId="45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2" borderId="0" applyNumberFormat="0" applyBorder="0" applyAlignment="0" applyProtection="0"/>
    <xf numFmtId="0" fontId="11" fillId="23" borderId="0" applyNumberFormat="0" applyBorder="0" applyAlignment="0" applyProtection="0"/>
    <xf numFmtId="0" fontId="11" fillId="26" borderId="0" applyNumberFormat="0" applyBorder="0" applyAlignment="0" applyProtection="0"/>
    <xf numFmtId="0" fontId="11" fillId="27" borderId="0" applyNumberFormat="0" applyBorder="0" applyAlignment="0" applyProtection="0"/>
    <xf numFmtId="0" fontId="11" fillId="30" borderId="0" applyNumberFormat="0" applyBorder="0" applyAlignment="0" applyProtection="0"/>
    <xf numFmtId="0" fontId="11" fillId="31" borderId="0" applyNumberFormat="0" applyBorder="0" applyAlignment="0" applyProtection="0"/>
    <xf numFmtId="0" fontId="11" fillId="34" borderId="0" applyNumberFormat="0" applyBorder="0" applyAlignment="0" applyProtection="0"/>
    <xf numFmtId="0" fontId="11" fillId="35" borderId="0" applyNumberFormat="0" applyBorder="0" applyAlignment="0" applyProtection="0"/>
    <xf numFmtId="0" fontId="11" fillId="38" borderId="0" applyNumberFormat="0" applyBorder="0" applyAlignment="0" applyProtection="0"/>
    <xf numFmtId="0" fontId="11" fillId="39" borderId="0" applyNumberFormat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0" fontId="11" fillId="16" borderId="40" applyNumberFormat="0" applyFont="0" applyAlignment="0" applyProtection="0"/>
    <xf numFmtId="0" fontId="11" fillId="0" borderId="0"/>
    <xf numFmtId="9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30" borderId="0" applyNumberFormat="0" applyBorder="0" applyAlignment="0" applyProtection="0"/>
    <xf numFmtId="0" fontId="11" fillId="30" borderId="0" applyNumberFormat="0" applyBorder="0" applyAlignment="0" applyProtection="0"/>
    <xf numFmtId="0" fontId="11" fillId="30" borderId="0" applyNumberFormat="0" applyBorder="0" applyAlignment="0" applyProtection="0"/>
    <xf numFmtId="0" fontId="11" fillId="30" borderId="0" applyNumberFormat="0" applyBorder="0" applyAlignment="0" applyProtection="0"/>
    <xf numFmtId="0" fontId="11" fillId="30" borderId="0" applyNumberFormat="0" applyBorder="0" applyAlignment="0" applyProtection="0"/>
    <xf numFmtId="0" fontId="11" fillId="30" borderId="0" applyNumberFormat="0" applyBorder="0" applyAlignment="0" applyProtection="0"/>
    <xf numFmtId="0" fontId="11" fillId="30" borderId="0" applyNumberFormat="0" applyBorder="0" applyAlignment="0" applyProtection="0"/>
    <xf numFmtId="0" fontId="11" fillId="30" borderId="0" applyNumberFormat="0" applyBorder="0" applyAlignment="0" applyProtection="0"/>
    <xf numFmtId="0" fontId="11" fillId="30" borderId="0" applyNumberFormat="0" applyBorder="0" applyAlignment="0" applyProtection="0"/>
    <xf numFmtId="0" fontId="11" fillId="34" borderId="0" applyNumberFormat="0" applyBorder="0" applyAlignment="0" applyProtection="0"/>
    <xf numFmtId="0" fontId="11" fillId="34" borderId="0" applyNumberFormat="0" applyBorder="0" applyAlignment="0" applyProtection="0"/>
    <xf numFmtId="0" fontId="11" fillId="34" borderId="0" applyNumberFormat="0" applyBorder="0" applyAlignment="0" applyProtection="0"/>
    <xf numFmtId="0" fontId="11" fillId="34" borderId="0" applyNumberFormat="0" applyBorder="0" applyAlignment="0" applyProtection="0"/>
    <xf numFmtId="0" fontId="11" fillId="34" borderId="0" applyNumberFormat="0" applyBorder="0" applyAlignment="0" applyProtection="0"/>
    <xf numFmtId="0" fontId="11" fillId="34" borderId="0" applyNumberFormat="0" applyBorder="0" applyAlignment="0" applyProtection="0"/>
    <xf numFmtId="0" fontId="11" fillId="34" borderId="0" applyNumberFormat="0" applyBorder="0" applyAlignment="0" applyProtection="0"/>
    <xf numFmtId="0" fontId="11" fillId="34" borderId="0" applyNumberFormat="0" applyBorder="0" applyAlignment="0" applyProtection="0"/>
    <xf numFmtId="0" fontId="11" fillId="34" borderId="0" applyNumberFormat="0" applyBorder="0" applyAlignment="0" applyProtection="0"/>
    <xf numFmtId="0" fontId="11" fillId="38" borderId="0" applyNumberFormat="0" applyBorder="0" applyAlignment="0" applyProtection="0"/>
    <xf numFmtId="0" fontId="11" fillId="38" borderId="0" applyNumberFormat="0" applyBorder="0" applyAlignment="0" applyProtection="0"/>
    <xf numFmtId="0" fontId="11" fillId="38" borderId="0" applyNumberFormat="0" applyBorder="0" applyAlignment="0" applyProtection="0"/>
    <xf numFmtId="0" fontId="11" fillId="38" borderId="0" applyNumberFormat="0" applyBorder="0" applyAlignment="0" applyProtection="0"/>
    <xf numFmtId="0" fontId="11" fillId="38" borderId="0" applyNumberFormat="0" applyBorder="0" applyAlignment="0" applyProtection="0"/>
    <xf numFmtId="0" fontId="11" fillId="38" borderId="0" applyNumberFormat="0" applyBorder="0" applyAlignment="0" applyProtection="0"/>
    <xf numFmtId="0" fontId="11" fillId="38" borderId="0" applyNumberFormat="0" applyBorder="0" applyAlignment="0" applyProtection="0"/>
    <xf numFmtId="0" fontId="11" fillId="38" borderId="0" applyNumberFormat="0" applyBorder="0" applyAlignment="0" applyProtection="0"/>
    <xf numFmtId="0" fontId="11" fillId="38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11" fillId="31" borderId="0" applyNumberFormat="0" applyBorder="0" applyAlignment="0" applyProtection="0"/>
    <xf numFmtId="0" fontId="11" fillId="31" borderId="0" applyNumberFormat="0" applyBorder="0" applyAlignment="0" applyProtection="0"/>
    <xf numFmtId="0" fontId="11" fillId="31" borderId="0" applyNumberFormat="0" applyBorder="0" applyAlignment="0" applyProtection="0"/>
    <xf numFmtId="0" fontId="11" fillId="31" borderId="0" applyNumberFormat="0" applyBorder="0" applyAlignment="0" applyProtection="0"/>
    <xf numFmtId="0" fontId="11" fillId="31" borderId="0" applyNumberFormat="0" applyBorder="0" applyAlignment="0" applyProtection="0"/>
    <xf numFmtId="0" fontId="11" fillId="31" borderId="0" applyNumberFormat="0" applyBorder="0" applyAlignment="0" applyProtection="0"/>
    <xf numFmtId="0" fontId="11" fillId="31" borderId="0" applyNumberFormat="0" applyBorder="0" applyAlignment="0" applyProtection="0"/>
    <xf numFmtId="0" fontId="11" fillId="31" borderId="0" applyNumberFormat="0" applyBorder="0" applyAlignment="0" applyProtection="0"/>
    <xf numFmtId="0" fontId="11" fillId="31" borderId="0" applyNumberFormat="0" applyBorder="0" applyAlignment="0" applyProtection="0"/>
    <xf numFmtId="0" fontId="11" fillId="35" borderId="0" applyNumberFormat="0" applyBorder="0" applyAlignment="0" applyProtection="0"/>
    <xf numFmtId="0" fontId="11" fillId="35" borderId="0" applyNumberFormat="0" applyBorder="0" applyAlignment="0" applyProtection="0"/>
    <xf numFmtId="0" fontId="11" fillId="35" borderId="0" applyNumberFormat="0" applyBorder="0" applyAlignment="0" applyProtection="0"/>
    <xf numFmtId="0" fontId="11" fillId="35" borderId="0" applyNumberFormat="0" applyBorder="0" applyAlignment="0" applyProtection="0"/>
    <xf numFmtId="0" fontId="11" fillId="35" borderId="0" applyNumberFormat="0" applyBorder="0" applyAlignment="0" applyProtection="0"/>
    <xf numFmtId="0" fontId="11" fillId="35" borderId="0" applyNumberFormat="0" applyBorder="0" applyAlignment="0" applyProtection="0"/>
    <xf numFmtId="0" fontId="11" fillId="35" borderId="0" applyNumberFormat="0" applyBorder="0" applyAlignment="0" applyProtection="0"/>
    <xf numFmtId="0" fontId="11" fillId="35" borderId="0" applyNumberFormat="0" applyBorder="0" applyAlignment="0" applyProtection="0"/>
    <xf numFmtId="0" fontId="11" fillId="35" borderId="0" applyNumberFormat="0" applyBorder="0" applyAlignment="0" applyProtection="0"/>
    <xf numFmtId="0" fontId="11" fillId="39" borderId="0" applyNumberFormat="0" applyBorder="0" applyAlignment="0" applyProtection="0"/>
    <xf numFmtId="0" fontId="11" fillId="39" borderId="0" applyNumberFormat="0" applyBorder="0" applyAlignment="0" applyProtection="0"/>
    <xf numFmtId="0" fontId="11" fillId="39" borderId="0" applyNumberFormat="0" applyBorder="0" applyAlignment="0" applyProtection="0"/>
    <xf numFmtId="0" fontId="11" fillId="39" borderId="0" applyNumberFormat="0" applyBorder="0" applyAlignment="0" applyProtection="0"/>
    <xf numFmtId="0" fontId="11" fillId="39" borderId="0" applyNumberFormat="0" applyBorder="0" applyAlignment="0" applyProtection="0"/>
    <xf numFmtId="0" fontId="11" fillId="39" borderId="0" applyNumberFormat="0" applyBorder="0" applyAlignment="0" applyProtection="0"/>
    <xf numFmtId="0" fontId="11" fillId="39" borderId="0" applyNumberFormat="0" applyBorder="0" applyAlignment="0" applyProtection="0"/>
    <xf numFmtId="0" fontId="11" fillId="39" borderId="0" applyNumberFormat="0" applyBorder="0" applyAlignment="0" applyProtection="0"/>
    <xf numFmtId="0" fontId="11" fillId="39" borderId="0" applyNumberFormat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16" borderId="40" applyNumberFormat="0" applyFont="0" applyAlignment="0" applyProtection="0"/>
    <xf numFmtId="0" fontId="11" fillId="16" borderId="40" applyNumberFormat="0" applyFont="0" applyAlignment="0" applyProtection="0"/>
    <xf numFmtId="0" fontId="11" fillId="16" borderId="40" applyNumberFormat="0" applyFont="0" applyAlignment="0" applyProtection="0"/>
    <xf numFmtId="0" fontId="11" fillId="16" borderId="40" applyNumberFormat="0" applyFont="0" applyAlignment="0" applyProtection="0"/>
    <xf numFmtId="0" fontId="11" fillId="16" borderId="40" applyNumberFormat="0" applyFont="0" applyAlignment="0" applyProtection="0"/>
    <xf numFmtId="0" fontId="11" fillId="16" borderId="40" applyNumberFormat="0" applyFont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2" borderId="0" applyNumberFormat="0" applyBorder="0" applyAlignment="0" applyProtection="0"/>
    <xf numFmtId="0" fontId="11" fillId="23" borderId="0" applyNumberFormat="0" applyBorder="0" applyAlignment="0" applyProtection="0"/>
    <xf numFmtId="0" fontId="11" fillId="26" borderId="0" applyNumberFormat="0" applyBorder="0" applyAlignment="0" applyProtection="0"/>
    <xf numFmtId="0" fontId="11" fillId="27" borderId="0" applyNumberFormat="0" applyBorder="0" applyAlignment="0" applyProtection="0"/>
    <xf numFmtId="0" fontId="11" fillId="30" borderId="0" applyNumberFormat="0" applyBorder="0" applyAlignment="0" applyProtection="0"/>
    <xf numFmtId="0" fontId="11" fillId="31" borderId="0" applyNumberFormat="0" applyBorder="0" applyAlignment="0" applyProtection="0"/>
    <xf numFmtId="0" fontId="11" fillId="34" borderId="0" applyNumberFormat="0" applyBorder="0" applyAlignment="0" applyProtection="0"/>
    <xf numFmtId="0" fontId="11" fillId="35" borderId="0" applyNumberFormat="0" applyBorder="0" applyAlignment="0" applyProtection="0"/>
    <xf numFmtId="0" fontId="11" fillId="38" borderId="0" applyNumberFormat="0" applyBorder="0" applyAlignment="0" applyProtection="0"/>
    <xf numFmtId="0" fontId="11" fillId="39" borderId="0" applyNumberFormat="0" applyBorder="0" applyAlignment="0" applyProtection="0"/>
    <xf numFmtId="0" fontId="11" fillId="0" borderId="0"/>
    <xf numFmtId="43" fontId="12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16" borderId="40" applyNumberFormat="0" applyFont="0" applyAlignment="0" applyProtection="0"/>
    <xf numFmtId="0" fontId="11" fillId="0" borderId="0"/>
    <xf numFmtId="43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9" fontId="12" fillId="0" borderId="0" applyFont="0" applyFill="0" applyBorder="0" applyAlignment="0" applyProtection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2" borderId="0" applyNumberFormat="0" applyBorder="0" applyAlignment="0" applyProtection="0"/>
    <xf numFmtId="0" fontId="11" fillId="23" borderId="0" applyNumberFormat="0" applyBorder="0" applyAlignment="0" applyProtection="0"/>
    <xf numFmtId="0" fontId="11" fillId="26" borderId="0" applyNumberFormat="0" applyBorder="0" applyAlignment="0" applyProtection="0"/>
    <xf numFmtId="0" fontId="11" fillId="27" borderId="0" applyNumberFormat="0" applyBorder="0" applyAlignment="0" applyProtection="0"/>
    <xf numFmtId="0" fontId="11" fillId="30" borderId="0" applyNumberFormat="0" applyBorder="0" applyAlignment="0" applyProtection="0"/>
    <xf numFmtId="0" fontId="11" fillId="31" borderId="0" applyNumberFormat="0" applyBorder="0" applyAlignment="0" applyProtection="0"/>
    <xf numFmtId="0" fontId="11" fillId="34" borderId="0" applyNumberFormat="0" applyBorder="0" applyAlignment="0" applyProtection="0"/>
    <xf numFmtId="0" fontId="11" fillId="35" borderId="0" applyNumberFormat="0" applyBorder="0" applyAlignment="0" applyProtection="0"/>
    <xf numFmtId="0" fontId="11" fillId="38" borderId="0" applyNumberFormat="0" applyBorder="0" applyAlignment="0" applyProtection="0"/>
    <xf numFmtId="0" fontId="11" fillId="39" borderId="0" applyNumberFormat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0" fontId="11" fillId="16" borderId="40" applyNumberFormat="0" applyFont="0" applyAlignment="0" applyProtection="0"/>
    <xf numFmtId="0" fontId="11" fillId="0" borderId="0"/>
    <xf numFmtId="9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30" borderId="0" applyNumberFormat="0" applyBorder="0" applyAlignment="0" applyProtection="0"/>
    <xf numFmtId="0" fontId="11" fillId="30" borderId="0" applyNumberFormat="0" applyBorder="0" applyAlignment="0" applyProtection="0"/>
    <xf numFmtId="0" fontId="11" fillId="30" borderId="0" applyNumberFormat="0" applyBorder="0" applyAlignment="0" applyProtection="0"/>
    <xf numFmtId="0" fontId="11" fillId="30" borderId="0" applyNumberFormat="0" applyBorder="0" applyAlignment="0" applyProtection="0"/>
    <xf numFmtId="0" fontId="11" fillId="30" borderId="0" applyNumberFormat="0" applyBorder="0" applyAlignment="0" applyProtection="0"/>
    <xf numFmtId="0" fontId="11" fillId="30" borderId="0" applyNumberFormat="0" applyBorder="0" applyAlignment="0" applyProtection="0"/>
    <xf numFmtId="0" fontId="11" fillId="30" borderId="0" applyNumberFormat="0" applyBorder="0" applyAlignment="0" applyProtection="0"/>
    <xf numFmtId="0" fontId="11" fillId="30" borderId="0" applyNumberFormat="0" applyBorder="0" applyAlignment="0" applyProtection="0"/>
    <xf numFmtId="0" fontId="11" fillId="30" borderId="0" applyNumberFormat="0" applyBorder="0" applyAlignment="0" applyProtection="0"/>
    <xf numFmtId="0" fontId="11" fillId="34" borderId="0" applyNumberFormat="0" applyBorder="0" applyAlignment="0" applyProtection="0"/>
    <xf numFmtId="0" fontId="11" fillId="34" borderId="0" applyNumberFormat="0" applyBorder="0" applyAlignment="0" applyProtection="0"/>
    <xf numFmtId="0" fontId="11" fillId="34" borderId="0" applyNumberFormat="0" applyBorder="0" applyAlignment="0" applyProtection="0"/>
    <xf numFmtId="0" fontId="11" fillId="34" borderId="0" applyNumberFormat="0" applyBorder="0" applyAlignment="0" applyProtection="0"/>
    <xf numFmtId="0" fontId="11" fillId="34" borderId="0" applyNumberFormat="0" applyBorder="0" applyAlignment="0" applyProtection="0"/>
    <xf numFmtId="0" fontId="11" fillId="34" borderId="0" applyNumberFormat="0" applyBorder="0" applyAlignment="0" applyProtection="0"/>
    <xf numFmtId="0" fontId="11" fillId="34" borderId="0" applyNumberFormat="0" applyBorder="0" applyAlignment="0" applyProtection="0"/>
    <xf numFmtId="0" fontId="11" fillId="34" borderId="0" applyNumberFormat="0" applyBorder="0" applyAlignment="0" applyProtection="0"/>
    <xf numFmtId="0" fontId="11" fillId="34" borderId="0" applyNumberFormat="0" applyBorder="0" applyAlignment="0" applyProtection="0"/>
    <xf numFmtId="0" fontId="11" fillId="38" borderId="0" applyNumberFormat="0" applyBorder="0" applyAlignment="0" applyProtection="0"/>
    <xf numFmtId="0" fontId="11" fillId="38" borderId="0" applyNumberFormat="0" applyBorder="0" applyAlignment="0" applyProtection="0"/>
    <xf numFmtId="0" fontId="11" fillId="38" borderId="0" applyNumberFormat="0" applyBorder="0" applyAlignment="0" applyProtection="0"/>
    <xf numFmtId="0" fontId="11" fillId="38" borderId="0" applyNumberFormat="0" applyBorder="0" applyAlignment="0" applyProtection="0"/>
    <xf numFmtId="0" fontId="11" fillId="38" borderId="0" applyNumberFormat="0" applyBorder="0" applyAlignment="0" applyProtection="0"/>
    <xf numFmtId="0" fontId="11" fillId="38" borderId="0" applyNumberFormat="0" applyBorder="0" applyAlignment="0" applyProtection="0"/>
    <xf numFmtId="0" fontId="11" fillId="38" borderId="0" applyNumberFormat="0" applyBorder="0" applyAlignment="0" applyProtection="0"/>
    <xf numFmtId="0" fontId="11" fillId="38" borderId="0" applyNumberFormat="0" applyBorder="0" applyAlignment="0" applyProtection="0"/>
    <xf numFmtId="0" fontId="11" fillId="38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11" fillId="31" borderId="0" applyNumberFormat="0" applyBorder="0" applyAlignment="0" applyProtection="0"/>
    <xf numFmtId="0" fontId="11" fillId="31" borderId="0" applyNumberFormat="0" applyBorder="0" applyAlignment="0" applyProtection="0"/>
    <xf numFmtId="0" fontId="11" fillId="31" borderId="0" applyNumberFormat="0" applyBorder="0" applyAlignment="0" applyProtection="0"/>
    <xf numFmtId="0" fontId="11" fillId="31" borderId="0" applyNumberFormat="0" applyBorder="0" applyAlignment="0" applyProtection="0"/>
    <xf numFmtId="0" fontId="11" fillId="31" borderId="0" applyNumberFormat="0" applyBorder="0" applyAlignment="0" applyProtection="0"/>
    <xf numFmtId="0" fontId="11" fillId="31" borderId="0" applyNumberFormat="0" applyBorder="0" applyAlignment="0" applyProtection="0"/>
    <xf numFmtId="0" fontId="11" fillId="31" borderId="0" applyNumberFormat="0" applyBorder="0" applyAlignment="0" applyProtection="0"/>
    <xf numFmtId="0" fontId="11" fillId="31" borderId="0" applyNumberFormat="0" applyBorder="0" applyAlignment="0" applyProtection="0"/>
    <xf numFmtId="0" fontId="11" fillId="31" borderId="0" applyNumberFormat="0" applyBorder="0" applyAlignment="0" applyProtection="0"/>
    <xf numFmtId="0" fontId="11" fillId="35" borderId="0" applyNumberFormat="0" applyBorder="0" applyAlignment="0" applyProtection="0"/>
    <xf numFmtId="0" fontId="11" fillId="35" borderId="0" applyNumberFormat="0" applyBorder="0" applyAlignment="0" applyProtection="0"/>
    <xf numFmtId="0" fontId="11" fillId="35" borderId="0" applyNumberFormat="0" applyBorder="0" applyAlignment="0" applyProtection="0"/>
    <xf numFmtId="0" fontId="11" fillId="35" borderId="0" applyNumberFormat="0" applyBorder="0" applyAlignment="0" applyProtection="0"/>
    <xf numFmtId="0" fontId="11" fillId="35" borderId="0" applyNumberFormat="0" applyBorder="0" applyAlignment="0" applyProtection="0"/>
    <xf numFmtId="0" fontId="11" fillId="35" borderId="0" applyNumberFormat="0" applyBorder="0" applyAlignment="0" applyProtection="0"/>
    <xf numFmtId="0" fontId="11" fillId="35" borderId="0" applyNumberFormat="0" applyBorder="0" applyAlignment="0" applyProtection="0"/>
    <xf numFmtId="0" fontId="11" fillId="35" borderId="0" applyNumberFormat="0" applyBorder="0" applyAlignment="0" applyProtection="0"/>
    <xf numFmtId="0" fontId="11" fillId="35" borderId="0" applyNumberFormat="0" applyBorder="0" applyAlignment="0" applyProtection="0"/>
    <xf numFmtId="0" fontId="11" fillId="39" borderId="0" applyNumberFormat="0" applyBorder="0" applyAlignment="0" applyProtection="0"/>
    <xf numFmtId="0" fontId="11" fillId="39" borderId="0" applyNumberFormat="0" applyBorder="0" applyAlignment="0" applyProtection="0"/>
    <xf numFmtId="0" fontId="11" fillId="39" borderId="0" applyNumberFormat="0" applyBorder="0" applyAlignment="0" applyProtection="0"/>
    <xf numFmtId="0" fontId="11" fillId="39" borderId="0" applyNumberFormat="0" applyBorder="0" applyAlignment="0" applyProtection="0"/>
    <xf numFmtId="0" fontId="11" fillId="39" borderId="0" applyNumberFormat="0" applyBorder="0" applyAlignment="0" applyProtection="0"/>
    <xf numFmtId="0" fontId="11" fillId="39" borderId="0" applyNumberFormat="0" applyBorder="0" applyAlignment="0" applyProtection="0"/>
    <xf numFmtId="0" fontId="11" fillId="39" borderId="0" applyNumberFormat="0" applyBorder="0" applyAlignment="0" applyProtection="0"/>
    <xf numFmtId="0" fontId="11" fillId="39" borderId="0" applyNumberFormat="0" applyBorder="0" applyAlignment="0" applyProtection="0"/>
    <xf numFmtId="0" fontId="11" fillId="39" borderId="0" applyNumberFormat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16" borderId="40" applyNumberFormat="0" applyFont="0" applyAlignment="0" applyProtection="0"/>
    <xf numFmtId="0" fontId="11" fillId="16" borderId="40" applyNumberFormat="0" applyFont="0" applyAlignment="0" applyProtection="0"/>
    <xf numFmtId="0" fontId="11" fillId="16" borderId="40" applyNumberFormat="0" applyFont="0" applyAlignment="0" applyProtection="0"/>
    <xf numFmtId="0" fontId="11" fillId="16" borderId="40" applyNumberFormat="0" applyFont="0" applyAlignment="0" applyProtection="0"/>
    <xf numFmtId="0" fontId="11" fillId="16" borderId="40" applyNumberFormat="0" applyFont="0" applyAlignment="0" applyProtection="0"/>
    <xf numFmtId="0" fontId="11" fillId="16" borderId="40" applyNumberFormat="0" applyFont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2" borderId="0" applyNumberFormat="0" applyBorder="0" applyAlignment="0" applyProtection="0"/>
    <xf numFmtId="0" fontId="11" fillId="23" borderId="0" applyNumberFormat="0" applyBorder="0" applyAlignment="0" applyProtection="0"/>
    <xf numFmtId="0" fontId="11" fillId="26" borderId="0" applyNumberFormat="0" applyBorder="0" applyAlignment="0" applyProtection="0"/>
    <xf numFmtId="0" fontId="11" fillId="27" borderId="0" applyNumberFormat="0" applyBorder="0" applyAlignment="0" applyProtection="0"/>
    <xf numFmtId="0" fontId="11" fillId="30" borderId="0" applyNumberFormat="0" applyBorder="0" applyAlignment="0" applyProtection="0"/>
    <xf numFmtId="0" fontId="11" fillId="31" borderId="0" applyNumberFormat="0" applyBorder="0" applyAlignment="0" applyProtection="0"/>
    <xf numFmtId="0" fontId="11" fillId="34" borderId="0" applyNumberFormat="0" applyBorder="0" applyAlignment="0" applyProtection="0"/>
    <xf numFmtId="0" fontId="11" fillId="35" borderId="0" applyNumberFormat="0" applyBorder="0" applyAlignment="0" applyProtection="0"/>
    <xf numFmtId="0" fontId="11" fillId="38" borderId="0" applyNumberFormat="0" applyBorder="0" applyAlignment="0" applyProtection="0"/>
    <xf numFmtId="0" fontId="11" fillId="39" borderId="0" applyNumberFormat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0" fontId="11" fillId="16" borderId="40" applyNumberFormat="0" applyFont="0" applyAlignment="0" applyProtection="0"/>
    <xf numFmtId="0" fontId="11" fillId="0" borderId="0"/>
    <xf numFmtId="9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30" borderId="0" applyNumberFormat="0" applyBorder="0" applyAlignment="0" applyProtection="0"/>
    <xf numFmtId="0" fontId="11" fillId="30" borderId="0" applyNumberFormat="0" applyBorder="0" applyAlignment="0" applyProtection="0"/>
    <xf numFmtId="0" fontId="11" fillId="30" borderId="0" applyNumberFormat="0" applyBorder="0" applyAlignment="0" applyProtection="0"/>
    <xf numFmtId="0" fontId="11" fillId="30" borderId="0" applyNumberFormat="0" applyBorder="0" applyAlignment="0" applyProtection="0"/>
    <xf numFmtId="0" fontId="11" fillId="30" borderId="0" applyNumberFormat="0" applyBorder="0" applyAlignment="0" applyProtection="0"/>
    <xf numFmtId="0" fontId="11" fillId="30" borderId="0" applyNumberFormat="0" applyBorder="0" applyAlignment="0" applyProtection="0"/>
    <xf numFmtId="0" fontId="11" fillId="30" borderId="0" applyNumberFormat="0" applyBorder="0" applyAlignment="0" applyProtection="0"/>
    <xf numFmtId="0" fontId="11" fillId="30" borderId="0" applyNumberFormat="0" applyBorder="0" applyAlignment="0" applyProtection="0"/>
    <xf numFmtId="0" fontId="11" fillId="30" borderId="0" applyNumberFormat="0" applyBorder="0" applyAlignment="0" applyProtection="0"/>
    <xf numFmtId="0" fontId="11" fillId="34" borderId="0" applyNumberFormat="0" applyBorder="0" applyAlignment="0" applyProtection="0"/>
    <xf numFmtId="0" fontId="11" fillId="34" borderId="0" applyNumberFormat="0" applyBorder="0" applyAlignment="0" applyProtection="0"/>
    <xf numFmtId="0" fontId="11" fillId="34" borderId="0" applyNumberFormat="0" applyBorder="0" applyAlignment="0" applyProtection="0"/>
    <xf numFmtId="0" fontId="11" fillId="34" borderId="0" applyNumberFormat="0" applyBorder="0" applyAlignment="0" applyProtection="0"/>
    <xf numFmtId="0" fontId="11" fillId="34" borderId="0" applyNumberFormat="0" applyBorder="0" applyAlignment="0" applyProtection="0"/>
    <xf numFmtId="0" fontId="11" fillId="34" borderId="0" applyNumberFormat="0" applyBorder="0" applyAlignment="0" applyProtection="0"/>
    <xf numFmtId="0" fontId="11" fillId="34" borderId="0" applyNumberFormat="0" applyBorder="0" applyAlignment="0" applyProtection="0"/>
    <xf numFmtId="0" fontId="11" fillId="34" borderId="0" applyNumberFormat="0" applyBorder="0" applyAlignment="0" applyProtection="0"/>
    <xf numFmtId="0" fontId="11" fillId="34" borderId="0" applyNumberFormat="0" applyBorder="0" applyAlignment="0" applyProtection="0"/>
    <xf numFmtId="0" fontId="11" fillId="38" borderId="0" applyNumberFormat="0" applyBorder="0" applyAlignment="0" applyProtection="0"/>
    <xf numFmtId="0" fontId="11" fillId="38" borderId="0" applyNumberFormat="0" applyBorder="0" applyAlignment="0" applyProtection="0"/>
    <xf numFmtId="0" fontId="11" fillId="38" borderId="0" applyNumberFormat="0" applyBorder="0" applyAlignment="0" applyProtection="0"/>
    <xf numFmtId="0" fontId="11" fillId="38" borderId="0" applyNumberFormat="0" applyBorder="0" applyAlignment="0" applyProtection="0"/>
    <xf numFmtId="0" fontId="11" fillId="38" borderId="0" applyNumberFormat="0" applyBorder="0" applyAlignment="0" applyProtection="0"/>
    <xf numFmtId="0" fontId="11" fillId="38" borderId="0" applyNumberFormat="0" applyBorder="0" applyAlignment="0" applyProtection="0"/>
    <xf numFmtId="0" fontId="11" fillId="38" borderId="0" applyNumberFormat="0" applyBorder="0" applyAlignment="0" applyProtection="0"/>
    <xf numFmtId="0" fontId="11" fillId="38" borderId="0" applyNumberFormat="0" applyBorder="0" applyAlignment="0" applyProtection="0"/>
    <xf numFmtId="0" fontId="11" fillId="38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11" fillId="31" borderId="0" applyNumberFormat="0" applyBorder="0" applyAlignment="0" applyProtection="0"/>
    <xf numFmtId="0" fontId="11" fillId="31" borderId="0" applyNumberFormat="0" applyBorder="0" applyAlignment="0" applyProtection="0"/>
    <xf numFmtId="0" fontId="11" fillId="31" borderId="0" applyNumberFormat="0" applyBorder="0" applyAlignment="0" applyProtection="0"/>
    <xf numFmtId="0" fontId="11" fillId="31" borderId="0" applyNumberFormat="0" applyBorder="0" applyAlignment="0" applyProtection="0"/>
    <xf numFmtId="0" fontId="11" fillId="31" borderId="0" applyNumberFormat="0" applyBorder="0" applyAlignment="0" applyProtection="0"/>
    <xf numFmtId="0" fontId="11" fillId="31" borderId="0" applyNumberFormat="0" applyBorder="0" applyAlignment="0" applyProtection="0"/>
    <xf numFmtId="0" fontId="11" fillId="31" borderId="0" applyNumberFormat="0" applyBorder="0" applyAlignment="0" applyProtection="0"/>
    <xf numFmtId="0" fontId="11" fillId="31" borderId="0" applyNumberFormat="0" applyBorder="0" applyAlignment="0" applyProtection="0"/>
    <xf numFmtId="0" fontId="11" fillId="31" borderId="0" applyNumberFormat="0" applyBorder="0" applyAlignment="0" applyProtection="0"/>
    <xf numFmtId="0" fontId="11" fillId="35" borderId="0" applyNumberFormat="0" applyBorder="0" applyAlignment="0" applyProtection="0"/>
    <xf numFmtId="0" fontId="11" fillId="35" borderId="0" applyNumberFormat="0" applyBorder="0" applyAlignment="0" applyProtection="0"/>
    <xf numFmtId="0" fontId="11" fillId="35" borderId="0" applyNumberFormat="0" applyBorder="0" applyAlignment="0" applyProtection="0"/>
    <xf numFmtId="0" fontId="11" fillId="35" borderId="0" applyNumberFormat="0" applyBorder="0" applyAlignment="0" applyProtection="0"/>
    <xf numFmtId="0" fontId="11" fillId="35" borderId="0" applyNumberFormat="0" applyBorder="0" applyAlignment="0" applyProtection="0"/>
    <xf numFmtId="0" fontId="11" fillId="35" borderId="0" applyNumberFormat="0" applyBorder="0" applyAlignment="0" applyProtection="0"/>
    <xf numFmtId="0" fontId="11" fillId="35" borderId="0" applyNumberFormat="0" applyBorder="0" applyAlignment="0" applyProtection="0"/>
    <xf numFmtId="0" fontId="11" fillId="35" borderId="0" applyNumberFormat="0" applyBorder="0" applyAlignment="0" applyProtection="0"/>
    <xf numFmtId="0" fontId="11" fillId="35" borderId="0" applyNumberFormat="0" applyBorder="0" applyAlignment="0" applyProtection="0"/>
    <xf numFmtId="0" fontId="11" fillId="39" borderId="0" applyNumberFormat="0" applyBorder="0" applyAlignment="0" applyProtection="0"/>
    <xf numFmtId="0" fontId="11" fillId="39" borderId="0" applyNumberFormat="0" applyBorder="0" applyAlignment="0" applyProtection="0"/>
    <xf numFmtId="0" fontId="11" fillId="39" borderId="0" applyNumberFormat="0" applyBorder="0" applyAlignment="0" applyProtection="0"/>
    <xf numFmtId="0" fontId="11" fillId="39" borderId="0" applyNumberFormat="0" applyBorder="0" applyAlignment="0" applyProtection="0"/>
    <xf numFmtId="0" fontId="11" fillId="39" borderId="0" applyNumberFormat="0" applyBorder="0" applyAlignment="0" applyProtection="0"/>
    <xf numFmtId="0" fontId="11" fillId="39" borderId="0" applyNumberFormat="0" applyBorder="0" applyAlignment="0" applyProtection="0"/>
    <xf numFmtId="0" fontId="11" fillId="39" borderId="0" applyNumberFormat="0" applyBorder="0" applyAlignment="0" applyProtection="0"/>
    <xf numFmtId="0" fontId="11" fillId="39" borderId="0" applyNumberFormat="0" applyBorder="0" applyAlignment="0" applyProtection="0"/>
    <xf numFmtId="0" fontId="11" fillId="39" borderId="0" applyNumberFormat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16" borderId="40" applyNumberFormat="0" applyFont="0" applyAlignment="0" applyProtection="0"/>
    <xf numFmtId="0" fontId="11" fillId="16" borderId="40" applyNumberFormat="0" applyFont="0" applyAlignment="0" applyProtection="0"/>
    <xf numFmtId="0" fontId="11" fillId="16" borderId="40" applyNumberFormat="0" applyFont="0" applyAlignment="0" applyProtection="0"/>
    <xf numFmtId="0" fontId="11" fillId="16" borderId="40" applyNumberFormat="0" applyFont="0" applyAlignment="0" applyProtection="0"/>
    <xf numFmtId="0" fontId="11" fillId="16" borderId="40" applyNumberFormat="0" applyFont="0" applyAlignment="0" applyProtection="0"/>
    <xf numFmtId="0" fontId="11" fillId="16" borderId="40" applyNumberFormat="0" applyFont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18" borderId="0" applyNumberFormat="0" applyBorder="0" applyAlignment="0" applyProtection="0"/>
    <xf numFmtId="0" fontId="11" fillId="22" borderId="0" applyNumberFormat="0" applyBorder="0" applyAlignment="0" applyProtection="0"/>
    <xf numFmtId="0" fontId="11" fillId="26" borderId="0" applyNumberFormat="0" applyBorder="0" applyAlignment="0" applyProtection="0"/>
    <xf numFmtId="0" fontId="11" fillId="30" borderId="0" applyNumberFormat="0" applyBorder="0" applyAlignment="0" applyProtection="0"/>
    <xf numFmtId="0" fontId="11" fillId="34" borderId="0" applyNumberFormat="0" applyBorder="0" applyAlignment="0" applyProtection="0"/>
    <xf numFmtId="0" fontId="11" fillId="38" borderId="0" applyNumberFormat="0" applyBorder="0" applyAlignment="0" applyProtection="0"/>
    <xf numFmtId="0" fontId="11" fillId="19" borderId="0" applyNumberFormat="0" applyBorder="0" applyAlignment="0" applyProtection="0"/>
    <xf numFmtId="0" fontId="11" fillId="23" borderId="0" applyNumberFormat="0" applyBorder="0" applyAlignment="0" applyProtection="0"/>
    <xf numFmtId="0" fontId="11" fillId="27" borderId="0" applyNumberFormat="0" applyBorder="0" applyAlignment="0" applyProtection="0"/>
    <xf numFmtId="0" fontId="11" fillId="31" borderId="0" applyNumberFormat="0" applyBorder="0" applyAlignment="0" applyProtection="0"/>
    <xf numFmtId="0" fontId="11" fillId="35" borderId="0" applyNumberFormat="0" applyBorder="0" applyAlignment="0" applyProtection="0"/>
    <xf numFmtId="0" fontId="11" fillId="39" borderId="0" applyNumberFormat="0" applyBorder="0" applyAlignment="0" applyProtection="0"/>
    <xf numFmtId="0" fontId="40" fillId="20" borderId="0" applyNumberFormat="0" applyBorder="0" applyAlignment="0" applyProtection="0"/>
    <xf numFmtId="0" fontId="40" fillId="24" borderId="0" applyNumberFormat="0" applyBorder="0" applyAlignment="0" applyProtection="0"/>
    <xf numFmtId="0" fontId="40" fillId="28" borderId="0" applyNumberFormat="0" applyBorder="0" applyAlignment="0" applyProtection="0"/>
    <xf numFmtId="0" fontId="40" fillId="36" borderId="0" applyNumberFormat="0" applyBorder="0" applyAlignment="0" applyProtection="0"/>
    <xf numFmtId="0" fontId="40" fillId="40" borderId="0" applyNumberFormat="0" applyBorder="0" applyAlignment="0" applyProtection="0"/>
    <xf numFmtId="43" fontId="6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59" fillId="12" borderId="0" applyNumberFormat="0" applyBorder="0" applyAlignment="0" applyProtection="0"/>
    <xf numFmtId="37" fontId="25" fillId="0" borderId="0"/>
    <xf numFmtId="0" fontId="11" fillId="0" borderId="0"/>
    <xf numFmtId="37" fontId="25" fillId="0" borderId="0"/>
    <xf numFmtId="0" fontId="11" fillId="0" borderId="0"/>
    <xf numFmtId="37" fontId="25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37" fontId="25" fillId="0" borderId="0"/>
    <xf numFmtId="37" fontId="17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37" fontId="25" fillId="0" borderId="0"/>
    <xf numFmtId="0" fontId="11" fillId="0" borderId="0"/>
    <xf numFmtId="0" fontId="11" fillId="0" borderId="0"/>
    <xf numFmtId="37" fontId="17" fillId="0" borderId="0"/>
    <xf numFmtId="0" fontId="12" fillId="0" borderId="0"/>
    <xf numFmtId="0" fontId="11" fillId="0" borderId="0"/>
    <xf numFmtId="37" fontId="17" fillId="0" borderId="0"/>
    <xf numFmtId="0" fontId="11" fillId="0" borderId="0"/>
    <xf numFmtId="37" fontId="17" fillId="0" borderId="0"/>
    <xf numFmtId="0" fontId="11" fillId="0" borderId="0"/>
    <xf numFmtId="37" fontId="17" fillId="0" borderId="0"/>
    <xf numFmtId="0" fontId="11" fillId="0" borderId="0"/>
    <xf numFmtId="37" fontId="17" fillId="0" borderId="0"/>
    <xf numFmtId="0" fontId="45" fillId="0" borderId="0"/>
    <xf numFmtId="0" fontId="11" fillId="0" borderId="0"/>
    <xf numFmtId="0" fontId="11" fillId="0" borderId="0"/>
    <xf numFmtId="0" fontId="11" fillId="0" borderId="0"/>
    <xf numFmtId="37" fontId="25" fillId="0" borderId="0"/>
    <xf numFmtId="0" fontId="11" fillId="0" borderId="0"/>
    <xf numFmtId="37" fontId="17" fillId="0" borderId="0"/>
    <xf numFmtId="0" fontId="11" fillId="0" borderId="0"/>
    <xf numFmtId="37" fontId="25" fillId="0" borderId="0"/>
    <xf numFmtId="0" fontId="12" fillId="0" borderId="0"/>
    <xf numFmtId="37" fontId="25" fillId="0" borderId="0"/>
    <xf numFmtId="37" fontId="25" fillId="0" borderId="0"/>
    <xf numFmtId="0" fontId="12" fillId="0" borderId="0"/>
    <xf numFmtId="0" fontId="11" fillId="16" borderId="40" applyNumberFormat="0" applyFont="0" applyAlignment="0" applyProtection="0"/>
    <xf numFmtId="9" fontId="6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0" fontId="11" fillId="16" borderId="40" applyNumberFormat="0" applyFont="0" applyAlignment="0" applyProtection="0"/>
    <xf numFmtId="0" fontId="11" fillId="0" borderId="0"/>
    <xf numFmtId="9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30" borderId="0" applyNumberFormat="0" applyBorder="0" applyAlignment="0" applyProtection="0"/>
    <xf numFmtId="0" fontId="11" fillId="30" borderId="0" applyNumberFormat="0" applyBorder="0" applyAlignment="0" applyProtection="0"/>
    <xf numFmtId="0" fontId="11" fillId="30" borderId="0" applyNumberFormat="0" applyBorder="0" applyAlignment="0" applyProtection="0"/>
    <xf numFmtId="0" fontId="11" fillId="30" borderId="0" applyNumberFormat="0" applyBorder="0" applyAlignment="0" applyProtection="0"/>
    <xf numFmtId="0" fontId="11" fillId="30" borderId="0" applyNumberFormat="0" applyBorder="0" applyAlignment="0" applyProtection="0"/>
    <xf numFmtId="0" fontId="11" fillId="30" borderId="0" applyNumberFormat="0" applyBorder="0" applyAlignment="0" applyProtection="0"/>
    <xf numFmtId="0" fontId="11" fillId="30" borderId="0" applyNumberFormat="0" applyBorder="0" applyAlignment="0" applyProtection="0"/>
    <xf numFmtId="0" fontId="11" fillId="30" borderId="0" applyNumberFormat="0" applyBorder="0" applyAlignment="0" applyProtection="0"/>
    <xf numFmtId="0" fontId="11" fillId="30" borderId="0" applyNumberFormat="0" applyBorder="0" applyAlignment="0" applyProtection="0"/>
    <xf numFmtId="0" fontId="11" fillId="34" borderId="0" applyNumberFormat="0" applyBorder="0" applyAlignment="0" applyProtection="0"/>
    <xf numFmtId="0" fontId="11" fillId="34" borderId="0" applyNumberFormat="0" applyBorder="0" applyAlignment="0" applyProtection="0"/>
    <xf numFmtId="0" fontId="11" fillId="34" borderId="0" applyNumberFormat="0" applyBorder="0" applyAlignment="0" applyProtection="0"/>
    <xf numFmtId="0" fontId="11" fillId="34" borderId="0" applyNumberFormat="0" applyBorder="0" applyAlignment="0" applyProtection="0"/>
    <xf numFmtId="0" fontId="11" fillId="34" borderId="0" applyNumberFormat="0" applyBorder="0" applyAlignment="0" applyProtection="0"/>
    <xf numFmtId="0" fontId="11" fillId="34" borderId="0" applyNumberFormat="0" applyBorder="0" applyAlignment="0" applyProtection="0"/>
    <xf numFmtId="0" fontId="11" fillId="34" borderId="0" applyNumberFormat="0" applyBorder="0" applyAlignment="0" applyProtection="0"/>
    <xf numFmtId="0" fontId="11" fillId="34" borderId="0" applyNumberFormat="0" applyBorder="0" applyAlignment="0" applyProtection="0"/>
    <xf numFmtId="0" fontId="11" fillId="34" borderId="0" applyNumberFormat="0" applyBorder="0" applyAlignment="0" applyProtection="0"/>
    <xf numFmtId="0" fontId="11" fillId="38" borderId="0" applyNumberFormat="0" applyBorder="0" applyAlignment="0" applyProtection="0"/>
    <xf numFmtId="0" fontId="11" fillId="38" borderId="0" applyNumberFormat="0" applyBorder="0" applyAlignment="0" applyProtection="0"/>
    <xf numFmtId="0" fontId="11" fillId="38" borderId="0" applyNumberFormat="0" applyBorder="0" applyAlignment="0" applyProtection="0"/>
    <xf numFmtId="0" fontId="11" fillId="38" borderId="0" applyNumberFormat="0" applyBorder="0" applyAlignment="0" applyProtection="0"/>
    <xf numFmtId="0" fontId="11" fillId="38" borderId="0" applyNumberFormat="0" applyBorder="0" applyAlignment="0" applyProtection="0"/>
    <xf numFmtId="0" fontId="11" fillId="38" borderId="0" applyNumberFormat="0" applyBorder="0" applyAlignment="0" applyProtection="0"/>
    <xf numFmtId="0" fontId="11" fillId="38" borderId="0" applyNumberFormat="0" applyBorder="0" applyAlignment="0" applyProtection="0"/>
    <xf numFmtId="0" fontId="11" fillId="38" borderId="0" applyNumberFormat="0" applyBorder="0" applyAlignment="0" applyProtection="0"/>
    <xf numFmtId="0" fontId="11" fillId="38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11" fillId="31" borderId="0" applyNumberFormat="0" applyBorder="0" applyAlignment="0" applyProtection="0"/>
    <xf numFmtId="0" fontId="11" fillId="31" borderId="0" applyNumberFormat="0" applyBorder="0" applyAlignment="0" applyProtection="0"/>
    <xf numFmtId="0" fontId="11" fillId="31" borderId="0" applyNumberFormat="0" applyBorder="0" applyAlignment="0" applyProtection="0"/>
    <xf numFmtId="0" fontId="11" fillId="31" borderId="0" applyNumberFormat="0" applyBorder="0" applyAlignment="0" applyProtection="0"/>
    <xf numFmtId="0" fontId="11" fillId="31" borderId="0" applyNumberFormat="0" applyBorder="0" applyAlignment="0" applyProtection="0"/>
    <xf numFmtId="0" fontId="11" fillId="31" borderId="0" applyNumberFormat="0" applyBorder="0" applyAlignment="0" applyProtection="0"/>
    <xf numFmtId="0" fontId="11" fillId="31" borderId="0" applyNumberFormat="0" applyBorder="0" applyAlignment="0" applyProtection="0"/>
    <xf numFmtId="0" fontId="11" fillId="31" borderId="0" applyNumberFormat="0" applyBorder="0" applyAlignment="0" applyProtection="0"/>
    <xf numFmtId="0" fontId="11" fillId="31" borderId="0" applyNumberFormat="0" applyBorder="0" applyAlignment="0" applyProtection="0"/>
    <xf numFmtId="0" fontId="11" fillId="35" borderId="0" applyNumberFormat="0" applyBorder="0" applyAlignment="0" applyProtection="0"/>
    <xf numFmtId="0" fontId="11" fillId="35" borderId="0" applyNumberFormat="0" applyBorder="0" applyAlignment="0" applyProtection="0"/>
    <xf numFmtId="0" fontId="11" fillId="35" borderId="0" applyNumberFormat="0" applyBorder="0" applyAlignment="0" applyProtection="0"/>
    <xf numFmtId="0" fontId="11" fillId="35" borderId="0" applyNumberFormat="0" applyBorder="0" applyAlignment="0" applyProtection="0"/>
    <xf numFmtId="0" fontId="11" fillId="35" borderId="0" applyNumberFormat="0" applyBorder="0" applyAlignment="0" applyProtection="0"/>
    <xf numFmtId="0" fontId="11" fillId="35" borderId="0" applyNumberFormat="0" applyBorder="0" applyAlignment="0" applyProtection="0"/>
    <xf numFmtId="0" fontId="11" fillId="35" borderId="0" applyNumberFormat="0" applyBorder="0" applyAlignment="0" applyProtection="0"/>
    <xf numFmtId="0" fontId="11" fillId="35" borderId="0" applyNumberFormat="0" applyBorder="0" applyAlignment="0" applyProtection="0"/>
    <xf numFmtId="0" fontId="11" fillId="35" borderId="0" applyNumberFormat="0" applyBorder="0" applyAlignment="0" applyProtection="0"/>
    <xf numFmtId="0" fontId="11" fillId="39" borderId="0" applyNumberFormat="0" applyBorder="0" applyAlignment="0" applyProtection="0"/>
    <xf numFmtId="0" fontId="11" fillId="39" borderId="0" applyNumberFormat="0" applyBorder="0" applyAlignment="0" applyProtection="0"/>
    <xf numFmtId="0" fontId="11" fillId="39" borderId="0" applyNumberFormat="0" applyBorder="0" applyAlignment="0" applyProtection="0"/>
    <xf numFmtId="0" fontId="11" fillId="39" borderId="0" applyNumberFormat="0" applyBorder="0" applyAlignment="0" applyProtection="0"/>
    <xf numFmtId="0" fontId="11" fillId="39" borderId="0" applyNumberFormat="0" applyBorder="0" applyAlignment="0" applyProtection="0"/>
    <xf numFmtId="0" fontId="11" fillId="39" borderId="0" applyNumberFormat="0" applyBorder="0" applyAlignment="0" applyProtection="0"/>
    <xf numFmtId="0" fontId="11" fillId="39" borderId="0" applyNumberFormat="0" applyBorder="0" applyAlignment="0" applyProtection="0"/>
    <xf numFmtId="0" fontId="11" fillId="39" borderId="0" applyNumberFormat="0" applyBorder="0" applyAlignment="0" applyProtection="0"/>
    <xf numFmtId="0" fontId="11" fillId="39" borderId="0" applyNumberFormat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6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16" borderId="40" applyNumberFormat="0" applyFont="0" applyAlignment="0" applyProtection="0"/>
    <xf numFmtId="0" fontId="11" fillId="16" borderId="40" applyNumberFormat="0" applyFont="0" applyAlignment="0" applyProtection="0"/>
    <xf numFmtId="0" fontId="11" fillId="16" borderId="40" applyNumberFormat="0" applyFont="0" applyAlignment="0" applyProtection="0"/>
    <xf numFmtId="0" fontId="11" fillId="16" borderId="40" applyNumberFormat="0" applyFont="0" applyAlignment="0" applyProtection="0"/>
    <xf numFmtId="0" fontId="11" fillId="16" borderId="40" applyNumberFormat="0" applyFont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1" fillId="0" borderId="0"/>
    <xf numFmtId="0" fontId="11" fillId="0" borderId="0"/>
    <xf numFmtId="43" fontId="12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44" fontId="12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2" borderId="0" applyNumberFormat="0" applyBorder="0" applyAlignment="0" applyProtection="0"/>
    <xf numFmtId="0" fontId="11" fillId="23" borderId="0" applyNumberFormat="0" applyBorder="0" applyAlignment="0" applyProtection="0"/>
    <xf numFmtId="0" fontId="11" fillId="26" borderId="0" applyNumberFormat="0" applyBorder="0" applyAlignment="0" applyProtection="0"/>
    <xf numFmtId="0" fontId="11" fillId="27" borderId="0" applyNumberFormat="0" applyBorder="0" applyAlignment="0" applyProtection="0"/>
    <xf numFmtId="0" fontId="11" fillId="30" borderId="0" applyNumberFormat="0" applyBorder="0" applyAlignment="0" applyProtection="0"/>
    <xf numFmtId="0" fontId="11" fillId="31" borderId="0" applyNumberFormat="0" applyBorder="0" applyAlignment="0" applyProtection="0"/>
    <xf numFmtId="0" fontId="11" fillId="34" borderId="0" applyNumberFormat="0" applyBorder="0" applyAlignment="0" applyProtection="0"/>
    <xf numFmtId="0" fontId="11" fillId="35" borderId="0" applyNumberFormat="0" applyBorder="0" applyAlignment="0" applyProtection="0"/>
    <xf numFmtId="0" fontId="11" fillId="38" borderId="0" applyNumberFormat="0" applyBorder="0" applyAlignment="0" applyProtection="0"/>
    <xf numFmtId="0" fontId="11" fillId="39" borderId="0" applyNumberFormat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0" fontId="11" fillId="16" borderId="40" applyNumberFormat="0" applyFont="0" applyAlignment="0" applyProtection="0"/>
    <xf numFmtId="0" fontId="11" fillId="0" borderId="0"/>
    <xf numFmtId="9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30" borderId="0" applyNumberFormat="0" applyBorder="0" applyAlignment="0" applyProtection="0"/>
    <xf numFmtId="0" fontId="11" fillId="30" borderId="0" applyNumberFormat="0" applyBorder="0" applyAlignment="0" applyProtection="0"/>
    <xf numFmtId="0" fontId="11" fillId="30" borderId="0" applyNumberFormat="0" applyBorder="0" applyAlignment="0" applyProtection="0"/>
    <xf numFmtId="0" fontId="11" fillId="30" borderId="0" applyNumberFormat="0" applyBorder="0" applyAlignment="0" applyProtection="0"/>
    <xf numFmtId="0" fontId="11" fillId="30" borderId="0" applyNumberFormat="0" applyBorder="0" applyAlignment="0" applyProtection="0"/>
    <xf numFmtId="0" fontId="11" fillId="30" borderId="0" applyNumberFormat="0" applyBorder="0" applyAlignment="0" applyProtection="0"/>
    <xf numFmtId="0" fontId="11" fillId="30" borderId="0" applyNumberFormat="0" applyBorder="0" applyAlignment="0" applyProtection="0"/>
    <xf numFmtId="0" fontId="11" fillId="30" borderId="0" applyNumberFormat="0" applyBorder="0" applyAlignment="0" applyProtection="0"/>
    <xf numFmtId="0" fontId="11" fillId="30" borderId="0" applyNumberFormat="0" applyBorder="0" applyAlignment="0" applyProtection="0"/>
    <xf numFmtId="0" fontId="11" fillId="34" borderId="0" applyNumberFormat="0" applyBorder="0" applyAlignment="0" applyProtection="0"/>
    <xf numFmtId="0" fontId="11" fillId="34" borderId="0" applyNumberFormat="0" applyBorder="0" applyAlignment="0" applyProtection="0"/>
    <xf numFmtId="0" fontId="11" fillId="34" borderId="0" applyNumberFormat="0" applyBorder="0" applyAlignment="0" applyProtection="0"/>
    <xf numFmtId="0" fontId="11" fillId="34" borderId="0" applyNumberFormat="0" applyBorder="0" applyAlignment="0" applyProtection="0"/>
    <xf numFmtId="0" fontId="11" fillId="34" borderId="0" applyNumberFormat="0" applyBorder="0" applyAlignment="0" applyProtection="0"/>
    <xf numFmtId="0" fontId="11" fillId="34" borderId="0" applyNumberFormat="0" applyBorder="0" applyAlignment="0" applyProtection="0"/>
    <xf numFmtId="0" fontId="11" fillId="34" borderId="0" applyNumberFormat="0" applyBorder="0" applyAlignment="0" applyProtection="0"/>
    <xf numFmtId="0" fontId="11" fillId="34" borderId="0" applyNumberFormat="0" applyBorder="0" applyAlignment="0" applyProtection="0"/>
    <xf numFmtId="0" fontId="11" fillId="34" borderId="0" applyNumberFormat="0" applyBorder="0" applyAlignment="0" applyProtection="0"/>
    <xf numFmtId="0" fontId="11" fillId="38" borderId="0" applyNumberFormat="0" applyBorder="0" applyAlignment="0" applyProtection="0"/>
    <xf numFmtId="0" fontId="11" fillId="38" borderId="0" applyNumberFormat="0" applyBorder="0" applyAlignment="0" applyProtection="0"/>
    <xf numFmtId="0" fontId="11" fillId="38" borderId="0" applyNumberFormat="0" applyBorder="0" applyAlignment="0" applyProtection="0"/>
    <xf numFmtId="0" fontId="11" fillId="38" borderId="0" applyNumberFormat="0" applyBorder="0" applyAlignment="0" applyProtection="0"/>
    <xf numFmtId="0" fontId="11" fillId="38" borderId="0" applyNumberFormat="0" applyBorder="0" applyAlignment="0" applyProtection="0"/>
    <xf numFmtId="0" fontId="11" fillId="38" borderId="0" applyNumberFormat="0" applyBorder="0" applyAlignment="0" applyProtection="0"/>
    <xf numFmtId="0" fontId="11" fillId="38" borderId="0" applyNumberFormat="0" applyBorder="0" applyAlignment="0" applyProtection="0"/>
    <xf numFmtId="0" fontId="11" fillId="38" borderId="0" applyNumberFormat="0" applyBorder="0" applyAlignment="0" applyProtection="0"/>
    <xf numFmtId="0" fontId="11" fillId="38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11" fillId="31" borderId="0" applyNumberFormat="0" applyBorder="0" applyAlignment="0" applyProtection="0"/>
    <xf numFmtId="0" fontId="11" fillId="31" borderId="0" applyNumberFormat="0" applyBorder="0" applyAlignment="0" applyProtection="0"/>
    <xf numFmtId="0" fontId="11" fillId="31" borderId="0" applyNumberFormat="0" applyBorder="0" applyAlignment="0" applyProtection="0"/>
    <xf numFmtId="0" fontId="11" fillId="31" borderId="0" applyNumberFormat="0" applyBorder="0" applyAlignment="0" applyProtection="0"/>
    <xf numFmtId="0" fontId="11" fillId="31" borderId="0" applyNumberFormat="0" applyBorder="0" applyAlignment="0" applyProtection="0"/>
    <xf numFmtId="0" fontId="11" fillId="31" borderId="0" applyNumberFormat="0" applyBorder="0" applyAlignment="0" applyProtection="0"/>
    <xf numFmtId="0" fontId="11" fillId="31" borderId="0" applyNumberFormat="0" applyBorder="0" applyAlignment="0" applyProtection="0"/>
    <xf numFmtId="0" fontId="11" fillId="31" borderId="0" applyNumberFormat="0" applyBorder="0" applyAlignment="0" applyProtection="0"/>
    <xf numFmtId="0" fontId="11" fillId="31" borderId="0" applyNumberFormat="0" applyBorder="0" applyAlignment="0" applyProtection="0"/>
    <xf numFmtId="0" fontId="11" fillId="35" borderId="0" applyNumberFormat="0" applyBorder="0" applyAlignment="0" applyProtection="0"/>
    <xf numFmtId="0" fontId="11" fillId="35" borderId="0" applyNumberFormat="0" applyBorder="0" applyAlignment="0" applyProtection="0"/>
    <xf numFmtId="0" fontId="11" fillId="35" borderId="0" applyNumberFormat="0" applyBorder="0" applyAlignment="0" applyProtection="0"/>
    <xf numFmtId="0" fontId="11" fillId="35" borderId="0" applyNumberFormat="0" applyBorder="0" applyAlignment="0" applyProtection="0"/>
    <xf numFmtId="0" fontId="11" fillId="35" borderId="0" applyNumberFormat="0" applyBorder="0" applyAlignment="0" applyProtection="0"/>
    <xf numFmtId="0" fontId="11" fillId="35" borderId="0" applyNumberFormat="0" applyBorder="0" applyAlignment="0" applyProtection="0"/>
    <xf numFmtId="0" fontId="11" fillId="35" borderId="0" applyNumberFormat="0" applyBorder="0" applyAlignment="0" applyProtection="0"/>
    <xf numFmtId="0" fontId="11" fillId="35" borderId="0" applyNumberFormat="0" applyBorder="0" applyAlignment="0" applyProtection="0"/>
    <xf numFmtId="0" fontId="11" fillId="35" borderId="0" applyNumberFormat="0" applyBorder="0" applyAlignment="0" applyProtection="0"/>
    <xf numFmtId="0" fontId="11" fillId="39" borderId="0" applyNumberFormat="0" applyBorder="0" applyAlignment="0" applyProtection="0"/>
    <xf numFmtId="0" fontId="11" fillId="39" borderId="0" applyNumberFormat="0" applyBorder="0" applyAlignment="0" applyProtection="0"/>
    <xf numFmtId="0" fontId="11" fillId="39" borderId="0" applyNumberFormat="0" applyBorder="0" applyAlignment="0" applyProtection="0"/>
    <xf numFmtId="0" fontId="11" fillId="39" borderId="0" applyNumberFormat="0" applyBorder="0" applyAlignment="0" applyProtection="0"/>
    <xf numFmtId="0" fontId="11" fillId="39" borderId="0" applyNumberFormat="0" applyBorder="0" applyAlignment="0" applyProtection="0"/>
    <xf numFmtId="0" fontId="11" fillId="39" borderId="0" applyNumberFormat="0" applyBorder="0" applyAlignment="0" applyProtection="0"/>
    <xf numFmtId="0" fontId="11" fillId="39" borderId="0" applyNumberFormat="0" applyBorder="0" applyAlignment="0" applyProtection="0"/>
    <xf numFmtId="0" fontId="11" fillId="39" borderId="0" applyNumberFormat="0" applyBorder="0" applyAlignment="0" applyProtection="0"/>
    <xf numFmtId="0" fontId="11" fillId="39" borderId="0" applyNumberFormat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16" borderId="40" applyNumberFormat="0" applyFont="0" applyAlignment="0" applyProtection="0"/>
    <xf numFmtId="0" fontId="11" fillId="16" borderId="40" applyNumberFormat="0" applyFont="0" applyAlignment="0" applyProtection="0"/>
    <xf numFmtId="0" fontId="11" fillId="16" borderId="40" applyNumberFormat="0" applyFont="0" applyAlignment="0" applyProtection="0"/>
    <xf numFmtId="0" fontId="11" fillId="16" borderId="40" applyNumberFormat="0" applyFont="0" applyAlignment="0" applyProtection="0"/>
    <xf numFmtId="0" fontId="11" fillId="16" borderId="40" applyNumberFormat="0" applyFont="0" applyAlignment="0" applyProtection="0"/>
    <xf numFmtId="0" fontId="11" fillId="16" borderId="40" applyNumberFormat="0" applyFont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41" fillId="0" borderId="0"/>
    <xf numFmtId="0" fontId="27" fillId="0" borderId="33" applyNumberFormat="0" applyFill="0" applyAlignment="0" applyProtection="0"/>
    <xf numFmtId="0" fontId="28" fillId="0" borderId="34" applyNumberFormat="0" applyFill="0" applyAlignment="0" applyProtection="0"/>
    <xf numFmtId="0" fontId="29" fillId="0" borderId="35" applyNumberFormat="0" applyFill="0" applyAlignment="0" applyProtection="0"/>
    <xf numFmtId="0" fontId="29" fillId="0" borderId="0" applyNumberFormat="0" applyFill="0" applyBorder="0" applyAlignment="0" applyProtection="0"/>
    <xf numFmtId="0" fontId="30" fillId="10" borderId="0" applyNumberFormat="0" applyBorder="0" applyAlignment="0" applyProtection="0"/>
    <xf numFmtId="0" fontId="31" fillId="11" borderId="0" applyNumberFormat="0" applyBorder="0" applyAlignment="0" applyProtection="0"/>
    <xf numFmtId="0" fontId="32" fillId="13" borderId="36" applyNumberFormat="0" applyAlignment="0" applyProtection="0"/>
    <xf numFmtId="0" fontId="33" fillId="14" borderId="37" applyNumberFormat="0" applyAlignment="0" applyProtection="0"/>
    <xf numFmtId="0" fontId="34" fillId="14" borderId="36" applyNumberFormat="0" applyAlignment="0" applyProtection="0"/>
    <xf numFmtId="0" fontId="35" fillId="0" borderId="38" applyNumberFormat="0" applyFill="0" applyAlignment="0" applyProtection="0"/>
    <xf numFmtId="0" fontId="36" fillId="15" borderId="39" applyNumberFormat="0" applyAlignment="0" applyProtection="0"/>
    <xf numFmtId="0" fontId="37" fillId="0" borderId="0" applyNumberFormat="0" applyFill="0" applyBorder="0" applyAlignment="0" applyProtection="0"/>
    <xf numFmtId="0" fontId="11" fillId="16" borderId="40" applyNumberFormat="0" applyFont="0" applyAlignment="0" applyProtection="0"/>
    <xf numFmtId="0" fontId="38" fillId="0" borderId="0" applyNumberFormat="0" applyFill="0" applyBorder="0" applyAlignment="0" applyProtection="0"/>
    <xf numFmtId="0" fontId="39" fillId="0" borderId="41" applyNumberFormat="0" applyFill="0" applyAlignment="0" applyProtection="0"/>
    <xf numFmtId="0" fontId="40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40" fillId="21" borderId="0" applyNumberFormat="0" applyBorder="0" applyAlignment="0" applyProtection="0"/>
    <xf numFmtId="0" fontId="11" fillId="22" borderId="0" applyNumberFormat="0" applyBorder="0" applyAlignment="0" applyProtection="0"/>
    <xf numFmtId="0" fontId="11" fillId="23" borderId="0" applyNumberFormat="0" applyBorder="0" applyAlignment="0" applyProtection="0"/>
    <xf numFmtId="0" fontId="40" fillId="25" borderId="0" applyNumberFormat="0" applyBorder="0" applyAlignment="0" applyProtection="0"/>
    <xf numFmtId="0" fontId="11" fillId="26" borderId="0" applyNumberFormat="0" applyBorder="0" applyAlignment="0" applyProtection="0"/>
    <xf numFmtId="0" fontId="11" fillId="27" borderId="0" applyNumberFormat="0" applyBorder="0" applyAlignment="0" applyProtection="0"/>
    <xf numFmtId="0" fontId="40" fillId="29" borderId="0" applyNumberFormat="0" applyBorder="0" applyAlignment="0" applyProtection="0"/>
    <xf numFmtId="0" fontId="11" fillId="30" borderId="0" applyNumberFormat="0" applyBorder="0" applyAlignment="0" applyProtection="0"/>
    <xf numFmtId="0" fontId="11" fillId="31" borderId="0" applyNumberFormat="0" applyBorder="0" applyAlignment="0" applyProtection="0"/>
    <xf numFmtId="0" fontId="40" fillId="33" borderId="0" applyNumberFormat="0" applyBorder="0" applyAlignment="0" applyProtection="0"/>
    <xf numFmtId="0" fontId="11" fillId="34" borderId="0" applyNumberFormat="0" applyBorder="0" applyAlignment="0" applyProtection="0"/>
    <xf numFmtId="0" fontId="11" fillId="35" borderId="0" applyNumberFormat="0" applyBorder="0" applyAlignment="0" applyProtection="0"/>
    <xf numFmtId="0" fontId="40" fillId="37" borderId="0" applyNumberFormat="0" applyBorder="0" applyAlignment="0" applyProtection="0"/>
    <xf numFmtId="0" fontId="11" fillId="38" borderId="0" applyNumberFormat="0" applyBorder="0" applyAlignment="0" applyProtection="0"/>
    <xf numFmtId="0" fontId="11" fillId="39" borderId="0" applyNumberFormat="0" applyBorder="0" applyAlignment="0" applyProtection="0"/>
    <xf numFmtId="0" fontId="12" fillId="0" borderId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10" fillId="34" borderId="0" applyNumberFormat="0" applyBorder="0" applyAlignment="0" applyProtection="0"/>
    <xf numFmtId="0" fontId="10" fillId="35" borderId="0" applyNumberFormat="0" applyBorder="0" applyAlignment="0" applyProtection="0"/>
    <xf numFmtId="0" fontId="10" fillId="38" borderId="0" applyNumberFormat="0" applyBorder="0" applyAlignment="0" applyProtection="0"/>
    <xf numFmtId="0" fontId="10" fillId="39" borderId="0" applyNumberFormat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16" borderId="40" applyNumberFormat="0" applyFont="0" applyAlignment="0" applyProtection="0"/>
    <xf numFmtId="0" fontId="10" fillId="0" borderId="0"/>
    <xf numFmtId="43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0" fontId="10" fillId="16" borderId="40" applyNumberFormat="0" applyFont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10" fillId="34" borderId="0" applyNumberFormat="0" applyBorder="0" applyAlignment="0" applyProtection="0"/>
    <xf numFmtId="0" fontId="10" fillId="35" borderId="0" applyNumberFormat="0" applyBorder="0" applyAlignment="0" applyProtection="0"/>
    <xf numFmtId="0" fontId="10" fillId="38" borderId="0" applyNumberFormat="0" applyBorder="0" applyAlignment="0" applyProtection="0"/>
    <xf numFmtId="0" fontId="10" fillId="39" borderId="0" applyNumberFormat="0" applyBorder="0" applyAlignment="0" applyProtection="0"/>
    <xf numFmtId="0" fontId="10" fillId="0" borderId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16" borderId="40" applyNumberFormat="0" applyFont="0" applyAlignment="0" applyProtection="0"/>
    <xf numFmtId="0" fontId="10" fillId="0" borderId="0"/>
    <xf numFmtId="43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/>
    <xf numFmtId="0" fontId="10" fillId="0" borderId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0" fontId="10" fillId="16" borderId="40" applyNumberFormat="0" applyFont="0" applyAlignment="0" applyProtection="0"/>
    <xf numFmtId="9" fontId="10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10" fillId="0" borderId="0"/>
    <xf numFmtId="0" fontId="10" fillId="34" borderId="0" applyNumberFormat="0" applyBorder="0" applyAlignment="0" applyProtection="0"/>
    <xf numFmtId="0" fontId="10" fillId="35" borderId="0" applyNumberFormat="0" applyBorder="0" applyAlignment="0" applyProtection="0"/>
    <xf numFmtId="0" fontId="10" fillId="38" borderId="0" applyNumberFormat="0" applyBorder="0" applyAlignment="0" applyProtection="0"/>
    <xf numFmtId="0" fontId="10" fillId="39" borderId="0" applyNumberFormat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0" fontId="10" fillId="16" borderId="40" applyNumberFormat="0" applyFont="0" applyAlignment="0" applyProtection="0"/>
    <xf numFmtId="0" fontId="10" fillId="0" borderId="0"/>
    <xf numFmtId="9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6" borderId="0" applyNumberFormat="0" applyBorder="0" applyAlignment="0" applyProtection="0"/>
    <xf numFmtId="0" fontId="10" fillId="26" borderId="0" applyNumberFormat="0" applyBorder="0" applyAlignment="0" applyProtection="0"/>
    <xf numFmtId="0" fontId="10" fillId="26" borderId="0" applyNumberFormat="0" applyBorder="0" applyAlignment="0" applyProtection="0"/>
    <xf numFmtId="0" fontId="10" fillId="26" borderId="0" applyNumberFormat="0" applyBorder="0" applyAlignment="0" applyProtection="0"/>
    <xf numFmtId="0" fontId="10" fillId="26" borderId="0" applyNumberFormat="0" applyBorder="0" applyAlignment="0" applyProtection="0"/>
    <xf numFmtId="0" fontId="10" fillId="26" borderId="0" applyNumberFormat="0" applyBorder="0" applyAlignment="0" applyProtection="0"/>
    <xf numFmtId="0" fontId="10" fillId="26" borderId="0" applyNumberFormat="0" applyBorder="0" applyAlignment="0" applyProtection="0"/>
    <xf numFmtId="0" fontId="10" fillId="26" borderId="0" applyNumberFormat="0" applyBorder="0" applyAlignment="0" applyProtection="0"/>
    <xf numFmtId="0" fontId="10" fillId="26" borderId="0" applyNumberFormat="0" applyBorder="0" applyAlignment="0" applyProtection="0"/>
    <xf numFmtId="0" fontId="10" fillId="30" borderId="0" applyNumberFormat="0" applyBorder="0" applyAlignment="0" applyProtection="0"/>
    <xf numFmtId="0" fontId="10" fillId="30" borderId="0" applyNumberFormat="0" applyBorder="0" applyAlignment="0" applyProtection="0"/>
    <xf numFmtId="0" fontId="10" fillId="30" borderId="0" applyNumberFormat="0" applyBorder="0" applyAlignment="0" applyProtection="0"/>
    <xf numFmtId="0" fontId="10" fillId="30" borderId="0" applyNumberFormat="0" applyBorder="0" applyAlignment="0" applyProtection="0"/>
    <xf numFmtId="0" fontId="10" fillId="30" borderId="0" applyNumberFormat="0" applyBorder="0" applyAlignment="0" applyProtection="0"/>
    <xf numFmtId="0" fontId="10" fillId="30" borderId="0" applyNumberFormat="0" applyBorder="0" applyAlignment="0" applyProtection="0"/>
    <xf numFmtId="0" fontId="10" fillId="30" borderId="0" applyNumberFormat="0" applyBorder="0" applyAlignment="0" applyProtection="0"/>
    <xf numFmtId="0" fontId="10" fillId="30" borderId="0" applyNumberFormat="0" applyBorder="0" applyAlignment="0" applyProtection="0"/>
    <xf numFmtId="0" fontId="10" fillId="30" borderId="0" applyNumberFormat="0" applyBorder="0" applyAlignment="0" applyProtection="0"/>
    <xf numFmtId="0" fontId="10" fillId="34" borderId="0" applyNumberFormat="0" applyBorder="0" applyAlignment="0" applyProtection="0"/>
    <xf numFmtId="0" fontId="10" fillId="34" borderId="0" applyNumberFormat="0" applyBorder="0" applyAlignment="0" applyProtection="0"/>
    <xf numFmtId="0" fontId="10" fillId="34" borderId="0" applyNumberFormat="0" applyBorder="0" applyAlignment="0" applyProtection="0"/>
    <xf numFmtId="0" fontId="10" fillId="34" borderId="0" applyNumberFormat="0" applyBorder="0" applyAlignment="0" applyProtection="0"/>
    <xf numFmtId="0" fontId="10" fillId="34" borderId="0" applyNumberFormat="0" applyBorder="0" applyAlignment="0" applyProtection="0"/>
    <xf numFmtId="0" fontId="10" fillId="34" borderId="0" applyNumberFormat="0" applyBorder="0" applyAlignment="0" applyProtection="0"/>
    <xf numFmtId="0" fontId="10" fillId="34" borderId="0" applyNumberFormat="0" applyBorder="0" applyAlignment="0" applyProtection="0"/>
    <xf numFmtId="0" fontId="10" fillId="34" borderId="0" applyNumberFormat="0" applyBorder="0" applyAlignment="0" applyProtection="0"/>
    <xf numFmtId="0" fontId="10" fillId="34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31" borderId="0" applyNumberFormat="0" applyBorder="0" applyAlignment="0" applyProtection="0"/>
    <xf numFmtId="0" fontId="10" fillId="31" borderId="0" applyNumberFormat="0" applyBorder="0" applyAlignment="0" applyProtection="0"/>
    <xf numFmtId="0" fontId="10" fillId="31" borderId="0" applyNumberFormat="0" applyBorder="0" applyAlignment="0" applyProtection="0"/>
    <xf numFmtId="0" fontId="10" fillId="31" borderId="0" applyNumberFormat="0" applyBorder="0" applyAlignment="0" applyProtection="0"/>
    <xf numFmtId="0" fontId="10" fillId="31" borderId="0" applyNumberFormat="0" applyBorder="0" applyAlignment="0" applyProtection="0"/>
    <xf numFmtId="0" fontId="10" fillId="31" borderId="0" applyNumberFormat="0" applyBorder="0" applyAlignment="0" applyProtection="0"/>
    <xf numFmtId="0" fontId="10" fillId="31" borderId="0" applyNumberFormat="0" applyBorder="0" applyAlignment="0" applyProtection="0"/>
    <xf numFmtId="0" fontId="10" fillId="31" borderId="0" applyNumberFormat="0" applyBorder="0" applyAlignment="0" applyProtection="0"/>
    <xf numFmtId="0" fontId="10" fillId="31" borderId="0" applyNumberFormat="0" applyBorder="0" applyAlignment="0" applyProtection="0"/>
    <xf numFmtId="0" fontId="10" fillId="35" borderId="0" applyNumberFormat="0" applyBorder="0" applyAlignment="0" applyProtection="0"/>
    <xf numFmtId="0" fontId="10" fillId="35" borderId="0" applyNumberFormat="0" applyBorder="0" applyAlignment="0" applyProtection="0"/>
    <xf numFmtId="0" fontId="10" fillId="35" borderId="0" applyNumberFormat="0" applyBorder="0" applyAlignment="0" applyProtection="0"/>
    <xf numFmtId="0" fontId="10" fillId="35" borderId="0" applyNumberFormat="0" applyBorder="0" applyAlignment="0" applyProtection="0"/>
    <xf numFmtId="0" fontId="10" fillId="35" borderId="0" applyNumberFormat="0" applyBorder="0" applyAlignment="0" applyProtection="0"/>
    <xf numFmtId="0" fontId="10" fillId="35" borderId="0" applyNumberFormat="0" applyBorder="0" applyAlignment="0" applyProtection="0"/>
    <xf numFmtId="0" fontId="10" fillId="35" borderId="0" applyNumberFormat="0" applyBorder="0" applyAlignment="0" applyProtection="0"/>
    <xf numFmtId="0" fontId="10" fillId="35" borderId="0" applyNumberFormat="0" applyBorder="0" applyAlignment="0" applyProtection="0"/>
    <xf numFmtId="0" fontId="10" fillId="35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16" borderId="40" applyNumberFormat="0" applyFont="0" applyAlignment="0" applyProtection="0"/>
    <xf numFmtId="0" fontId="10" fillId="16" borderId="40" applyNumberFormat="0" applyFont="0" applyAlignment="0" applyProtection="0"/>
    <xf numFmtId="0" fontId="10" fillId="16" borderId="40" applyNumberFormat="0" applyFont="0" applyAlignment="0" applyProtection="0"/>
    <xf numFmtId="0" fontId="10" fillId="16" borderId="40" applyNumberFormat="0" applyFont="0" applyAlignment="0" applyProtection="0"/>
    <xf numFmtId="0" fontId="10" fillId="16" borderId="40" applyNumberFormat="0" applyFont="0" applyAlignment="0" applyProtection="0"/>
    <xf numFmtId="0" fontId="10" fillId="16" borderId="40" applyNumberFormat="0" applyFont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10" fillId="34" borderId="0" applyNumberFormat="0" applyBorder="0" applyAlignment="0" applyProtection="0"/>
    <xf numFmtId="0" fontId="10" fillId="35" borderId="0" applyNumberFormat="0" applyBorder="0" applyAlignment="0" applyProtection="0"/>
    <xf numFmtId="0" fontId="10" fillId="38" borderId="0" applyNumberFormat="0" applyBorder="0" applyAlignment="0" applyProtection="0"/>
    <xf numFmtId="0" fontId="10" fillId="39" borderId="0" applyNumberFormat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0" fontId="10" fillId="16" borderId="40" applyNumberFormat="0" applyFont="0" applyAlignment="0" applyProtection="0"/>
    <xf numFmtId="0" fontId="10" fillId="0" borderId="0"/>
    <xf numFmtId="9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6" borderId="0" applyNumberFormat="0" applyBorder="0" applyAlignment="0" applyProtection="0"/>
    <xf numFmtId="0" fontId="10" fillId="26" borderId="0" applyNumberFormat="0" applyBorder="0" applyAlignment="0" applyProtection="0"/>
    <xf numFmtId="0" fontId="10" fillId="26" borderId="0" applyNumberFormat="0" applyBorder="0" applyAlignment="0" applyProtection="0"/>
    <xf numFmtId="0" fontId="10" fillId="26" borderId="0" applyNumberFormat="0" applyBorder="0" applyAlignment="0" applyProtection="0"/>
    <xf numFmtId="0" fontId="10" fillId="26" borderId="0" applyNumberFormat="0" applyBorder="0" applyAlignment="0" applyProtection="0"/>
    <xf numFmtId="0" fontId="10" fillId="26" borderId="0" applyNumberFormat="0" applyBorder="0" applyAlignment="0" applyProtection="0"/>
    <xf numFmtId="0" fontId="10" fillId="26" borderId="0" applyNumberFormat="0" applyBorder="0" applyAlignment="0" applyProtection="0"/>
    <xf numFmtId="0" fontId="10" fillId="26" borderId="0" applyNumberFormat="0" applyBorder="0" applyAlignment="0" applyProtection="0"/>
    <xf numFmtId="0" fontId="10" fillId="26" borderId="0" applyNumberFormat="0" applyBorder="0" applyAlignment="0" applyProtection="0"/>
    <xf numFmtId="0" fontId="10" fillId="30" borderId="0" applyNumberFormat="0" applyBorder="0" applyAlignment="0" applyProtection="0"/>
    <xf numFmtId="0" fontId="10" fillId="30" borderId="0" applyNumberFormat="0" applyBorder="0" applyAlignment="0" applyProtection="0"/>
    <xf numFmtId="0" fontId="10" fillId="30" borderId="0" applyNumberFormat="0" applyBorder="0" applyAlignment="0" applyProtection="0"/>
    <xf numFmtId="0" fontId="10" fillId="30" borderId="0" applyNumberFormat="0" applyBorder="0" applyAlignment="0" applyProtection="0"/>
    <xf numFmtId="0" fontId="10" fillId="30" borderId="0" applyNumberFormat="0" applyBorder="0" applyAlignment="0" applyProtection="0"/>
    <xf numFmtId="0" fontId="10" fillId="30" borderId="0" applyNumberFormat="0" applyBorder="0" applyAlignment="0" applyProtection="0"/>
    <xf numFmtId="0" fontId="10" fillId="30" borderId="0" applyNumberFormat="0" applyBorder="0" applyAlignment="0" applyProtection="0"/>
    <xf numFmtId="0" fontId="10" fillId="30" borderId="0" applyNumberFormat="0" applyBorder="0" applyAlignment="0" applyProtection="0"/>
    <xf numFmtId="0" fontId="10" fillId="30" borderId="0" applyNumberFormat="0" applyBorder="0" applyAlignment="0" applyProtection="0"/>
    <xf numFmtId="0" fontId="10" fillId="34" borderId="0" applyNumberFormat="0" applyBorder="0" applyAlignment="0" applyProtection="0"/>
    <xf numFmtId="0" fontId="10" fillId="34" borderId="0" applyNumberFormat="0" applyBorder="0" applyAlignment="0" applyProtection="0"/>
    <xf numFmtId="0" fontId="10" fillId="34" borderId="0" applyNumberFormat="0" applyBorder="0" applyAlignment="0" applyProtection="0"/>
    <xf numFmtId="0" fontId="10" fillId="34" borderId="0" applyNumberFormat="0" applyBorder="0" applyAlignment="0" applyProtection="0"/>
    <xf numFmtId="0" fontId="10" fillId="34" borderId="0" applyNumberFormat="0" applyBorder="0" applyAlignment="0" applyProtection="0"/>
    <xf numFmtId="0" fontId="10" fillId="34" borderId="0" applyNumberFormat="0" applyBorder="0" applyAlignment="0" applyProtection="0"/>
    <xf numFmtId="0" fontId="10" fillId="34" borderId="0" applyNumberFormat="0" applyBorder="0" applyAlignment="0" applyProtection="0"/>
    <xf numFmtId="0" fontId="10" fillId="34" borderId="0" applyNumberFormat="0" applyBorder="0" applyAlignment="0" applyProtection="0"/>
    <xf numFmtId="0" fontId="10" fillId="34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31" borderId="0" applyNumberFormat="0" applyBorder="0" applyAlignment="0" applyProtection="0"/>
    <xf numFmtId="0" fontId="10" fillId="31" borderId="0" applyNumberFormat="0" applyBorder="0" applyAlignment="0" applyProtection="0"/>
    <xf numFmtId="0" fontId="10" fillId="31" borderId="0" applyNumberFormat="0" applyBorder="0" applyAlignment="0" applyProtection="0"/>
    <xf numFmtId="0" fontId="10" fillId="31" borderId="0" applyNumberFormat="0" applyBorder="0" applyAlignment="0" applyProtection="0"/>
    <xf numFmtId="0" fontId="10" fillId="31" borderId="0" applyNumberFormat="0" applyBorder="0" applyAlignment="0" applyProtection="0"/>
    <xf numFmtId="0" fontId="10" fillId="31" borderId="0" applyNumberFormat="0" applyBorder="0" applyAlignment="0" applyProtection="0"/>
    <xf numFmtId="0" fontId="10" fillId="31" borderId="0" applyNumberFormat="0" applyBorder="0" applyAlignment="0" applyProtection="0"/>
    <xf numFmtId="0" fontId="10" fillId="31" borderId="0" applyNumberFormat="0" applyBorder="0" applyAlignment="0" applyProtection="0"/>
    <xf numFmtId="0" fontId="10" fillId="31" borderId="0" applyNumberFormat="0" applyBorder="0" applyAlignment="0" applyProtection="0"/>
    <xf numFmtId="0" fontId="10" fillId="35" borderId="0" applyNumberFormat="0" applyBorder="0" applyAlignment="0" applyProtection="0"/>
    <xf numFmtId="0" fontId="10" fillId="35" borderId="0" applyNumberFormat="0" applyBorder="0" applyAlignment="0" applyProtection="0"/>
    <xf numFmtId="0" fontId="10" fillId="35" borderId="0" applyNumberFormat="0" applyBorder="0" applyAlignment="0" applyProtection="0"/>
    <xf numFmtId="0" fontId="10" fillId="35" borderId="0" applyNumberFormat="0" applyBorder="0" applyAlignment="0" applyProtection="0"/>
    <xf numFmtId="0" fontId="10" fillId="35" borderId="0" applyNumberFormat="0" applyBorder="0" applyAlignment="0" applyProtection="0"/>
    <xf numFmtId="0" fontId="10" fillId="35" borderId="0" applyNumberFormat="0" applyBorder="0" applyAlignment="0" applyProtection="0"/>
    <xf numFmtId="0" fontId="10" fillId="35" borderId="0" applyNumberFormat="0" applyBorder="0" applyAlignment="0" applyProtection="0"/>
    <xf numFmtId="0" fontId="10" fillId="35" borderId="0" applyNumberFormat="0" applyBorder="0" applyAlignment="0" applyProtection="0"/>
    <xf numFmtId="0" fontId="10" fillId="35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16" borderId="40" applyNumberFormat="0" applyFont="0" applyAlignment="0" applyProtection="0"/>
    <xf numFmtId="0" fontId="10" fillId="16" borderId="40" applyNumberFormat="0" applyFont="0" applyAlignment="0" applyProtection="0"/>
    <xf numFmtId="0" fontId="10" fillId="16" borderId="40" applyNumberFormat="0" applyFont="0" applyAlignment="0" applyProtection="0"/>
    <xf numFmtId="0" fontId="10" fillId="16" borderId="40" applyNumberFormat="0" applyFont="0" applyAlignment="0" applyProtection="0"/>
    <xf numFmtId="0" fontId="10" fillId="16" borderId="40" applyNumberFormat="0" applyFont="0" applyAlignment="0" applyProtection="0"/>
    <xf numFmtId="0" fontId="10" fillId="16" borderId="40" applyNumberFormat="0" applyFont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10" fillId="34" borderId="0" applyNumberFormat="0" applyBorder="0" applyAlignment="0" applyProtection="0"/>
    <xf numFmtId="0" fontId="10" fillId="35" borderId="0" applyNumberFormat="0" applyBorder="0" applyAlignment="0" applyProtection="0"/>
    <xf numFmtId="0" fontId="10" fillId="38" borderId="0" applyNumberFormat="0" applyBorder="0" applyAlignment="0" applyProtection="0"/>
    <xf numFmtId="0" fontId="10" fillId="39" borderId="0" applyNumberFormat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16" borderId="40" applyNumberFormat="0" applyFont="0" applyAlignment="0" applyProtection="0"/>
    <xf numFmtId="0" fontId="10" fillId="0" borderId="0"/>
    <xf numFmtId="43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10" fillId="34" borderId="0" applyNumberFormat="0" applyBorder="0" applyAlignment="0" applyProtection="0"/>
    <xf numFmtId="0" fontId="10" fillId="35" borderId="0" applyNumberFormat="0" applyBorder="0" applyAlignment="0" applyProtection="0"/>
    <xf numFmtId="0" fontId="10" fillId="38" borderId="0" applyNumberFormat="0" applyBorder="0" applyAlignment="0" applyProtection="0"/>
    <xf numFmtId="0" fontId="10" fillId="39" borderId="0" applyNumberFormat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0" fontId="10" fillId="16" borderId="40" applyNumberFormat="0" applyFont="0" applyAlignment="0" applyProtection="0"/>
    <xf numFmtId="0" fontId="10" fillId="0" borderId="0"/>
    <xf numFmtId="9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6" borderId="0" applyNumberFormat="0" applyBorder="0" applyAlignment="0" applyProtection="0"/>
    <xf numFmtId="0" fontId="10" fillId="26" borderId="0" applyNumberFormat="0" applyBorder="0" applyAlignment="0" applyProtection="0"/>
    <xf numFmtId="0" fontId="10" fillId="26" borderId="0" applyNumberFormat="0" applyBorder="0" applyAlignment="0" applyProtection="0"/>
    <xf numFmtId="0" fontId="10" fillId="26" borderId="0" applyNumberFormat="0" applyBorder="0" applyAlignment="0" applyProtection="0"/>
    <xf numFmtId="0" fontId="10" fillId="26" borderId="0" applyNumberFormat="0" applyBorder="0" applyAlignment="0" applyProtection="0"/>
    <xf numFmtId="0" fontId="10" fillId="26" borderId="0" applyNumberFormat="0" applyBorder="0" applyAlignment="0" applyProtection="0"/>
    <xf numFmtId="0" fontId="10" fillId="26" borderId="0" applyNumberFormat="0" applyBorder="0" applyAlignment="0" applyProtection="0"/>
    <xf numFmtId="0" fontId="10" fillId="26" borderId="0" applyNumberFormat="0" applyBorder="0" applyAlignment="0" applyProtection="0"/>
    <xf numFmtId="0" fontId="10" fillId="26" borderId="0" applyNumberFormat="0" applyBorder="0" applyAlignment="0" applyProtection="0"/>
    <xf numFmtId="0" fontId="10" fillId="30" borderId="0" applyNumberFormat="0" applyBorder="0" applyAlignment="0" applyProtection="0"/>
    <xf numFmtId="0" fontId="10" fillId="30" borderId="0" applyNumberFormat="0" applyBorder="0" applyAlignment="0" applyProtection="0"/>
    <xf numFmtId="0" fontId="10" fillId="30" borderId="0" applyNumberFormat="0" applyBorder="0" applyAlignment="0" applyProtection="0"/>
    <xf numFmtId="0" fontId="10" fillId="30" borderId="0" applyNumberFormat="0" applyBorder="0" applyAlignment="0" applyProtection="0"/>
    <xf numFmtId="0" fontId="10" fillId="30" borderId="0" applyNumberFormat="0" applyBorder="0" applyAlignment="0" applyProtection="0"/>
    <xf numFmtId="0" fontId="10" fillId="30" borderId="0" applyNumberFormat="0" applyBorder="0" applyAlignment="0" applyProtection="0"/>
    <xf numFmtId="0" fontId="10" fillId="30" borderId="0" applyNumberFormat="0" applyBorder="0" applyAlignment="0" applyProtection="0"/>
    <xf numFmtId="0" fontId="10" fillId="30" borderId="0" applyNumberFormat="0" applyBorder="0" applyAlignment="0" applyProtection="0"/>
    <xf numFmtId="0" fontId="10" fillId="30" borderId="0" applyNumberFormat="0" applyBorder="0" applyAlignment="0" applyProtection="0"/>
    <xf numFmtId="0" fontId="10" fillId="34" borderId="0" applyNumberFormat="0" applyBorder="0" applyAlignment="0" applyProtection="0"/>
    <xf numFmtId="0" fontId="10" fillId="34" borderId="0" applyNumberFormat="0" applyBorder="0" applyAlignment="0" applyProtection="0"/>
    <xf numFmtId="0" fontId="10" fillId="34" borderId="0" applyNumberFormat="0" applyBorder="0" applyAlignment="0" applyProtection="0"/>
    <xf numFmtId="0" fontId="10" fillId="34" borderId="0" applyNumberFormat="0" applyBorder="0" applyAlignment="0" applyProtection="0"/>
    <xf numFmtId="0" fontId="10" fillId="34" borderId="0" applyNumberFormat="0" applyBorder="0" applyAlignment="0" applyProtection="0"/>
    <xf numFmtId="0" fontId="10" fillId="34" borderId="0" applyNumberFormat="0" applyBorder="0" applyAlignment="0" applyProtection="0"/>
    <xf numFmtId="0" fontId="10" fillId="34" borderId="0" applyNumberFormat="0" applyBorder="0" applyAlignment="0" applyProtection="0"/>
    <xf numFmtId="0" fontId="10" fillId="34" borderId="0" applyNumberFormat="0" applyBorder="0" applyAlignment="0" applyProtection="0"/>
    <xf numFmtId="0" fontId="10" fillId="34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31" borderId="0" applyNumberFormat="0" applyBorder="0" applyAlignment="0" applyProtection="0"/>
    <xf numFmtId="0" fontId="10" fillId="31" borderId="0" applyNumberFormat="0" applyBorder="0" applyAlignment="0" applyProtection="0"/>
    <xf numFmtId="0" fontId="10" fillId="31" borderId="0" applyNumberFormat="0" applyBorder="0" applyAlignment="0" applyProtection="0"/>
    <xf numFmtId="0" fontId="10" fillId="31" borderId="0" applyNumberFormat="0" applyBorder="0" applyAlignment="0" applyProtection="0"/>
    <xf numFmtId="0" fontId="10" fillId="31" borderId="0" applyNumberFormat="0" applyBorder="0" applyAlignment="0" applyProtection="0"/>
    <xf numFmtId="0" fontId="10" fillId="31" borderId="0" applyNumberFormat="0" applyBorder="0" applyAlignment="0" applyProtection="0"/>
    <xf numFmtId="0" fontId="10" fillId="31" borderId="0" applyNumberFormat="0" applyBorder="0" applyAlignment="0" applyProtection="0"/>
    <xf numFmtId="0" fontId="10" fillId="31" borderId="0" applyNumberFormat="0" applyBorder="0" applyAlignment="0" applyProtection="0"/>
    <xf numFmtId="0" fontId="10" fillId="31" borderId="0" applyNumberFormat="0" applyBorder="0" applyAlignment="0" applyProtection="0"/>
    <xf numFmtId="0" fontId="10" fillId="35" borderId="0" applyNumberFormat="0" applyBorder="0" applyAlignment="0" applyProtection="0"/>
    <xf numFmtId="0" fontId="10" fillId="35" borderId="0" applyNumberFormat="0" applyBorder="0" applyAlignment="0" applyProtection="0"/>
    <xf numFmtId="0" fontId="10" fillId="35" borderId="0" applyNumberFormat="0" applyBorder="0" applyAlignment="0" applyProtection="0"/>
    <xf numFmtId="0" fontId="10" fillId="35" borderId="0" applyNumberFormat="0" applyBorder="0" applyAlignment="0" applyProtection="0"/>
    <xf numFmtId="0" fontId="10" fillId="35" borderId="0" applyNumberFormat="0" applyBorder="0" applyAlignment="0" applyProtection="0"/>
    <xf numFmtId="0" fontId="10" fillId="35" borderId="0" applyNumberFormat="0" applyBorder="0" applyAlignment="0" applyProtection="0"/>
    <xf numFmtId="0" fontId="10" fillId="35" borderId="0" applyNumberFormat="0" applyBorder="0" applyAlignment="0" applyProtection="0"/>
    <xf numFmtId="0" fontId="10" fillId="35" borderId="0" applyNumberFormat="0" applyBorder="0" applyAlignment="0" applyProtection="0"/>
    <xf numFmtId="0" fontId="10" fillId="35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16" borderId="40" applyNumberFormat="0" applyFont="0" applyAlignment="0" applyProtection="0"/>
    <xf numFmtId="0" fontId="10" fillId="16" borderId="40" applyNumberFormat="0" applyFont="0" applyAlignment="0" applyProtection="0"/>
    <xf numFmtId="0" fontId="10" fillId="16" borderId="40" applyNumberFormat="0" applyFont="0" applyAlignment="0" applyProtection="0"/>
    <xf numFmtId="0" fontId="10" fillId="16" borderId="40" applyNumberFormat="0" applyFont="0" applyAlignment="0" applyProtection="0"/>
    <xf numFmtId="0" fontId="10" fillId="16" borderId="40" applyNumberFormat="0" applyFont="0" applyAlignment="0" applyProtection="0"/>
    <xf numFmtId="0" fontId="10" fillId="16" borderId="40" applyNumberFormat="0" applyFont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10" fillId="34" borderId="0" applyNumberFormat="0" applyBorder="0" applyAlignment="0" applyProtection="0"/>
    <xf numFmtId="0" fontId="10" fillId="35" borderId="0" applyNumberFormat="0" applyBorder="0" applyAlignment="0" applyProtection="0"/>
    <xf numFmtId="0" fontId="10" fillId="38" borderId="0" applyNumberFormat="0" applyBorder="0" applyAlignment="0" applyProtection="0"/>
    <xf numFmtId="0" fontId="10" fillId="39" borderId="0" applyNumberFormat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0" fontId="10" fillId="16" borderId="40" applyNumberFormat="0" applyFont="0" applyAlignment="0" applyProtection="0"/>
    <xf numFmtId="0" fontId="10" fillId="0" borderId="0"/>
    <xf numFmtId="9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6" borderId="0" applyNumberFormat="0" applyBorder="0" applyAlignment="0" applyProtection="0"/>
    <xf numFmtId="0" fontId="10" fillId="26" borderId="0" applyNumberFormat="0" applyBorder="0" applyAlignment="0" applyProtection="0"/>
    <xf numFmtId="0" fontId="10" fillId="26" borderId="0" applyNumberFormat="0" applyBorder="0" applyAlignment="0" applyProtection="0"/>
    <xf numFmtId="0" fontId="10" fillId="26" borderId="0" applyNumberFormat="0" applyBorder="0" applyAlignment="0" applyProtection="0"/>
    <xf numFmtId="0" fontId="10" fillId="26" borderId="0" applyNumberFormat="0" applyBorder="0" applyAlignment="0" applyProtection="0"/>
    <xf numFmtId="0" fontId="10" fillId="26" borderId="0" applyNumberFormat="0" applyBorder="0" applyAlignment="0" applyProtection="0"/>
    <xf numFmtId="0" fontId="10" fillId="26" borderId="0" applyNumberFormat="0" applyBorder="0" applyAlignment="0" applyProtection="0"/>
    <xf numFmtId="0" fontId="10" fillId="26" borderId="0" applyNumberFormat="0" applyBorder="0" applyAlignment="0" applyProtection="0"/>
    <xf numFmtId="0" fontId="10" fillId="26" borderId="0" applyNumberFormat="0" applyBorder="0" applyAlignment="0" applyProtection="0"/>
    <xf numFmtId="0" fontId="10" fillId="30" borderId="0" applyNumberFormat="0" applyBorder="0" applyAlignment="0" applyProtection="0"/>
    <xf numFmtId="0" fontId="10" fillId="30" borderId="0" applyNumberFormat="0" applyBorder="0" applyAlignment="0" applyProtection="0"/>
    <xf numFmtId="0" fontId="10" fillId="30" borderId="0" applyNumberFormat="0" applyBorder="0" applyAlignment="0" applyProtection="0"/>
    <xf numFmtId="0" fontId="10" fillId="30" borderId="0" applyNumberFormat="0" applyBorder="0" applyAlignment="0" applyProtection="0"/>
    <xf numFmtId="0" fontId="10" fillId="30" borderId="0" applyNumberFormat="0" applyBorder="0" applyAlignment="0" applyProtection="0"/>
    <xf numFmtId="0" fontId="10" fillId="30" borderId="0" applyNumberFormat="0" applyBorder="0" applyAlignment="0" applyProtection="0"/>
    <xf numFmtId="0" fontId="10" fillId="30" borderId="0" applyNumberFormat="0" applyBorder="0" applyAlignment="0" applyProtection="0"/>
    <xf numFmtId="0" fontId="10" fillId="30" borderId="0" applyNumberFormat="0" applyBorder="0" applyAlignment="0" applyProtection="0"/>
    <xf numFmtId="0" fontId="10" fillId="30" borderId="0" applyNumberFormat="0" applyBorder="0" applyAlignment="0" applyProtection="0"/>
    <xf numFmtId="0" fontId="10" fillId="34" borderId="0" applyNumberFormat="0" applyBorder="0" applyAlignment="0" applyProtection="0"/>
    <xf numFmtId="0" fontId="10" fillId="34" borderId="0" applyNumberFormat="0" applyBorder="0" applyAlignment="0" applyProtection="0"/>
    <xf numFmtId="0" fontId="10" fillId="34" borderId="0" applyNumberFormat="0" applyBorder="0" applyAlignment="0" applyProtection="0"/>
    <xf numFmtId="0" fontId="10" fillId="34" borderId="0" applyNumberFormat="0" applyBorder="0" applyAlignment="0" applyProtection="0"/>
    <xf numFmtId="0" fontId="10" fillId="34" borderId="0" applyNumberFormat="0" applyBorder="0" applyAlignment="0" applyProtection="0"/>
    <xf numFmtId="0" fontId="10" fillId="34" borderId="0" applyNumberFormat="0" applyBorder="0" applyAlignment="0" applyProtection="0"/>
    <xf numFmtId="0" fontId="10" fillId="34" borderId="0" applyNumberFormat="0" applyBorder="0" applyAlignment="0" applyProtection="0"/>
    <xf numFmtId="0" fontId="10" fillId="34" borderId="0" applyNumberFormat="0" applyBorder="0" applyAlignment="0" applyProtection="0"/>
    <xf numFmtId="0" fontId="10" fillId="34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31" borderId="0" applyNumberFormat="0" applyBorder="0" applyAlignment="0" applyProtection="0"/>
    <xf numFmtId="0" fontId="10" fillId="31" borderId="0" applyNumberFormat="0" applyBorder="0" applyAlignment="0" applyProtection="0"/>
    <xf numFmtId="0" fontId="10" fillId="31" borderId="0" applyNumberFormat="0" applyBorder="0" applyAlignment="0" applyProtection="0"/>
    <xf numFmtId="0" fontId="10" fillId="31" borderId="0" applyNumberFormat="0" applyBorder="0" applyAlignment="0" applyProtection="0"/>
    <xf numFmtId="0" fontId="10" fillId="31" borderId="0" applyNumberFormat="0" applyBorder="0" applyAlignment="0" applyProtection="0"/>
    <xf numFmtId="0" fontId="10" fillId="31" borderId="0" applyNumberFormat="0" applyBorder="0" applyAlignment="0" applyProtection="0"/>
    <xf numFmtId="0" fontId="10" fillId="31" borderId="0" applyNumberFormat="0" applyBorder="0" applyAlignment="0" applyProtection="0"/>
    <xf numFmtId="0" fontId="10" fillId="31" borderId="0" applyNumberFormat="0" applyBorder="0" applyAlignment="0" applyProtection="0"/>
    <xf numFmtId="0" fontId="10" fillId="31" borderId="0" applyNumberFormat="0" applyBorder="0" applyAlignment="0" applyProtection="0"/>
    <xf numFmtId="0" fontId="10" fillId="35" borderId="0" applyNumberFormat="0" applyBorder="0" applyAlignment="0" applyProtection="0"/>
    <xf numFmtId="0" fontId="10" fillId="35" borderId="0" applyNumberFormat="0" applyBorder="0" applyAlignment="0" applyProtection="0"/>
    <xf numFmtId="0" fontId="10" fillId="35" borderId="0" applyNumberFormat="0" applyBorder="0" applyAlignment="0" applyProtection="0"/>
    <xf numFmtId="0" fontId="10" fillId="35" borderId="0" applyNumberFormat="0" applyBorder="0" applyAlignment="0" applyProtection="0"/>
    <xf numFmtId="0" fontId="10" fillId="35" borderId="0" applyNumberFormat="0" applyBorder="0" applyAlignment="0" applyProtection="0"/>
    <xf numFmtId="0" fontId="10" fillId="35" borderId="0" applyNumberFormat="0" applyBorder="0" applyAlignment="0" applyProtection="0"/>
    <xf numFmtId="0" fontId="10" fillId="35" borderId="0" applyNumberFormat="0" applyBorder="0" applyAlignment="0" applyProtection="0"/>
    <xf numFmtId="0" fontId="10" fillId="35" borderId="0" applyNumberFormat="0" applyBorder="0" applyAlignment="0" applyProtection="0"/>
    <xf numFmtId="0" fontId="10" fillId="35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16" borderId="40" applyNumberFormat="0" applyFont="0" applyAlignment="0" applyProtection="0"/>
    <xf numFmtId="0" fontId="10" fillId="16" borderId="40" applyNumberFormat="0" applyFont="0" applyAlignment="0" applyProtection="0"/>
    <xf numFmtId="0" fontId="10" fillId="16" borderId="40" applyNumberFormat="0" applyFont="0" applyAlignment="0" applyProtection="0"/>
    <xf numFmtId="0" fontId="10" fillId="16" borderId="40" applyNumberFormat="0" applyFont="0" applyAlignment="0" applyProtection="0"/>
    <xf numFmtId="0" fontId="10" fillId="16" borderId="40" applyNumberFormat="0" applyFont="0" applyAlignment="0" applyProtection="0"/>
    <xf numFmtId="0" fontId="10" fillId="16" borderId="40" applyNumberFormat="0" applyFont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18" borderId="0" applyNumberFormat="0" applyBorder="0" applyAlignment="0" applyProtection="0"/>
    <xf numFmtId="0" fontId="10" fillId="22" borderId="0" applyNumberFormat="0" applyBorder="0" applyAlignment="0" applyProtection="0"/>
    <xf numFmtId="0" fontId="10" fillId="26" borderId="0" applyNumberFormat="0" applyBorder="0" applyAlignment="0" applyProtection="0"/>
    <xf numFmtId="0" fontId="10" fillId="30" borderId="0" applyNumberFormat="0" applyBorder="0" applyAlignment="0" applyProtection="0"/>
    <xf numFmtId="0" fontId="10" fillId="34" borderId="0" applyNumberFormat="0" applyBorder="0" applyAlignment="0" applyProtection="0"/>
    <xf numFmtId="0" fontId="10" fillId="38" borderId="0" applyNumberFormat="0" applyBorder="0" applyAlignment="0" applyProtection="0"/>
    <xf numFmtId="0" fontId="10" fillId="19" borderId="0" applyNumberFormat="0" applyBorder="0" applyAlignment="0" applyProtection="0"/>
    <xf numFmtId="0" fontId="10" fillId="23" borderId="0" applyNumberFormat="0" applyBorder="0" applyAlignment="0" applyProtection="0"/>
    <xf numFmtId="0" fontId="10" fillId="27" borderId="0" applyNumberFormat="0" applyBorder="0" applyAlignment="0" applyProtection="0"/>
    <xf numFmtId="0" fontId="10" fillId="31" borderId="0" applyNumberFormat="0" applyBorder="0" applyAlignment="0" applyProtection="0"/>
    <xf numFmtId="0" fontId="10" fillId="35" borderId="0" applyNumberFormat="0" applyBorder="0" applyAlignment="0" applyProtection="0"/>
    <xf numFmtId="0" fontId="10" fillId="39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16" borderId="40" applyNumberFormat="0" applyFont="0" applyAlignment="0" applyProtection="0"/>
    <xf numFmtId="9" fontId="10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0" fontId="10" fillId="16" borderId="40" applyNumberFormat="0" applyFont="0" applyAlignment="0" applyProtection="0"/>
    <xf numFmtId="0" fontId="10" fillId="0" borderId="0"/>
    <xf numFmtId="9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6" borderId="0" applyNumberFormat="0" applyBorder="0" applyAlignment="0" applyProtection="0"/>
    <xf numFmtId="0" fontId="10" fillId="26" borderId="0" applyNumberFormat="0" applyBorder="0" applyAlignment="0" applyProtection="0"/>
    <xf numFmtId="0" fontId="10" fillId="26" borderId="0" applyNumberFormat="0" applyBorder="0" applyAlignment="0" applyProtection="0"/>
    <xf numFmtId="0" fontId="10" fillId="26" borderId="0" applyNumberFormat="0" applyBorder="0" applyAlignment="0" applyProtection="0"/>
    <xf numFmtId="0" fontId="10" fillId="26" borderId="0" applyNumberFormat="0" applyBorder="0" applyAlignment="0" applyProtection="0"/>
    <xf numFmtId="0" fontId="10" fillId="26" borderId="0" applyNumberFormat="0" applyBorder="0" applyAlignment="0" applyProtection="0"/>
    <xf numFmtId="0" fontId="10" fillId="26" borderId="0" applyNumberFormat="0" applyBorder="0" applyAlignment="0" applyProtection="0"/>
    <xf numFmtId="0" fontId="10" fillId="26" borderId="0" applyNumberFormat="0" applyBorder="0" applyAlignment="0" applyProtection="0"/>
    <xf numFmtId="0" fontId="10" fillId="26" borderId="0" applyNumberFormat="0" applyBorder="0" applyAlignment="0" applyProtection="0"/>
    <xf numFmtId="0" fontId="10" fillId="30" borderId="0" applyNumberFormat="0" applyBorder="0" applyAlignment="0" applyProtection="0"/>
    <xf numFmtId="0" fontId="10" fillId="30" borderId="0" applyNumberFormat="0" applyBorder="0" applyAlignment="0" applyProtection="0"/>
    <xf numFmtId="0" fontId="10" fillId="30" borderId="0" applyNumberFormat="0" applyBorder="0" applyAlignment="0" applyProtection="0"/>
    <xf numFmtId="0" fontId="10" fillId="30" borderId="0" applyNumberFormat="0" applyBorder="0" applyAlignment="0" applyProtection="0"/>
    <xf numFmtId="0" fontId="10" fillId="30" borderId="0" applyNumberFormat="0" applyBorder="0" applyAlignment="0" applyProtection="0"/>
    <xf numFmtId="0" fontId="10" fillId="30" borderId="0" applyNumberFormat="0" applyBorder="0" applyAlignment="0" applyProtection="0"/>
    <xf numFmtId="0" fontId="10" fillId="30" borderId="0" applyNumberFormat="0" applyBorder="0" applyAlignment="0" applyProtection="0"/>
    <xf numFmtId="0" fontId="10" fillId="30" borderId="0" applyNumberFormat="0" applyBorder="0" applyAlignment="0" applyProtection="0"/>
    <xf numFmtId="0" fontId="10" fillId="30" borderId="0" applyNumberFormat="0" applyBorder="0" applyAlignment="0" applyProtection="0"/>
    <xf numFmtId="0" fontId="10" fillId="34" borderId="0" applyNumberFormat="0" applyBorder="0" applyAlignment="0" applyProtection="0"/>
    <xf numFmtId="0" fontId="10" fillId="34" borderId="0" applyNumberFormat="0" applyBorder="0" applyAlignment="0" applyProtection="0"/>
    <xf numFmtId="0" fontId="10" fillId="34" borderId="0" applyNumberFormat="0" applyBorder="0" applyAlignment="0" applyProtection="0"/>
    <xf numFmtId="0" fontId="10" fillId="34" borderId="0" applyNumberFormat="0" applyBorder="0" applyAlignment="0" applyProtection="0"/>
    <xf numFmtId="0" fontId="10" fillId="34" borderId="0" applyNumberFormat="0" applyBorder="0" applyAlignment="0" applyProtection="0"/>
    <xf numFmtId="0" fontId="10" fillId="34" borderId="0" applyNumberFormat="0" applyBorder="0" applyAlignment="0" applyProtection="0"/>
    <xf numFmtId="0" fontId="10" fillId="34" borderId="0" applyNumberFormat="0" applyBorder="0" applyAlignment="0" applyProtection="0"/>
    <xf numFmtId="0" fontId="10" fillId="34" borderId="0" applyNumberFormat="0" applyBorder="0" applyAlignment="0" applyProtection="0"/>
    <xf numFmtId="0" fontId="10" fillId="34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31" borderId="0" applyNumberFormat="0" applyBorder="0" applyAlignment="0" applyProtection="0"/>
    <xf numFmtId="0" fontId="10" fillId="31" borderId="0" applyNumberFormat="0" applyBorder="0" applyAlignment="0" applyProtection="0"/>
    <xf numFmtId="0" fontId="10" fillId="31" borderId="0" applyNumberFormat="0" applyBorder="0" applyAlignment="0" applyProtection="0"/>
    <xf numFmtId="0" fontId="10" fillId="31" borderId="0" applyNumberFormat="0" applyBorder="0" applyAlignment="0" applyProtection="0"/>
    <xf numFmtId="0" fontId="10" fillId="31" borderId="0" applyNumberFormat="0" applyBorder="0" applyAlignment="0" applyProtection="0"/>
    <xf numFmtId="0" fontId="10" fillId="31" borderId="0" applyNumberFormat="0" applyBorder="0" applyAlignment="0" applyProtection="0"/>
    <xf numFmtId="0" fontId="10" fillId="31" borderId="0" applyNumberFormat="0" applyBorder="0" applyAlignment="0" applyProtection="0"/>
    <xf numFmtId="0" fontId="10" fillId="31" borderId="0" applyNumberFormat="0" applyBorder="0" applyAlignment="0" applyProtection="0"/>
    <xf numFmtId="0" fontId="10" fillId="31" borderId="0" applyNumberFormat="0" applyBorder="0" applyAlignment="0" applyProtection="0"/>
    <xf numFmtId="0" fontId="10" fillId="35" borderId="0" applyNumberFormat="0" applyBorder="0" applyAlignment="0" applyProtection="0"/>
    <xf numFmtId="0" fontId="10" fillId="35" borderId="0" applyNumberFormat="0" applyBorder="0" applyAlignment="0" applyProtection="0"/>
    <xf numFmtId="0" fontId="10" fillId="35" borderId="0" applyNumberFormat="0" applyBorder="0" applyAlignment="0" applyProtection="0"/>
    <xf numFmtId="0" fontId="10" fillId="35" borderId="0" applyNumberFormat="0" applyBorder="0" applyAlignment="0" applyProtection="0"/>
    <xf numFmtId="0" fontId="10" fillId="35" borderId="0" applyNumberFormat="0" applyBorder="0" applyAlignment="0" applyProtection="0"/>
    <xf numFmtId="0" fontId="10" fillId="35" borderId="0" applyNumberFormat="0" applyBorder="0" applyAlignment="0" applyProtection="0"/>
    <xf numFmtId="0" fontId="10" fillId="35" borderId="0" applyNumberFormat="0" applyBorder="0" applyAlignment="0" applyProtection="0"/>
    <xf numFmtId="0" fontId="10" fillId="35" borderId="0" applyNumberFormat="0" applyBorder="0" applyAlignment="0" applyProtection="0"/>
    <xf numFmtId="0" fontId="10" fillId="35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16" borderId="40" applyNumberFormat="0" applyFont="0" applyAlignment="0" applyProtection="0"/>
    <xf numFmtId="0" fontId="10" fillId="16" borderId="40" applyNumberFormat="0" applyFont="0" applyAlignment="0" applyProtection="0"/>
    <xf numFmtId="0" fontId="10" fillId="16" borderId="40" applyNumberFormat="0" applyFont="0" applyAlignment="0" applyProtection="0"/>
    <xf numFmtId="0" fontId="10" fillId="16" borderId="40" applyNumberFormat="0" applyFont="0" applyAlignment="0" applyProtection="0"/>
    <xf numFmtId="0" fontId="10" fillId="16" borderId="40" applyNumberFormat="0" applyFont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10" fillId="34" borderId="0" applyNumberFormat="0" applyBorder="0" applyAlignment="0" applyProtection="0"/>
    <xf numFmtId="0" fontId="10" fillId="35" borderId="0" applyNumberFormat="0" applyBorder="0" applyAlignment="0" applyProtection="0"/>
    <xf numFmtId="0" fontId="10" fillId="38" borderId="0" applyNumberFormat="0" applyBorder="0" applyAlignment="0" applyProtection="0"/>
    <xf numFmtId="0" fontId="10" fillId="39" borderId="0" applyNumberFormat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0" fontId="10" fillId="16" borderId="40" applyNumberFormat="0" applyFont="0" applyAlignment="0" applyProtection="0"/>
    <xf numFmtId="0" fontId="10" fillId="0" borderId="0"/>
    <xf numFmtId="9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6" borderId="0" applyNumberFormat="0" applyBorder="0" applyAlignment="0" applyProtection="0"/>
    <xf numFmtId="0" fontId="10" fillId="26" borderId="0" applyNumberFormat="0" applyBorder="0" applyAlignment="0" applyProtection="0"/>
    <xf numFmtId="0" fontId="10" fillId="26" borderId="0" applyNumberFormat="0" applyBorder="0" applyAlignment="0" applyProtection="0"/>
    <xf numFmtId="0" fontId="10" fillId="26" borderId="0" applyNumberFormat="0" applyBorder="0" applyAlignment="0" applyProtection="0"/>
    <xf numFmtId="0" fontId="10" fillId="26" borderId="0" applyNumberFormat="0" applyBorder="0" applyAlignment="0" applyProtection="0"/>
    <xf numFmtId="0" fontId="10" fillId="26" borderId="0" applyNumberFormat="0" applyBorder="0" applyAlignment="0" applyProtection="0"/>
    <xf numFmtId="0" fontId="10" fillId="26" borderId="0" applyNumberFormat="0" applyBorder="0" applyAlignment="0" applyProtection="0"/>
    <xf numFmtId="0" fontId="10" fillId="26" borderId="0" applyNumberFormat="0" applyBorder="0" applyAlignment="0" applyProtection="0"/>
    <xf numFmtId="0" fontId="10" fillId="26" borderId="0" applyNumberFormat="0" applyBorder="0" applyAlignment="0" applyProtection="0"/>
    <xf numFmtId="0" fontId="10" fillId="30" borderId="0" applyNumberFormat="0" applyBorder="0" applyAlignment="0" applyProtection="0"/>
    <xf numFmtId="0" fontId="10" fillId="30" borderId="0" applyNumberFormat="0" applyBorder="0" applyAlignment="0" applyProtection="0"/>
    <xf numFmtId="0" fontId="10" fillId="30" borderId="0" applyNumberFormat="0" applyBorder="0" applyAlignment="0" applyProtection="0"/>
    <xf numFmtId="0" fontId="10" fillId="30" borderId="0" applyNumberFormat="0" applyBorder="0" applyAlignment="0" applyProtection="0"/>
    <xf numFmtId="0" fontId="10" fillId="30" borderId="0" applyNumberFormat="0" applyBorder="0" applyAlignment="0" applyProtection="0"/>
    <xf numFmtId="0" fontId="10" fillId="30" borderId="0" applyNumberFormat="0" applyBorder="0" applyAlignment="0" applyProtection="0"/>
    <xf numFmtId="0" fontId="10" fillId="30" borderId="0" applyNumberFormat="0" applyBorder="0" applyAlignment="0" applyProtection="0"/>
    <xf numFmtId="0" fontId="10" fillId="30" borderId="0" applyNumberFormat="0" applyBorder="0" applyAlignment="0" applyProtection="0"/>
    <xf numFmtId="0" fontId="10" fillId="30" borderId="0" applyNumberFormat="0" applyBorder="0" applyAlignment="0" applyProtection="0"/>
    <xf numFmtId="0" fontId="10" fillId="34" borderId="0" applyNumberFormat="0" applyBorder="0" applyAlignment="0" applyProtection="0"/>
    <xf numFmtId="0" fontId="10" fillId="34" borderId="0" applyNumberFormat="0" applyBorder="0" applyAlignment="0" applyProtection="0"/>
    <xf numFmtId="0" fontId="10" fillId="34" borderId="0" applyNumberFormat="0" applyBorder="0" applyAlignment="0" applyProtection="0"/>
    <xf numFmtId="0" fontId="10" fillId="34" borderId="0" applyNumberFormat="0" applyBorder="0" applyAlignment="0" applyProtection="0"/>
    <xf numFmtId="0" fontId="10" fillId="34" borderId="0" applyNumberFormat="0" applyBorder="0" applyAlignment="0" applyProtection="0"/>
    <xf numFmtId="0" fontId="10" fillId="34" borderId="0" applyNumberFormat="0" applyBorder="0" applyAlignment="0" applyProtection="0"/>
    <xf numFmtId="0" fontId="10" fillId="34" borderId="0" applyNumberFormat="0" applyBorder="0" applyAlignment="0" applyProtection="0"/>
    <xf numFmtId="0" fontId="10" fillId="34" borderId="0" applyNumberFormat="0" applyBorder="0" applyAlignment="0" applyProtection="0"/>
    <xf numFmtId="0" fontId="10" fillId="34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31" borderId="0" applyNumberFormat="0" applyBorder="0" applyAlignment="0" applyProtection="0"/>
    <xf numFmtId="0" fontId="10" fillId="31" borderId="0" applyNumberFormat="0" applyBorder="0" applyAlignment="0" applyProtection="0"/>
    <xf numFmtId="0" fontId="10" fillId="31" borderId="0" applyNumberFormat="0" applyBorder="0" applyAlignment="0" applyProtection="0"/>
    <xf numFmtId="0" fontId="10" fillId="31" borderId="0" applyNumberFormat="0" applyBorder="0" applyAlignment="0" applyProtection="0"/>
    <xf numFmtId="0" fontId="10" fillId="31" borderId="0" applyNumberFormat="0" applyBorder="0" applyAlignment="0" applyProtection="0"/>
    <xf numFmtId="0" fontId="10" fillId="31" borderId="0" applyNumberFormat="0" applyBorder="0" applyAlignment="0" applyProtection="0"/>
    <xf numFmtId="0" fontId="10" fillId="31" borderId="0" applyNumberFormat="0" applyBorder="0" applyAlignment="0" applyProtection="0"/>
    <xf numFmtId="0" fontId="10" fillId="31" borderId="0" applyNumberFormat="0" applyBorder="0" applyAlignment="0" applyProtection="0"/>
    <xf numFmtId="0" fontId="10" fillId="31" borderId="0" applyNumberFormat="0" applyBorder="0" applyAlignment="0" applyProtection="0"/>
    <xf numFmtId="0" fontId="10" fillId="35" borderId="0" applyNumberFormat="0" applyBorder="0" applyAlignment="0" applyProtection="0"/>
    <xf numFmtId="0" fontId="10" fillId="35" borderId="0" applyNumberFormat="0" applyBorder="0" applyAlignment="0" applyProtection="0"/>
    <xf numFmtId="0" fontId="10" fillId="35" borderId="0" applyNumberFormat="0" applyBorder="0" applyAlignment="0" applyProtection="0"/>
    <xf numFmtId="0" fontId="10" fillId="35" borderId="0" applyNumberFormat="0" applyBorder="0" applyAlignment="0" applyProtection="0"/>
    <xf numFmtId="0" fontId="10" fillId="35" borderId="0" applyNumberFormat="0" applyBorder="0" applyAlignment="0" applyProtection="0"/>
    <xf numFmtId="0" fontId="10" fillId="35" borderId="0" applyNumberFormat="0" applyBorder="0" applyAlignment="0" applyProtection="0"/>
    <xf numFmtId="0" fontId="10" fillId="35" borderId="0" applyNumberFormat="0" applyBorder="0" applyAlignment="0" applyProtection="0"/>
    <xf numFmtId="0" fontId="10" fillId="35" borderId="0" applyNumberFormat="0" applyBorder="0" applyAlignment="0" applyProtection="0"/>
    <xf numFmtId="0" fontId="10" fillId="35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16" borderId="40" applyNumberFormat="0" applyFont="0" applyAlignment="0" applyProtection="0"/>
    <xf numFmtId="0" fontId="10" fillId="16" borderId="40" applyNumberFormat="0" applyFont="0" applyAlignment="0" applyProtection="0"/>
    <xf numFmtId="0" fontId="10" fillId="16" borderId="40" applyNumberFormat="0" applyFont="0" applyAlignment="0" applyProtection="0"/>
    <xf numFmtId="0" fontId="10" fillId="16" borderId="40" applyNumberFormat="0" applyFont="0" applyAlignment="0" applyProtection="0"/>
    <xf numFmtId="0" fontId="10" fillId="16" borderId="40" applyNumberFormat="0" applyFont="0" applyAlignment="0" applyProtection="0"/>
    <xf numFmtId="0" fontId="10" fillId="16" borderId="40" applyNumberFormat="0" applyFont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43" fontId="10" fillId="0" borderId="0" applyFont="0" applyFill="0" applyBorder="0" applyAlignment="0" applyProtection="0"/>
    <xf numFmtId="0" fontId="10" fillId="16" borderId="40" applyNumberFormat="0" applyFont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10" fillId="34" borderId="0" applyNumberFormat="0" applyBorder="0" applyAlignment="0" applyProtection="0"/>
    <xf numFmtId="0" fontId="10" fillId="35" borderId="0" applyNumberFormat="0" applyBorder="0" applyAlignment="0" applyProtection="0"/>
    <xf numFmtId="0" fontId="10" fillId="38" borderId="0" applyNumberFormat="0" applyBorder="0" applyAlignment="0" applyProtection="0"/>
    <xf numFmtId="0" fontId="10" fillId="39" borderId="0" applyNumberFormat="0" applyBorder="0" applyAlignment="0" applyProtection="0"/>
    <xf numFmtId="0" fontId="27" fillId="0" borderId="33" applyNumberFormat="0" applyFill="0" applyAlignment="0" applyProtection="0"/>
    <xf numFmtId="0" fontId="28" fillId="0" borderId="34" applyNumberFormat="0" applyFill="0" applyAlignment="0" applyProtection="0"/>
    <xf numFmtId="0" fontId="29" fillId="0" borderId="35" applyNumberFormat="0" applyFill="0" applyAlignment="0" applyProtection="0"/>
    <xf numFmtId="0" fontId="29" fillId="0" borderId="0" applyNumberFormat="0" applyFill="0" applyBorder="0" applyAlignment="0" applyProtection="0"/>
    <xf numFmtId="0" fontId="30" fillId="10" borderId="0" applyNumberFormat="0" applyBorder="0" applyAlignment="0" applyProtection="0"/>
    <xf numFmtId="0" fontId="31" fillId="11" borderId="0" applyNumberFormat="0" applyBorder="0" applyAlignment="0" applyProtection="0"/>
    <xf numFmtId="0" fontId="32" fillId="13" borderId="36" applyNumberFormat="0" applyAlignment="0" applyProtection="0"/>
    <xf numFmtId="0" fontId="33" fillId="14" borderId="37" applyNumberFormat="0" applyAlignment="0" applyProtection="0"/>
    <xf numFmtId="0" fontId="34" fillId="14" borderId="36" applyNumberFormat="0" applyAlignment="0" applyProtection="0"/>
    <xf numFmtId="0" fontId="35" fillId="0" borderId="38" applyNumberFormat="0" applyFill="0" applyAlignment="0" applyProtection="0"/>
    <xf numFmtId="0" fontId="36" fillId="15" borderId="39" applyNumberFormat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41" applyNumberFormat="0" applyFill="0" applyAlignment="0" applyProtection="0"/>
    <xf numFmtId="0" fontId="40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40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40" fillId="25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40" fillId="29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40" fillId="33" borderId="0" applyNumberFormat="0" applyBorder="0" applyAlignment="0" applyProtection="0"/>
    <xf numFmtId="0" fontId="9" fillId="34" borderId="0" applyNumberFormat="0" applyBorder="0" applyAlignment="0" applyProtection="0"/>
    <xf numFmtId="0" fontId="9" fillId="35" borderId="0" applyNumberFormat="0" applyBorder="0" applyAlignment="0" applyProtection="0"/>
    <xf numFmtId="0" fontId="40" fillId="37" borderId="0" applyNumberFormat="0" applyBorder="0" applyAlignment="0" applyProtection="0"/>
    <xf numFmtId="0" fontId="9" fillId="38" borderId="0" applyNumberFormat="0" applyBorder="0" applyAlignment="0" applyProtection="0"/>
    <xf numFmtId="0" fontId="9" fillId="39" borderId="0" applyNumberFormat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0" fontId="9" fillId="16" borderId="40" applyNumberFormat="0" applyFont="0" applyAlignment="0" applyProtection="0"/>
    <xf numFmtId="0" fontId="9" fillId="0" borderId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16" borderId="40" applyNumberFormat="0" applyFont="0" applyAlignment="0" applyProtection="0"/>
    <xf numFmtId="0" fontId="9" fillId="0" borderId="0"/>
    <xf numFmtId="43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0" fontId="9" fillId="16" borderId="40" applyNumberFormat="0" applyFont="0" applyAlignment="0" applyProtection="0"/>
    <xf numFmtId="9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16" borderId="40" applyNumberFormat="0" applyFont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34" borderId="0" applyNumberFormat="0" applyBorder="0" applyAlignment="0" applyProtection="0"/>
    <xf numFmtId="0" fontId="9" fillId="35" borderId="0" applyNumberFormat="0" applyBorder="0" applyAlignment="0" applyProtection="0"/>
    <xf numFmtId="0" fontId="9" fillId="38" borderId="0" applyNumberFormat="0" applyBorder="0" applyAlignment="0" applyProtection="0"/>
    <xf numFmtId="0" fontId="9" fillId="39" borderId="0" applyNumberFormat="0" applyBorder="0" applyAlignment="0" applyProtection="0"/>
    <xf numFmtId="9" fontId="9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0" fontId="8" fillId="16" borderId="40" applyNumberFormat="0" applyFont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34" borderId="0" applyNumberFormat="0" applyBorder="0" applyAlignment="0" applyProtection="0"/>
    <xf numFmtId="0" fontId="8" fillId="35" borderId="0" applyNumberFormat="0" applyBorder="0" applyAlignment="0" applyProtection="0"/>
    <xf numFmtId="0" fontId="8" fillId="38" borderId="0" applyNumberFormat="0" applyBorder="0" applyAlignment="0" applyProtection="0"/>
    <xf numFmtId="0" fontId="8" fillId="39" borderId="0" applyNumberFormat="0" applyBorder="0" applyAlignment="0" applyProtection="0"/>
    <xf numFmtId="0" fontId="8" fillId="0" borderId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16" borderId="40" applyNumberFormat="0" applyFont="0" applyAlignment="0" applyProtection="0"/>
    <xf numFmtId="0" fontId="8" fillId="0" borderId="0"/>
    <xf numFmtId="43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0" fontId="8" fillId="16" borderId="40" applyNumberFormat="0" applyFont="0" applyAlignment="0" applyProtection="0"/>
    <xf numFmtId="9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16" borderId="40" applyNumberFormat="0" applyFont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34" borderId="0" applyNumberFormat="0" applyBorder="0" applyAlignment="0" applyProtection="0"/>
    <xf numFmtId="0" fontId="8" fillId="35" borderId="0" applyNumberFormat="0" applyBorder="0" applyAlignment="0" applyProtection="0"/>
    <xf numFmtId="0" fontId="8" fillId="38" borderId="0" applyNumberFormat="0" applyBorder="0" applyAlignment="0" applyProtection="0"/>
    <xf numFmtId="0" fontId="8" fillId="39" borderId="0" applyNumberFormat="0" applyBorder="0" applyAlignment="0" applyProtection="0"/>
    <xf numFmtId="9" fontId="8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0" fontId="7" fillId="16" borderId="40" applyNumberFormat="0" applyFont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4" borderId="0" applyNumberFormat="0" applyBorder="0" applyAlignment="0" applyProtection="0"/>
    <xf numFmtId="0" fontId="7" fillId="35" borderId="0" applyNumberFormat="0" applyBorder="0" applyAlignment="0" applyProtection="0"/>
    <xf numFmtId="0" fontId="7" fillId="38" borderId="0" applyNumberFormat="0" applyBorder="0" applyAlignment="0" applyProtection="0"/>
    <xf numFmtId="0" fontId="7" fillId="39" borderId="0" applyNumberFormat="0" applyBorder="0" applyAlignment="0" applyProtection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16" borderId="40" applyNumberFormat="0" applyFont="0" applyAlignment="0" applyProtection="0"/>
    <xf numFmtId="0" fontId="7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0" fontId="7" fillId="16" borderId="40" applyNumberFormat="0" applyFont="0" applyAlignment="0" applyProtection="0"/>
    <xf numFmtId="9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16" borderId="40" applyNumberFormat="0" applyFont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4" borderId="0" applyNumberFormat="0" applyBorder="0" applyAlignment="0" applyProtection="0"/>
    <xf numFmtId="0" fontId="7" fillId="35" borderId="0" applyNumberFormat="0" applyBorder="0" applyAlignment="0" applyProtection="0"/>
    <xf numFmtId="0" fontId="7" fillId="38" borderId="0" applyNumberFormat="0" applyBorder="0" applyAlignment="0" applyProtection="0"/>
    <xf numFmtId="0" fontId="7" fillId="39" borderId="0" applyNumberFormat="0" applyBorder="0" applyAlignment="0" applyProtection="0"/>
    <xf numFmtId="9" fontId="7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6" fillId="16" borderId="40" applyNumberFormat="0" applyFont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4" borderId="0" applyNumberFormat="0" applyBorder="0" applyAlignment="0" applyProtection="0"/>
    <xf numFmtId="0" fontId="6" fillId="35" borderId="0" applyNumberFormat="0" applyBorder="0" applyAlignment="0" applyProtection="0"/>
    <xf numFmtId="0" fontId="6" fillId="38" borderId="0" applyNumberFormat="0" applyBorder="0" applyAlignment="0" applyProtection="0"/>
    <xf numFmtId="0" fontId="6" fillId="39" borderId="0" applyNumberFormat="0" applyBorder="0" applyAlignment="0" applyProtection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16" borderId="40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6" fillId="16" borderId="40" applyNumberFormat="0" applyFont="0" applyAlignment="0" applyProtection="0"/>
    <xf numFmtId="9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16" borderId="40" applyNumberFormat="0" applyFont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4" borderId="0" applyNumberFormat="0" applyBorder="0" applyAlignment="0" applyProtection="0"/>
    <xf numFmtId="0" fontId="6" fillId="35" borderId="0" applyNumberFormat="0" applyBorder="0" applyAlignment="0" applyProtection="0"/>
    <xf numFmtId="0" fontId="6" fillId="38" borderId="0" applyNumberFormat="0" applyBorder="0" applyAlignment="0" applyProtection="0"/>
    <xf numFmtId="0" fontId="6" fillId="39" borderId="0" applyNumberFormat="0" applyBorder="0" applyAlignment="0" applyProtection="0"/>
    <xf numFmtId="9" fontId="6" fillId="0" borderId="0" applyFont="0" applyFill="0" applyBorder="0" applyAlignment="0" applyProtection="0"/>
    <xf numFmtId="0" fontId="104" fillId="0" borderId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16" borderId="40" applyNumberFormat="0" applyFont="0" applyAlignment="0" applyProtection="0"/>
    <xf numFmtId="0" fontId="5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16" borderId="40" applyNumberFormat="0" applyFont="0" applyAlignment="0" applyProtection="0"/>
    <xf numFmtId="0" fontId="5" fillId="16" borderId="40" applyNumberFormat="0" applyFont="0" applyAlignment="0" applyProtection="0"/>
    <xf numFmtId="0" fontId="5" fillId="16" borderId="40" applyNumberFormat="0" applyFont="0" applyAlignment="0" applyProtection="0"/>
    <xf numFmtId="0" fontId="5" fillId="16" borderId="40" applyNumberFormat="0" applyFont="0" applyAlignment="0" applyProtection="0"/>
    <xf numFmtId="0" fontId="5" fillId="16" borderId="40" applyNumberFormat="0" applyFont="0" applyAlignment="0" applyProtection="0"/>
    <xf numFmtId="0" fontId="5" fillId="16" borderId="40" applyNumberFormat="0" applyFont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16" borderId="40" applyNumberFormat="0" applyFont="0" applyAlignment="0" applyProtection="0"/>
    <xf numFmtId="0" fontId="5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16" borderId="40" applyNumberFormat="0" applyFont="0" applyAlignment="0" applyProtection="0"/>
    <xf numFmtId="0" fontId="5" fillId="16" borderId="40" applyNumberFormat="0" applyFont="0" applyAlignment="0" applyProtection="0"/>
    <xf numFmtId="0" fontId="5" fillId="16" borderId="40" applyNumberFormat="0" applyFont="0" applyAlignment="0" applyProtection="0"/>
    <xf numFmtId="0" fontId="5" fillId="16" borderId="40" applyNumberFormat="0" applyFont="0" applyAlignment="0" applyProtection="0"/>
    <xf numFmtId="0" fontId="5" fillId="16" borderId="40" applyNumberFormat="0" applyFont="0" applyAlignment="0" applyProtection="0"/>
    <xf numFmtId="0" fontId="5" fillId="16" borderId="40" applyNumberFormat="0" applyFont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18" borderId="0" applyNumberFormat="0" applyBorder="0" applyAlignment="0" applyProtection="0"/>
    <xf numFmtId="0" fontId="5" fillId="22" borderId="0" applyNumberFormat="0" applyBorder="0" applyAlignment="0" applyProtection="0"/>
    <xf numFmtId="0" fontId="5" fillId="26" borderId="0" applyNumberFormat="0" applyBorder="0" applyAlignment="0" applyProtection="0"/>
    <xf numFmtId="0" fontId="5" fillId="30" borderId="0" applyNumberFormat="0" applyBorder="0" applyAlignment="0" applyProtection="0"/>
    <xf numFmtId="0" fontId="5" fillId="34" borderId="0" applyNumberFormat="0" applyBorder="0" applyAlignment="0" applyProtection="0"/>
    <xf numFmtId="0" fontId="5" fillId="38" borderId="0" applyNumberFormat="0" applyBorder="0" applyAlignment="0" applyProtection="0"/>
    <xf numFmtId="0" fontId="5" fillId="19" borderId="0" applyNumberFormat="0" applyBorder="0" applyAlignment="0" applyProtection="0"/>
    <xf numFmtId="0" fontId="5" fillId="23" borderId="0" applyNumberFormat="0" applyBorder="0" applyAlignment="0" applyProtection="0"/>
    <xf numFmtId="0" fontId="5" fillId="27" borderId="0" applyNumberFormat="0" applyBorder="0" applyAlignment="0" applyProtection="0"/>
    <xf numFmtId="0" fontId="5" fillId="31" borderId="0" applyNumberFormat="0" applyBorder="0" applyAlignment="0" applyProtection="0"/>
    <xf numFmtId="0" fontId="5" fillId="35" borderId="0" applyNumberFormat="0" applyBorder="0" applyAlignment="0" applyProtection="0"/>
    <xf numFmtId="0" fontId="5" fillId="39" borderId="0" applyNumberFormat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16" borderId="40" applyNumberFormat="0" applyFont="0" applyAlignment="0" applyProtection="0"/>
    <xf numFmtId="9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16" borderId="40" applyNumberFormat="0" applyFont="0" applyAlignment="0" applyProtection="0"/>
    <xf numFmtId="0" fontId="5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16" borderId="40" applyNumberFormat="0" applyFont="0" applyAlignment="0" applyProtection="0"/>
    <xf numFmtId="0" fontId="5" fillId="16" borderId="40" applyNumberFormat="0" applyFont="0" applyAlignment="0" applyProtection="0"/>
    <xf numFmtId="0" fontId="5" fillId="16" borderId="40" applyNumberFormat="0" applyFont="0" applyAlignment="0" applyProtection="0"/>
    <xf numFmtId="0" fontId="5" fillId="16" borderId="40" applyNumberFormat="0" applyFont="0" applyAlignment="0" applyProtection="0"/>
    <xf numFmtId="0" fontId="5" fillId="16" borderId="40" applyNumberFormat="0" applyFont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16" borderId="40" applyNumberFormat="0" applyFont="0" applyAlignment="0" applyProtection="0"/>
    <xf numFmtId="0" fontId="5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16" borderId="40" applyNumberFormat="0" applyFont="0" applyAlignment="0" applyProtection="0"/>
    <xf numFmtId="0" fontId="5" fillId="16" borderId="40" applyNumberFormat="0" applyFont="0" applyAlignment="0" applyProtection="0"/>
    <xf numFmtId="0" fontId="5" fillId="16" borderId="40" applyNumberFormat="0" applyFont="0" applyAlignment="0" applyProtection="0"/>
    <xf numFmtId="0" fontId="5" fillId="16" borderId="40" applyNumberFormat="0" applyFont="0" applyAlignment="0" applyProtection="0"/>
    <xf numFmtId="0" fontId="5" fillId="16" borderId="40" applyNumberFormat="0" applyFont="0" applyAlignment="0" applyProtection="0"/>
    <xf numFmtId="0" fontId="5" fillId="16" borderId="40" applyNumberFormat="0" applyFont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4" fillId="0" borderId="0"/>
    <xf numFmtId="43" fontId="4" fillId="0" borderId="0" applyFont="0" applyFill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38" borderId="0" applyNumberFormat="0" applyBorder="0" applyAlignment="0" applyProtection="0"/>
    <xf numFmtId="0" fontId="4" fillId="39" borderId="0" applyNumberFormat="0" applyBorder="0" applyAlignment="0" applyProtection="0"/>
    <xf numFmtId="0" fontId="104" fillId="0" borderId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43" fontId="10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37" fontId="1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6" borderId="40" applyNumberFormat="0" applyFont="0" applyAlignment="0" applyProtection="0"/>
    <xf numFmtId="0" fontId="4" fillId="16" borderId="40" applyNumberFormat="0" applyFont="0" applyAlignment="0" applyProtection="0"/>
    <xf numFmtId="0" fontId="4" fillId="16" borderId="40" applyNumberFormat="0" applyFont="0" applyAlignment="0" applyProtection="0"/>
    <xf numFmtId="0" fontId="4" fillId="16" borderId="40" applyNumberFormat="0" applyFont="0" applyAlignment="0" applyProtection="0"/>
    <xf numFmtId="0" fontId="4" fillId="16" borderId="40" applyNumberFormat="0" applyFont="0" applyAlignment="0" applyProtection="0"/>
    <xf numFmtId="0" fontId="4" fillId="16" borderId="40" applyNumberFormat="0" applyFont="0" applyAlignment="0" applyProtection="0"/>
    <xf numFmtId="0" fontId="4" fillId="16" borderId="40" applyNumberFormat="0" applyFont="0" applyAlignment="0" applyProtection="0"/>
    <xf numFmtId="0" fontId="4" fillId="16" borderId="40" applyNumberFormat="0" applyFont="0" applyAlignment="0" applyProtection="0"/>
    <xf numFmtId="0" fontId="4" fillId="16" borderId="40" applyNumberFormat="0" applyFont="0" applyAlignment="0" applyProtection="0"/>
    <xf numFmtId="0" fontId="4" fillId="16" borderId="40" applyNumberFormat="0" applyFont="0" applyAlignment="0" applyProtection="0"/>
    <xf numFmtId="0" fontId="4" fillId="16" borderId="40" applyNumberFormat="0" applyFont="0" applyAlignment="0" applyProtection="0"/>
    <xf numFmtId="0" fontId="4" fillId="16" borderId="40" applyNumberFormat="0" applyFont="0" applyAlignment="0" applyProtection="0"/>
    <xf numFmtId="0" fontId="4" fillId="16" borderId="40" applyNumberFormat="0" applyFont="0" applyAlignment="0" applyProtection="0"/>
    <xf numFmtId="0" fontId="4" fillId="16" borderId="40" applyNumberFormat="0" applyFont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37" fontId="25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6" borderId="40" applyNumberFormat="0" applyFont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16" borderId="40" applyNumberFormat="0" applyFont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104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6" borderId="40" applyNumberFormat="0" applyFont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16" borderId="40" applyNumberFormat="0" applyFont="0" applyAlignment="0" applyProtection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</cellStyleXfs>
  <cellXfs count="421">
    <xf numFmtId="37" fontId="0" fillId="0" borderId="0" xfId="0"/>
    <xf numFmtId="37" fontId="14" fillId="0" borderId="0" xfId="0" applyFont="1" applyBorder="1"/>
    <xf numFmtId="37" fontId="14" fillId="0" borderId="0" xfId="0" applyFont="1"/>
    <xf numFmtId="37" fontId="13" fillId="0" borderId="0" xfId="0" applyFont="1" applyFill="1" applyBorder="1"/>
    <xf numFmtId="37" fontId="15" fillId="0" borderId="0" xfId="0" applyNumberFormat="1" applyFont="1" applyFill="1" applyBorder="1" applyAlignment="1" applyProtection="1">
      <alignment horizontal="centerContinuous"/>
    </xf>
    <xf numFmtId="37" fontId="16" fillId="0" borderId="0" xfId="0" applyFont="1" applyBorder="1" applyAlignment="1">
      <alignment horizontal="centerContinuous"/>
    </xf>
    <xf numFmtId="37" fontId="16" fillId="0" borderId="0" xfId="0" applyFont="1" applyAlignment="1">
      <alignment horizontal="centerContinuous"/>
    </xf>
    <xf numFmtId="37" fontId="16" fillId="0" borderId="0" xfId="0" applyFont="1"/>
    <xf numFmtId="37" fontId="16" fillId="0" borderId="0" xfId="0" applyFont="1" applyBorder="1"/>
    <xf numFmtId="37" fontId="15" fillId="0" borderId="0" xfId="0" applyNumberFormat="1" applyFont="1" applyFill="1" applyBorder="1" applyAlignment="1" applyProtection="1">
      <alignment horizontal="center"/>
    </xf>
    <xf numFmtId="37" fontId="16" fillId="0" borderId="0" xfId="0" quotePrefix="1" applyNumberFormat="1" applyFont="1" applyBorder="1" applyAlignment="1" applyProtection="1">
      <alignment horizontal="left"/>
    </xf>
    <xf numFmtId="37" fontId="17" fillId="0" borderId="0" xfId="0" applyFont="1"/>
    <xf numFmtId="37" fontId="16" fillId="0" borderId="0" xfId="0" quotePrefix="1" applyNumberFormat="1" applyFont="1" applyBorder="1" applyAlignment="1" applyProtection="1">
      <alignment horizontal="center"/>
    </xf>
    <xf numFmtId="37" fontId="15" fillId="0" borderId="1" xfId="0" applyNumberFormat="1" applyFont="1" applyFill="1" applyBorder="1" applyProtection="1"/>
    <xf numFmtId="37" fontId="15" fillId="0" borderId="2" xfId="0" applyNumberFormat="1" applyFont="1" applyFill="1" applyBorder="1" applyAlignment="1" applyProtection="1"/>
    <xf numFmtId="37" fontId="15" fillId="0" borderId="2" xfId="0" applyNumberFormat="1" applyFont="1" applyFill="1" applyBorder="1" applyAlignment="1" applyProtection="1">
      <alignment horizontal="center"/>
    </xf>
    <xf numFmtId="37" fontId="15" fillId="0" borderId="3" xfId="0" applyNumberFormat="1" applyFont="1" applyFill="1" applyBorder="1" applyProtection="1"/>
    <xf numFmtId="37" fontId="15" fillId="0" borderId="4" xfId="0" applyNumberFormat="1" applyFont="1" applyFill="1" applyBorder="1" applyAlignment="1" applyProtection="1"/>
    <xf numFmtId="37" fontId="15" fillId="0" borderId="4" xfId="0" applyNumberFormat="1" applyFont="1" applyFill="1" applyBorder="1" applyAlignment="1" applyProtection="1">
      <alignment horizontal="center"/>
    </xf>
    <xf numFmtId="37" fontId="15" fillId="0" borderId="3" xfId="0" applyFont="1" applyFill="1" applyBorder="1"/>
    <xf numFmtId="37" fontId="15" fillId="0" borderId="4" xfId="0" applyFont="1" applyFill="1" applyBorder="1"/>
    <xf numFmtId="37" fontId="15" fillId="0" borderId="2" xfId="0" applyNumberFormat="1" applyFont="1" applyFill="1" applyBorder="1" applyProtection="1"/>
    <xf numFmtId="37" fontId="15" fillId="0" borderId="2" xfId="0" quotePrefix="1" applyNumberFormat="1" applyFont="1" applyFill="1" applyBorder="1" applyAlignment="1" applyProtection="1">
      <alignment horizontal="left"/>
    </xf>
    <xf numFmtId="37" fontId="15" fillId="0" borderId="1" xfId="0" applyNumberFormat="1" applyFont="1" applyFill="1" applyBorder="1" applyAlignment="1" applyProtection="1"/>
    <xf numFmtId="37" fontId="15" fillId="0" borderId="2" xfId="0" applyFont="1" applyFill="1" applyBorder="1"/>
    <xf numFmtId="37" fontId="15" fillId="0" borderId="4" xfId="0" applyFont="1" applyFill="1" applyBorder="1" applyAlignment="1">
      <alignment horizontal="center"/>
    </xf>
    <xf numFmtId="39" fontId="15" fillId="0" borderId="2" xfId="0" applyNumberFormat="1" applyFont="1" applyFill="1" applyBorder="1" applyAlignment="1" applyProtection="1"/>
    <xf numFmtId="37" fontId="16" fillId="0" borderId="2" xfId="0" applyFont="1" applyBorder="1"/>
    <xf numFmtId="37" fontId="16" fillId="0" borderId="4" xfId="0" applyFont="1" applyBorder="1"/>
    <xf numFmtId="37" fontId="15" fillId="0" borderId="0" xfId="0" quotePrefix="1" applyNumberFormat="1" applyFont="1" applyFill="1" applyBorder="1" applyAlignment="1" applyProtection="1">
      <alignment horizontal="left"/>
    </xf>
    <xf numFmtId="37" fontId="15" fillId="0" borderId="0" xfId="0" applyFont="1" applyFill="1" applyBorder="1"/>
    <xf numFmtId="37" fontId="15" fillId="0" borderId="0" xfId="0" quotePrefix="1" applyNumberFormat="1" applyFont="1" applyFill="1" applyBorder="1" applyAlignment="1" applyProtection="1">
      <alignment horizontal="center"/>
    </xf>
    <xf numFmtId="37" fontId="15" fillId="0" borderId="5" xfId="0" applyFont="1" applyFill="1" applyBorder="1"/>
    <xf numFmtId="37" fontId="15" fillId="0" borderId="6" xfId="0" quotePrefix="1" applyNumberFormat="1" applyFont="1" applyFill="1" applyBorder="1" applyAlignment="1" applyProtection="1">
      <alignment horizontal="centerContinuous"/>
    </xf>
    <xf numFmtId="37" fontId="15" fillId="0" borderId="7" xfId="0" applyFont="1" applyFill="1" applyBorder="1" applyAlignment="1">
      <alignment horizontal="centerContinuous"/>
    </xf>
    <xf numFmtId="37" fontId="15" fillId="0" borderId="2" xfId="0" applyNumberFormat="1" applyFont="1" applyFill="1" applyBorder="1" applyAlignment="1" applyProtection="1">
      <alignment horizontal="centerContinuous"/>
    </xf>
    <xf numFmtId="37" fontId="15" fillId="0" borderId="2" xfId="0" applyFont="1" applyFill="1" applyBorder="1" applyAlignment="1">
      <alignment horizontal="centerContinuous"/>
    </xf>
    <xf numFmtId="37" fontId="15" fillId="0" borderId="8" xfId="0" applyNumberFormat="1" applyFont="1" applyFill="1" applyBorder="1" applyAlignment="1" applyProtection="1">
      <alignment horizontal="centerContinuous"/>
    </xf>
    <xf numFmtId="37" fontId="15" fillId="0" borderId="8" xfId="0" applyFont="1" applyFill="1" applyBorder="1"/>
    <xf numFmtId="37" fontId="15" fillId="0" borderId="1" xfId="0" applyNumberFormat="1" applyFont="1" applyFill="1" applyBorder="1" applyAlignment="1" applyProtection="1">
      <alignment horizontal="centerContinuous"/>
    </xf>
    <xf numFmtId="37" fontId="15" fillId="0" borderId="9" xfId="0" applyNumberFormat="1" applyFont="1" applyFill="1" applyBorder="1" applyProtection="1"/>
    <xf numFmtId="37" fontId="15" fillId="0" borderId="10" xfId="0" applyNumberFormat="1" applyFont="1" applyFill="1" applyBorder="1" applyAlignment="1" applyProtection="1"/>
    <xf numFmtId="37" fontId="15" fillId="0" borderId="11" xfId="0" applyFont="1" applyFill="1" applyBorder="1"/>
    <xf numFmtId="37" fontId="15" fillId="0" borderId="6" xfId="0" applyNumberFormat="1" applyFont="1" applyFill="1" applyBorder="1" applyAlignment="1" applyProtection="1">
      <alignment horizontal="centerContinuous"/>
    </xf>
    <xf numFmtId="37" fontId="15" fillId="0" borderId="4" xfId="0" applyFont="1" applyFill="1" applyBorder="1" applyAlignment="1">
      <alignment horizontal="centerContinuous"/>
    </xf>
    <xf numFmtId="37" fontId="15" fillId="0" borderId="0" xfId="0" applyNumberFormat="1" applyFont="1" applyFill="1" applyBorder="1" applyAlignment="1" applyProtection="1"/>
    <xf numFmtId="37" fontId="15" fillId="0" borderId="6" xfId="0" applyFont="1" applyFill="1" applyBorder="1" applyAlignment="1">
      <alignment horizontal="center"/>
    </xf>
    <xf numFmtId="37" fontId="15" fillId="0" borderId="7" xfId="0" applyFont="1" applyFill="1" applyBorder="1" applyAlignment="1">
      <alignment horizontal="center"/>
    </xf>
    <xf numFmtId="37" fontId="15" fillId="0" borderId="2" xfId="0" quotePrefix="1" applyNumberFormat="1" applyFont="1" applyFill="1" applyBorder="1" applyAlignment="1" applyProtection="1"/>
    <xf numFmtId="37" fontId="15" fillId="0" borderId="8" xfId="0" applyNumberFormat="1" applyFont="1" applyFill="1" applyBorder="1" applyAlignment="1" applyProtection="1"/>
    <xf numFmtId="37" fontId="15" fillId="0" borderId="12" xfId="0" applyFont="1" applyFill="1" applyBorder="1"/>
    <xf numFmtId="37" fontId="15" fillId="0" borderId="10" xfId="0" applyFont="1" applyFill="1" applyBorder="1"/>
    <xf numFmtId="37" fontId="15" fillId="0" borderId="7" xfId="0" applyFont="1" applyFill="1" applyBorder="1"/>
    <xf numFmtId="37" fontId="15" fillId="0" borderId="9" xfId="0" applyFont="1" applyFill="1" applyBorder="1"/>
    <xf numFmtId="37" fontId="15" fillId="0" borderId="10" xfId="0" applyFont="1" applyFill="1" applyBorder="1" applyAlignment="1">
      <alignment horizontal="center"/>
    </xf>
    <xf numFmtId="164" fontId="15" fillId="0" borderId="2" xfId="0" applyNumberFormat="1" applyFont="1" applyFill="1" applyBorder="1" applyProtection="1"/>
    <xf numFmtId="37" fontId="15" fillId="0" borderId="2" xfId="0" applyFont="1" applyFill="1" applyBorder="1" applyAlignment="1">
      <alignment horizontal="center"/>
    </xf>
    <xf numFmtId="37" fontId="15" fillId="0" borderId="13" xfId="0" applyNumberFormat="1" applyFont="1" applyFill="1" applyBorder="1" applyProtection="1"/>
    <xf numFmtId="37" fontId="15" fillId="0" borderId="0" xfId="0" applyFont="1" applyFill="1" applyBorder="1" applyAlignment="1">
      <alignment horizontal="center"/>
    </xf>
    <xf numFmtId="164" fontId="15" fillId="0" borderId="2" xfId="0" applyNumberFormat="1" applyFont="1" applyFill="1" applyBorder="1" applyAlignment="1" applyProtection="1">
      <alignment horizontal="right"/>
    </xf>
    <xf numFmtId="37" fontId="15" fillId="0" borderId="2" xfId="0" applyFont="1" applyFill="1" applyBorder="1" applyAlignment="1"/>
    <xf numFmtId="164" fontId="15" fillId="0" borderId="1" xfId="0" applyNumberFormat="1" applyFont="1" applyFill="1" applyBorder="1" applyProtection="1"/>
    <xf numFmtId="164" fontId="15" fillId="0" borderId="1" xfId="0" applyNumberFormat="1" applyFont="1" applyFill="1" applyBorder="1" applyAlignment="1" applyProtection="1"/>
    <xf numFmtId="164" fontId="15" fillId="0" borderId="2" xfId="0" quotePrefix="1" applyNumberFormat="1" applyFont="1" applyFill="1" applyBorder="1" applyAlignment="1" applyProtection="1">
      <alignment horizontal="left"/>
    </xf>
    <xf numFmtId="37" fontId="15" fillId="0" borderId="9" xfId="0" applyNumberFormat="1" applyFont="1" applyFill="1" applyBorder="1" applyAlignment="1" applyProtection="1"/>
    <xf numFmtId="37" fontId="15" fillId="0" borderId="12" xfId="0" quotePrefix="1" applyNumberFormat="1" applyFont="1" applyFill="1" applyBorder="1" applyAlignment="1" applyProtection="1">
      <alignment horizontal="left"/>
    </xf>
    <xf numFmtId="37" fontId="15" fillId="0" borderId="14" xfId="0" applyFont="1" applyFill="1" applyBorder="1" applyAlignment="1">
      <alignment horizontal="center"/>
    </xf>
    <xf numFmtId="37" fontId="15" fillId="0" borderId="8" xfId="0" applyFont="1" applyFill="1" applyBorder="1" applyAlignment="1">
      <alignment horizontal="center"/>
    </xf>
    <xf numFmtId="37" fontId="15" fillId="0" borderId="14" xfId="0" applyFont="1" applyFill="1" applyBorder="1"/>
    <xf numFmtId="37" fontId="16" fillId="0" borderId="14" xfId="0" applyFont="1" applyBorder="1"/>
    <xf numFmtId="37" fontId="16" fillId="0" borderId="8" xfId="0" applyFont="1" applyBorder="1"/>
    <xf numFmtId="37" fontId="15" fillId="0" borderId="8" xfId="0" applyFont="1" applyFill="1" applyBorder="1" applyAlignment="1">
      <alignment horizontal="centerContinuous"/>
    </xf>
    <xf numFmtId="37" fontId="15" fillId="0" borderId="7" xfId="0" applyNumberFormat="1" applyFont="1" applyFill="1" applyBorder="1" applyAlignment="1" applyProtection="1">
      <alignment horizontal="center"/>
    </xf>
    <xf numFmtId="37" fontId="15" fillId="0" borderId="13" xfId="0" applyFont="1" applyFill="1" applyBorder="1"/>
    <xf numFmtId="37" fontId="16" fillId="0" borderId="13" xfId="0" applyFont="1" applyBorder="1"/>
    <xf numFmtId="37" fontId="15" fillId="0" borderId="3" xfId="0" applyFont="1" applyFill="1" applyBorder="1" applyAlignment="1">
      <alignment horizontal="centerContinuous"/>
    </xf>
    <xf numFmtId="37" fontId="16" fillId="0" borderId="0" xfId="0" applyFont="1" applyBorder="1" applyAlignment="1">
      <alignment horizontal="center"/>
    </xf>
    <xf numFmtId="37" fontId="16" fillId="0" borderId="0" xfId="0" applyFont="1" applyBorder="1" applyAlignment="1"/>
    <xf numFmtId="37" fontId="16" fillId="0" borderId="0" xfId="0" applyFont="1" applyAlignment="1"/>
    <xf numFmtId="37" fontId="16" fillId="0" borderId="0" xfId="0" quotePrefix="1" applyNumberFormat="1" applyFont="1" applyBorder="1" applyAlignment="1" applyProtection="1"/>
    <xf numFmtId="37" fontId="17" fillId="0" borderId="0" xfId="0" applyFont="1" applyAlignment="1"/>
    <xf numFmtId="37" fontId="15" fillId="0" borderId="3" xfId="0" applyNumberFormat="1" applyFont="1" applyFill="1" applyBorder="1" applyAlignment="1" applyProtection="1"/>
    <xf numFmtId="37" fontId="15" fillId="0" borderId="3" xfId="0" applyFont="1" applyFill="1" applyBorder="1" applyAlignment="1"/>
    <xf numFmtId="37" fontId="15" fillId="0" borderId="4" xfId="0" applyFont="1" applyFill="1" applyBorder="1" applyAlignment="1"/>
    <xf numFmtId="4" fontId="15" fillId="0" borderId="2" xfId="0" applyNumberFormat="1" applyFont="1" applyFill="1" applyBorder="1" applyAlignment="1" applyProtection="1"/>
    <xf numFmtId="37" fontId="16" fillId="0" borderId="10" xfId="0" applyFont="1" applyBorder="1" applyAlignment="1"/>
    <xf numFmtId="3" fontId="15" fillId="0" borderId="2" xfId="0" applyNumberFormat="1" applyFont="1" applyFill="1" applyBorder="1" applyAlignment="1" applyProtection="1"/>
    <xf numFmtId="2" fontId="15" fillId="0" borderId="2" xfId="0" applyNumberFormat="1" applyFont="1" applyFill="1" applyBorder="1" applyAlignment="1" applyProtection="1"/>
    <xf numFmtId="37" fontId="15" fillId="0" borderId="4" xfId="0" quotePrefix="1" applyNumberFormat="1" applyFont="1" applyFill="1" applyBorder="1" applyAlignment="1" applyProtection="1">
      <alignment horizontal="center"/>
    </xf>
    <xf numFmtId="37" fontId="15" fillId="0" borderId="2" xfId="0" quotePrefix="1" applyNumberFormat="1" applyFont="1" applyFill="1" applyBorder="1" applyAlignment="1" applyProtection="1">
      <alignment horizontal="center"/>
    </xf>
    <xf numFmtId="37" fontId="16" fillId="0" borderId="2" xfId="0" applyFont="1" applyBorder="1" applyAlignment="1">
      <alignment horizontal="center"/>
    </xf>
    <xf numFmtId="37" fontId="16" fillId="0" borderId="4" xfId="0" applyFont="1" applyBorder="1" applyAlignment="1">
      <alignment horizontal="center"/>
    </xf>
    <xf numFmtId="37" fontId="15" fillId="2" borderId="2" xfId="0" applyNumberFormat="1" applyFont="1" applyFill="1" applyBorder="1" applyProtection="1"/>
    <xf numFmtId="37" fontId="15" fillId="2" borderId="2" xfId="0" applyNumberFormat="1" applyFont="1" applyFill="1" applyBorder="1" applyAlignment="1" applyProtection="1"/>
    <xf numFmtId="37" fontId="15" fillId="0" borderId="0" xfId="0" applyNumberFormat="1" applyFont="1" applyFill="1" applyBorder="1" applyAlignment="1" applyProtection="1">
      <alignment horizontal="left"/>
    </xf>
    <xf numFmtId="37" fontId="16" fillId="0" borderId="7" xfId="0" applyFont="1" applyBorder="1" applyAlignment="1">
      <alignment horizontal="centerContinuous"/>
    </xf>
    <xf numFmtId="37" fontId="15" fillId="0" borderId="9" xfId="0" quotePrefix="1" applyNumberFormat="1" applyFont="1" applyFill="1" applyBorder="1" applyAlignment="1" applyProtection="1"/>
    <xf numFmtId="37" fontId="15" fillId="0" borderId="8" xfId="0" quotePrefix="1" applyNumberFormat="1" applyFont="1" applyFill="1" applyBorder="1" applyAlignment="1" applyProtection="1">
      <alignment horizontal="left"/>
    </xf>
    <xf numFmtId="37" fontId="15" fillId="0" borderId="4" xfId="0" applyNumberFormat="1" applyFont="1" applyFill="1" applyBorder="1" applyProtection="1"/>
    <xf numFmtId="37" fontId="16" fillId="0" borderId="1" xfId="0" applyFont="1" applyBorder="1"/>
    <xf numFmtId="37" fontId="16" fillId="0" borderId="8" xfId="0" applyFont="1" applyBorder="1" applyAlignment="1">
      <alignment horizontal="centerContinuous"/>
    </xf>
    <xf numFmtId="37" fontId="16" fillId="0" borderId="2" xfId="0" applyFont="1" applyBorder="1" applyAlignment="1">
      <alignment horizontal="centerContinuous"/>
    </xf>
    <xf numFmtId="37" fontId="15" fillId="0" borderId="11" xfId="0" applyNumberFormat="1" applyFont="1" applyFill="1" applyBorder="1" applyProtection="1"/>
    <xf numFmtId="37" fontId="15" fillId="0" borderId="6" xfId="0" applyFont="1" applyFill="1" applyBorder="1" applyAlignment="1">
      <alignment horizontal="centerContinuous"/>
    </xf>
    <xf numFmtId="37" fontId="15" fillId="0" borderId="1" xfId="0" applyFont="1" applyFill="1" applyBorder="1" applyAlignment="1">
      <alignment horizontal="centerContinuous"/>
    </xf>
    <xf numFmtId="37" fontId="16" fillId="0" borderId="0" xfId="0" applyNumberFormat="1" applyFont="1" applyBorder="1" applyProtection="1"/>
    <xf numFmtId="37" fontId="16" fillId="0" borderId="0" xfId="0" applyNumberFormat="1" applyFont="1" applyBorder="1" applyAlignment="1" applyProtection="1">
      <alignment horizontal="center"/>
    </xf>
    <xf numFmtId="37" fontId="15" fillId="0" borderId="5" xfId="0" applyNumberFormat="1" applyFont="1" applyFill="1" applyBorder="1" applyAlignment="1" applyProtection="1">
      <alignment horizontal="centerContinuous"/>
    </xf>
    <xf numFmtId="37" fontId="16" fillId="0" borderId="6" xfId="0" applyFont="1" applyBorder="1" applyAlignment="1">
      <alignment horizontal="centerContinuous"/>
    </xf>
    <xf numFmtId="37" fontId="15" fillId="0" borderId="2" xfId="0" quotePrefix="1" applyNumberFormat="1" applyFont="1" applyFill="1" applyBorder="1" applyAlignment="1" applyProtection="1">
      <alignment horizontal="centerContinuous"/>
    </xf>
    <xf numFmtId="37" fontId="15" fillId="0" borderId="3" xfId="0" applyNumberFormat="1" applyFont="1" applyFill="1" applyBorder="1" applyAlignment="1" applyProtection="1">
      <alignment horizontal="center"/>
    </xf>
    <xf numFmtId="37" fontId="15" fillId="0" borderId="1" xfId="0" applyNumberFormat="1" applyFont="1" applyFill="1" applyBorder="1" applyAlignment="1" applyProtection="1">
      <alignment horizontal="center"/>
    </xf>
    <xf numFmtId="37" fontId="15" fillId="0" borderId="13" xfId="0" applyNumberFormat="1" applyFont="1" applyFill="1" applyBorder="1" applyAlignment="1" applyProtection="1">
      <alignment horizontal="center"/>
    </xf>
    <xf numFmtId="37" fontId="15" fillId="0" borderId="0" xfId="0" quotePrefix="1" applyNumberFormat="1" applyFont="1" applyFill="1" applyBorder="1" applyAlignment="1" applyProtection="1"/>
    <xf numFmtId="37" fontId="15" fillId="0" borderId="4" xfId="0" quotePrefix="1" applyNumberFormat="1" applyFont="1" applyFill="1" applyBorder="1" applyAlignment="1" applyProtection="1"/>
    <xf numFmtId="37" fontId="15" fillId="0" borderId="13" xfId="0" applyNumberFormat="1" applyFont="1" applyFill="1" applyBorder="1" applyAlignment="1" applyProtection="1">
      <alignment horizontal="centerContinuous"/>
    </xf>
    <xf numFmtId="37" fontId="16" fillId="0" borderId="4" xfId="0" applyFont="1" applyBorder="1" applyAlignment="1">
      <alignment horizontal="centerContinuous"/>
    </xf>
    <xf numFmtId="37" fontId="15" fillId="0" borderId="7" xfId="0" applyNumberFormat="1" applyFont="1" applyFill="1" applyBorder="1" applyAlignment="1" applyProtection="1">
      <alignment horizontal="centerContinuous"/>
    </xf>
    <xf numFmtId="37" fontId="15" fillId="0" borderId="14" xfId="0" applyNumberFormat="1" applyFont="1" applyFill="1" applyBorder="1" applyAlignment="1" applyProtection="1">
      <alignment horizontal="left"/>
    </xf>
    <xf numFmtId="37" fontId="16" fillId="0" borderId="12" xfId="0" applyFont="1" applyBorder="1"/>
    <xf numFmtId="37" fontId="16" fillId="0" borderId="6" xfId="0" applyFont="1" applyBorder="1"/>
    <xf numFmtId="37" fontId="16" fillId="0" borderId="7" xfId="0" applyFont="1" applyBorder="1"/>
    <xf numFmtId="37" fontId="16" fillId="0" borderId="15" xfId="0" applyFont="1" applyBorder="1"/>
    <xf numFmtId="37" fontId="16" fillId="0" borderId="12" xfId="0" quotePrefix="1" applyNumberFormat="1" applyFont="1" applyBorder="1" applyAlignment="1" applyProtection="1"/>
    <xf numFmtId="37" fontId="16" fillId="0" borderId="12" xfId="0" quotePrefix="1" applyNumberFormat="1" applyFont="1" applyBorder="1" applyAlignment="1" applyProtection="1">
      <alignment horizontal="left"/>
    </xf>
    <xf numFmtId="37" fontId="16" fillId="0" borderId="12" xfId="0" applyNumberFormat="1" applyFont="1" applyBorder="1" applyAlignment="1" applyProtection="1"/>
    <xf numFmtId="37" fontId="16" fillId="0" borderId="10" xfId="0" applyFont="1" applyBorder="1"/>
    <xf numFmtId="37" fontId="15" fillId="0" borderId="8" xfId="0" applyNumberFormat="1" applyFont="1" applyFill="1" applyBorder="1" applyProtection="1"/>
    <xf numFmtId="37" fontId="15" fillId="0" borderId="14" xfId="0" applyFont="1" applyFill="1" applyBorder="1" applyAlignment="1">
      <alignment horizontal="centerContinuous"/>
    </xf>
    <xf numFmtId="37" fontId="15" fillId="0" borderId="12" xfId="0" applyNumberFormat="1" applyFont="1" applyFill="1" applyBorder="1" applyAlignment="1" applyProtection="1"/>
    <xf numFmtId="37" fontId="15" fillId="0" borderId="1" xfId="0" applyFont="1" applyFill="1" applyBorder="1"/>
    <xf numFmtId="37" fontId="16" fillId="0" borderId="3" xfId="0" applyNumberFormat="1" applyFont="1" applyBorder="1" applyProtection="1"/>
    <xf numFmtId="37" fontId="16" fillId="2" borderId="0" xfId="0" applyFont="1" applyFill="1" applyBorder="1"/>
    <xf numFmtId="37" fontId="16" fillId="2" borderId="4" xfId="0" applyFont="1" applyFill="1" applyBorder="1"/>
    <xf numFmtId="37" fontId="16" fillId="0" borderId="9" xfId="0" applyFont="1" applyBorder="1"/>
    <xf numFmtId="37" fontId="15" fillId="0" borderId="12" xfId="0" applyNumberFormat="1" applyFont="1" applyFill="1" applyBorder="1" applyAlignment="1" applyProtection="1">
      <alignment horizontal="left"/>
    </xf>
    <xf numFmtId="37" fontId="15" fillId="0" borderId="10" xfId="0" applyNumberFormat="1" applyFont="1" applyFill="1" applyBorder="1" applyAlignment="1" applyProtection="1">
      <alignment horizontal="right"/>
    </xf>
    <xf numFmtId="37" fontId="16" fillId="0" borderId="10" xfId="0" applyNumberFormat="1" applyFont="1" applyBorder="1" applyProtection="1"/>
    <xf numFmtId="37" fontId="16" fillId="2" borderId="12" xfId="0" applyFont="1" applyFill="1" applyBorder="1"/>
    <xf numFmtId="37" fontId="16" fillId="2" borderId="10" xfId="0" applyFont="1" applyFill="1" applyBorder="1"/>
    <xf numFmtId="37" fontId="15" fillId="0" borderId="1" xfId="0" applyFont="1" applyFill="1" applyBorder="1" applyAlignment="1"/>
    <xf numFmtId="37" fontId="16" fillId="0" borderId="16" xfId="0" applyFont="1" applyBorder="1"/>
    <xf numFmtId="37" fontId="16" fillId="0" borderId="17" xfId="0" applyFont="1" applyBorder="1"/>
    <xf numFmtId="37" fontId="16" fillId="0" borderId="18" xfId="0" applyFont="1" applyBorder="1"/>
    <xf numFmtId="37" fontId="16" fillId="0" borderId="19" xfId="0" applyFont="1" applyBorder="1"/>
    <xf numFmtId="37" fontId="16" fillId="0" borderId="20" xfId="0" applyFont="1" applyBorder="1"/>
    <xf numFmtId="37" fontId="16" fillId="0" borderId="21" xfId="0" applyFont="1" applyBorder="1"/>
    <xf numFmtId="37" fontId="16" fillId="0" borderId="22" xfId="0" applyFont="1" applyBorder="1"/>
    <xf numFmtId="37" fontId="16" fillId="0" borderId="23" xfId="0" applyFont="1" applyBorder="1"/>
    <xf numFmtId="37" fontId="16" fillId="0" borderId="17" xfId="0" applyFont="1" applyBorder="1" applyAlignment="1">
      <alignment horizontal="center"/>
    </xf>
    <xf numFmtId="37" fontId="16" fillId="0" borderId="17" xfId="0" applyFont="1" applyBorder="1" applyAlignment="1">
      <alignment horizontal="right"/>
    </xf>
    <xf numFmtId="37" fontId="16" fillId="0" borderId="0" xfId="0" applyFont="1" applyBorder="1" applyAlignment="1">
      <alignment horizontal="right"/>
    </xf>
    <xf numFmtId="37" fontId="16" fillId="0" borderId="24" xfId="0" applyFont="1" applyBorder="1"/>
    <xf numFmtId="37" fontId="16" fillId="0" borderId="8" xfId="0" applyFont="1" applyBorder="1" applyAlignment="1">
      <alignment horizontal="center"/>
    </xf>
    <xf numFmtId="37" fontId="16" fillId="0" borderId="25" xfId="0" applyFont="1" applyBorder="1"/>
    <xf numFmtId="37" fontId="16" fillId="0" borderId="26" xfId="0" applyFont="1" applyBorder="1"/>
    <xf numFmtId="37" fontId="16" fillId="0" borderId="27" xfId="0" applyFont="1" applyBorder="1"/>
    <xf numFmtId="37" fontId="16" fillId="0" borderId="28" xfId="0" quotePrefix="1" applyFont="1" applyBorder="1" applyAlignment="1">
      <alignment horizontal="left"/>
    </xf>
    <xf numFmtId="37" fontId="16" fillId="0" borderId="29" xfId="0" applyFont="1" applyBorder="1"/>
    <xf numFmtId="37" fontId="16" fillId="0" borderId="28" xfId="0" applyFont="1" applyBorder="1" applyAlignment="1">
      <alignment horizontal="center"/>
    </xf>
    <xf numFmtId="37" fontId="16" fillId="0" borderId="30" xfId="0" applyFont="1" applyBorder="1"/>
    <xf numFmtId="37" fontId="16" fillId="0" borderId="31" xfId="0" applyFont="1" applyBorder="1"/>
    <xf numFmtId="37" fontId="16" fillId="0" borderId="31" xfId="0" applyFont="1" applyBorder="1" applyAlignment="1">
      <alignment horizontal="center"/>
    </xf>
    <xf numFmtId="37" fontId="16" fillId="0" borderId="32" xfId="0" applyFont="1" applyBorder="1"/>
    <xf numFmtId="37" fontId="19" fillId="0" borderId="0" xfId="0" applyFont="1"/>
    <xf numFmtId="37" fontId="17" fillId="0" borderId="0" xfId="0" quotePrefix="1" applyFont="1" applyAlignment="1">
      <alignment horizontal="right"/>
    </xf>
    <xf numFmtId="37" fontId="18" fillId="0" borderId="0" xfId="0" quotePrefix="1" applyFont="1" applyAlignment="1">
      <alignment horizontal="right"/>
    </xf>
    <xf numFmtId="37" fontId="16" fillId="0" borderId="0" xfId="0" quotePrefix="1" applyFont="1" applyBorder="1" applyAlignment="1">
      <alignment horizontal="right"/>
    </xf>
    <xf numFmtId="37" fontId="15" fillId="0" borderId="0" xfId="0" quotePrefix="1" applyNumberFormat="1" applyFont="1" applyFill="1" applyBorder="1" applyAlignment="1" applyProtection="1">
      <alignment horizontal="right"/>
    </xf>
    <xf numFmtId="37" fontId="16" fillId="0" borderId="0" xfId="0" quotePrefix="1" applyFont="1" applyAlignment="1">
      <alignment horizontal="right"/>
    </xf>
    <xf numFmtId="37" fontId="14" fillId="3" borderId="0" xfId="0" applyFont="1" applyFill="1" applyAlignment="1" applyProtection="1">
      <alignment horizontal="center"/>
    </xf>
    <xf numFmtId="37" fontId="14" fillId="3" borderId="0" xfId="0" quotePrefix="1" applyFont="1" applyFill="1" applyAlignment="1" applyProtection="1">
      <alignment horizontal="left"/>
    </xf>
    <xf numFmtId="37" fontId="14" fillId="3" borderId="0" xfId="0" applyFont="1" applyFill="1" applyAlignment="1" applyProtection="1">
      <alignment horizontal="right"/>
    </xf>
    <xf numFmtId="37" fontId="14" fillId="3" borderId="0" xfId="0" applyFont="1" applyFill="1" applyAlignment="1" applyProtection="1"/>
    <xf numFmtId="37" fontId="20" fillId="4" borderId="1" xfId="0" applyFont="1" applyFill="1" applyBorder="1" applyProtection="1">
      <protection locked="0"/>
    </xf>
    <xf numFmtId="37" fontId="14" fillId="3" borderId="0" xfId="0" applyFont="1" applyFill="1" applyProtection="1"/>
    <xf numFmtId="37" fontId="20" fillId="3" borderId="0" xfId="0" applyFont="1" applyFill="1" applyAlignment="1" applyProtection="1">
      <alignment horizontal="center"/>
    </xf>
    <xf numFmtId="37" fontId="14" fillId="3" borderId="0" xfId="0" quotePrefix="1" applyFont="1" applyFill="1" applyAlignment="1" applyProtection="1"/>
    <xf numFmtId="37" fontId="20" fillId="3" borderId="0" xfId="0" applyFont="1" applyFill="1" applyProtection="1"/>
    <xf numFmtId="37" fontId="14" fillId="0" borderId="0" xfId="0" applyFont="1" applyAlignment="1" applyProtection="1"/>
    <xf numFmtId="37" fontId="14" fillId="0" borderId="0" xfId="0" applyFont="1" applyProtection="1"/>
    <xf numFmtId="37" fontId="14" fillId="0" borderId="0" xfId="0" applyFont="1" applyAlignment="1" applyProtection="1">
      <alignment horizontal="center"/>
    </xf>
    <xf numFmtId="38" fontId="14" fillId="3" borderId="0" xfId="0" applyNumberFormat="1" applyFont="1" applyFill="1" applyAlignment="1" applyProtection="1">
      <alignment horizontal="center"/>
    </xf>
    <xf numFmtId="37" fontId="20" fillId="0" borderId="1" xfId="0" applyNumberFormat="1" applyFont="1" applyBorder="1" applyAlignment="1" applyProtection="1">
      <protection locked="0"/>
    </xf>
    <xf numFmtId="37" fontId="20" fillId="0" borderId="1" xfId="0" quotePrefix="1" applyNumberFormat="1" applyFont="1" applyBorder="1" applyProtection="1">
      <protection locked="0"/>
    </xf>
    <xf numFmtId="37" fontId="20" fillId="0" borderId="1" xfId="1" quotePrefix="1" applyNumberFormat="1" applyFont="1" applyBorder="1" applyProtection="1">
      <protection locked="0"/>
    </xf>
    <xf numFmtId="37" fontId="20" fillId="4" borderId="1" xfId="0" quotePrefix="1" applyNumberFormat="1" applyFont="1" applyFill="1" applyBorder="1" applyProtection="1">
      <protection locked="0"/>
    </xf>
    <xf numFmtId="38" fontId="20" fillId="4" borderId="1" xfId="0" applyNumberFormat="1" applyFont="1" applyFill="1" applyBorder="1" applyProtection="1">
      <protection locked="0"/>
    </xf>
    <xf numFmtId="38" fontId="14" fillId="3" borderId="0" xfId="0" applyNumberFormat="1" applyFont="1" applyFill="1" applyAlignment="1" applyProtection="1">
      <alignment horizontal="right"/>
    </xf>
    <xf numFmtId="38" fontId="14" fillId="3" borderId="0" xfId="0" applyNumberFormat="1" applyFont="1" applyFill="1" applyProtection="1"/>
    <xf numFmtId="38" fontId="20" fillId="3" borderId="0" xfId="0" applyNumberFormat="1" applyFont="1" applyFill="1" applyAlignment="1" applyProtection="1">
      <alignment horizontal="center"/>
    </xf>
    <xf numFmtId="38" fontId="20" fillId="3" borderId="0" xfId="0" applyNumberFormat="1" applyFont="1" applyFill="1" applyProtection="1"/>
    <xf numFmtId="37" fontId="14" fillId="0" borderId="0" xfId="0" applyFont="1" applyFill="1" applyAlignment="1" applyProtection="1"/>
    <xf numFmtId="37" fontId="14" fillId="3" borderId="0" xfId="0" applyNumberFormat="1" applyFont="1" applyFill="1" applyProtection="1"/>
    <xf numFmtId="164" fontId="14" fillId="0" borderId="0" xfId="0" applyNumberFormat="1" applyFont="1" applyProtection="1"/>
    <xf numFmtId="39" fontId="14" fillId="0" borderId="0" xfId="0" applyNumberFormat="1" applyFont="1" applyProtection="1"/>
    <xf numFmtId="37" fontId="14" fillId="0" borderId="0" xfId="0" applyFont="1" applyAlignment="1" applyProtection="1">
      <alignment horizontal="left"/>
    </xf>
    <xf numFmtId="37" fontId="14" fillId="0" borderId="0" xfId="0" quotePrefix="1" applyFont="1" applyAlignment="1" applyProtection="1">
      <alignment horizontal="left"/>
    </xf>
    <xf numFmtId="164" fontId="14" fillId="0" borderId="0" xfId="0" applyNumberFormat="1" applyFont="1" applyAlignment="1" applyProtection="1">
      <alignment horizontal="left"/>
    </xf>
    <xf numFmtId="37" fontId="14" fillId="2" borderId="0" xfId="0" applyFont="1" applyFill="1" applyAlignment="1" applyProtection="1">
      <alignment horizontal="centerContinuous"/>
    </xf>
    <xf numFmtId="37" fontId="14" fillId="2" borderId="0" xfId="0" applyFont="1" applyFill="1" applyAlignment="1" applyProtection="1">
      <alignment horizontal="left"/>
    </xf>
    <xf numFmtId="37" fontId="14" fillId="2" borderId="0" xfId="0" applyFont="1" applyFill="1" applyAlignment="1" applyProtection="1">
      <alignment horizontal="center"/>
    </xf>
    <xf numFmtId="38" fontId="20" fillId="4" borderId="2" xfId="0" applyNumberFormat="1" applyFont="1" applyFill="1" applyBorder="1" applyProtection="1">
      <protection locked="0"/>
    </xf>
    <xf numFmtId="38" fontId="20" fillId="4" borderId="8" xfId="0" applyNumberFormat="1" applyFont="1" applyFill="1" applyBorder="1" applyProtection="1">
      <protection locked="0"/>
    </xf>
    <xf numFmtId="37" fontId="14" fillId="0" borderId="0" xfId="0" quotePrefix="1" applyFont="1" applyAlignment="1" applyProtection="1">
      <alignment horizontal="fill"/>
    </xf>
    <xf numFmtId="37" fontId="14" fillId="3" borderId="0" xfId="0" quotePrefix="1" applyFont="1" applyFill="1" applyAlignment="1" applyProtection="1">
      <alignment horizontal="centerContinuous"/>
    </xf>
    <xf numFmtId="37" fontId="14" fillId="3" borderId="0" xfId="0" applyFont="1" applyFill="1" applyAlignment="1" applyProtection="1">
      <alignment horizontal="centerContinuous"/>
    </xf>
    <xf numFmtId="37" fontId="14" fillId="2" borderId="0" xfId="0" applyFont="1" applyFill="1" applyAlignment="1" applyProtection="1"/>
    <xf numFmtId="37" fontId="15" fillId="5" borderId="2" xfId="0" applyFont="1" applyFill="1" applyBorder="1" applyAlignment="1"/>
    <xf numFmtId="37" fontId="15" fillId="6" borderId="2" xfId="0" applyFont="1" applyFill="1" applyBorder="1" applyAlignment="1"/>
    <xf numFmtId="37" fontId="15" fillId="6" borderId="2" xfId="0" applyFont="1" applyFill="1" applyBorder="1" applyAlignment="1">
      <alignment horizontal="center"/>
    </xf>
    <xf numFmtId="37" fontId="15" fillId="6" borderId="2" xfId="0" quotePrefix="1" applyNumberFormat="1" applyFont="1" applyFill="1" applyBorder="1" applyAlignment="1" applyProtection="1">
      <alignment horizontal="center"/>
    </xf>
    <xf numFmtId="37" fontId="15" fillId="6" borderId="2" xfId="0" applyNumberFormat="1" applyFont="1" applyFill="1" applyBorder="1" applyAlignment="1" applyProtection="1"/>
    <xf numFmtId="37" fontId="15" fillId="6" borderId="2" xfId="0" quotePrefix="1" applyFont="1" applyFill="1" applyBorder="1" applyAlignment="1"/>
    <xf numFmtId="39" fontId="15" fillId="6" borderId="2" xfId="0" quotePrefix="1" applyNumberFormat="1" applyFont="1" applyFill="1" applyBorder="1" applyAlignment="1" applyProtection="1">
      <alignment horizontal="center"/>
    </xf>
    <xf numFmtId="39" fontId="15" fillId="6" borderId="2" xfId="0" applyNumberFormat="1" applyFont="1" applyFill="1" applyBorder="1" applyAlignment="1" applyProtection="1"/>
    <xf numFmtId="3" fontId="15" fillId="6" borderId="2" xfId="0" applyNumberFormat="1" applyFont="1" applyFill="1" applyBorder="1" applyAlignment="1" applyProtection="1"/>
    <xf numFmtId="3" fontId="15" fillId="6" borderId="2" xfId="0" applyNumberFormat="1" applyFont="1" applyFill="1" applyBorder="1" applyAlignment="1"/>
    <xf numFmtId="37" fontId="15" fillId="6" borderId="2" xfId="0" applyNumberFormat="1" applyFont="1" applyFill="1" applyBorder="1" applyAlignment="1"/>
    <xf numFmtId="38" fontId="20" fillId="4" borderId="1" xfId="0" applyNumberFormat="1" applyFont="1" applyFill="1" applyBorder="1" applyAlignment="1" applyProtection="1">
      <alignment horizontal="center"/>
      <protection locked="0"/>
    </xf>
    <xf numFmtId="37" fontId="20" fillId="0" borderId="1" xfId="1" applyNumberFormat="1" applyFont="1" applyBorder="1" applyProtection="1">
      <protection locked="0"/>
    </xf>
    <xf numFmtId="37" fontId="22" fillId="0" borderId="0" xfId="2" applyNumberFormat="1" applyFont="1" applyAlignment="1" applyProtection="1">
      <alignment horizontal="left"/>
    </xf>
    <xf numFmtId="3" fontId="16" fillId="0" borderId="2" xfId="0" applyNumberFormat="1" applyFont="1" applyFill="1" applyBorder="1" applyAlignment="1" applyProtection="1"/>
    <xf numFmtId="38" fontId="20" fillId="4" borderId="14" xfId="0" applyNumberFormat="1" applyFont="1" applyFill="1" applyBorder="1" applyProtection="1">
      <protection locked="0"/>
    </xf>
    <xf numFmtId="38" fontId="20" fillId="4" borderId="14" xfId="0" quotePrefix="1" applyNumberFormat="1" applyFont="1" applyFill="1" applyBorder="1" applyAlignment="1" applyProtection="1">
      <alignment horizontal="left"/>
      <protection locked="0"/>
    </xf>
    <xf numFmtId="38" fontId="20" fillId="3" borderId="8" xfId="0" applyNumberFormat="1" applyFont="1" applyFill="1" applyBorder="1" applyAlignment="1" applyProtection="1">
      <alignment horizontal="center"/>
      <protection locked="0"/>
    </xf>
    <xf numFmtId="37" fontId="14" fillId="0" borderId="0" xfId="0" applyFont="1" applyFill="1" applyAlignment="1" applyProtection="1">
      <alignment horizontal="left"/>
    </xf>
    <xf numFmtId="37" fontId="14" fillId="0" borderId="0" xfId="0" applyFont="1" applyFill="1" applyProtection="1"/>
    <xf numFmtId="38" fontId="14" fillId="0" borderId="0" xfId="0" applyNumberFormat="1" applyFont="1" applyFill="1" applyProtection="1"/>
    <xf numFmtId="38" fontId="14" fillId="0" borderId="0" xfId="0" applyNumberFormat="1" applyFont="1" applyProtection="1"/>
    <xf numFmtId="37" fontId="22" fillId="0" borderId="0" xfId="2" applyNumberFormat="1" applyAlignment="1" applyProtection="1"/>
    <xf numFmtId="37" fontId="14" fillId="7" borderId="0" xfId="0" applyFont="1" applyFill="1" applyProtection="1"/>
    <xf numFmtId="38" fontId="14" fillId="7" borderId="0" xfId="0" applyNumberFormat="1" applyFont="1" applyFill="1" applyProtection="1"/>
    <xf numFmtId="37" fontId="14" fillId="8" borderId="0" xfId="0" applyFont="1" applyFill="1" applyProtection="1"/>
    <xf numFmtId="37" fontId="14" fillId="8" borderId="0" xfId="0" quotePrefix="1" applyFont="1" applyFill="1" applyAlignment="1" applyProtection="1">
      <alignment horizontal="left"/>
    </xf>
    <xf numFmtId="38" fontId="14" fillId="8" borderId="0" xfId="0" applyNumberFormat="1" applyFont="1" applyFill="1" applyProtection="1"/>
    <xf numFmtId="37" fontId="14" fillId="0" borderId="0" xfId="0" quotePrefix="1" applyFont="1" applyAlignment="1" applyProtection="1"/>
    <xf numFmtId="0" fontId="14" fillId="0" borderId="0" xfId="0" applyNumberFormat="1" applyFont="1" applyAlignment="1" applyProtection="1">
      <alignment horizontal="center"/>
    </xf>
    <xf numFmtId="0" fontId="14" fillId="0" borderId="0" xfId="0" applyNumberFormat="1" applyFont="1" applyAlignment="1" applyProtection="1"/>
    <xf numFmtId="0" fontId="14" fillId="0" borderId="0" xfId="0" quotePrefix="1" applyNumberFormat="1" applyFont="1" applyAlignment="1" applyProtection="1">
      <alignment horizontal="center"/>
    </xf>
    <xf numFmtId="37" fontId="14" fillId="3" borderId="0" xfId="0" quotePrefix="1" applyFont="1" applyFill="1" applyAlignment="1" applyProtection="1">
      <alignment horizontal="center"/>
    </xf>
    <xf numFmtId="37" fontId="14" fillId="3" borderId="0" xfId="0" quotePrefix="1" applyNumberFormat="1" applyFont="1" applyFill="1" applyAlignment="1" applyProtection="1"/>
    <xf numFmtId="166" fontId="14" fillId="3" borderId="0" xfId="0" applyNumberFormat="1" applyFont="1" applyFill="1" applyAlignment="1" applyProtection="1">
      <alignment horizontal="center"/>
    </xf>
    <xf numFmtId="37" fontId="14" fillId="3" borderId="0" xfId="0" quotePrefix="1" applyFont="1" applyFill="1" applyAlignment="1" applyProtection="1">
      <alignment horizontal="fill"/>
    </xf>
    <xf numFmtId="37" fontId="14" fillId="3" borderId="0" xfId="1" applyNumberFormat="1" applyFont="1" applyFill="1" applyProtection="1"/>
    <xf numFmtId="37" fontId="14" fillId="3" borderId="0" xfId="0" quotePrefix="1" applyNumberFormat="1" applyFont="1" applyFill="1" applyAlignment="1" applyProtection="1">
      <alignment horizontal="fill"/>
    </xf>
    <xf numFmtId="39" fontId="14" fillId="3" borderId="0" xfId="0" quotePrefix="1" applyNumberFormat="1" applyFont="1" applyFill="1" applyAlignment="1" applyProtection="1">
      <alignment horizontal="left"/>
    </xf>
    <xf numFmtId="4" fontId="14" fillId="3" borderId="0" xfId="0" applyNumberFormat="1" applyFont="1" applyFill="1" applyProtection="1"/>
    <xf numFmtId="37" fontId="14" fillId="0" borderId="0" xfId="0" applyNumberFormat="1" applyFont="1" applyProtection="1"/>
    <xf numFmtId="37" fontId="14" fillId="3" borderId="0" xfId="1" quotePrefix="1" applyNumberFormat="1" applyFont="1" applyFill="1" applyAlignment="1" applyProtection="1">
      <alignment horizontal="fill"/>
    </xf>
    <xf numFmtId="39" fontId="14" fillId="3" borderId="0" xfId="0" quotePrefix="1" applyNumberFormat="1" applyFont="1" applyFill="1" applyAlignment="1" applyProtection="1">
      <alignment horizontal="fill"/>
    </xf>
    <xf numFmtId="39" fontId="14" fillId="3" borderId="0" xfId="0" applyNumberFormat="1" applyFont="1" applyFill="1" applyProtection="1"/>
    <xf numFmtId="37" fontId="21" fillId="3" borderId="0" xfId="0" applyFont="1" applyFill="1" applyProtection="1"/>
    <xf numFmtId="37" fontId="20" fillId="3" borderId="0" xfId="0" applyFont="1" applyFill="1" applyAlignment="1" applyProtection="1">
      <alignment horizontal="centerContinuous"/>
    </xf>
    <xf numFmtId="37" fontId="20" fillId="3" borderId="0" xfId="0" quotePrefix="1" applyFont="1" applyFill="1" applyAlignment="1" applyProtection="1">
      <alignment horizontal="left"/>
    </xf>
    <xf numFmtId="37" fontId="0" fillId="0" borderId="0" xfId="0" applyProtection="1"/>
    <xf numFmtId="3" fontId="14" fillId="0" borderId="0" xfId="0" applyNumberFormat="1" applyFont="1" applyProtection="1"/>
    <xf numFmtId="1" fontId="14" fillId="0" borderId="0" xfId="0" applyNumberFormat="1" applyFont="1" applyAlignment="1" applyProtection="1">
      <alignment horizontal="center"/>
    </xf>
    <xf numFmtId="37" fontId="14" fillId="0" borderId="0" xfId="0" quotePrefix="1" applyFont="1" applyAlignment="1" applyProtection="1">
      <alignment horizontal="center"/>
    </xf>
    <xf numFmtId="2" fontId="14" fillId="0" borderId="0" xfId="0" applyNumberFormat="1" applyFont="1" applyProtection="1"/>
    <xf numFmtId="2" fontId="14" fillId="0" borderId="0" xfId="0" applyNumberFormat="1" applyFont="1" applyAlignment="1" applyProtection="1"/>
    <xf numFmtId="10" fontId="14" fillId="0" borderId="0" xfId="0" applyNumberFormat="1" applyFont="1" applyProtection="1"/>
    <xf numFmtId="37" fontId="20" fillId="0" borderId="0" xfId="0" applyFont="1" applyProtection="1"/>
    <xf numFmtId="37" fontId="14" fillId="0" borderId="0" xfId="0" applyFont="1" applyProtection="1">
      <protection locked="0"/>
    </xf>
    <xf numFmtId="37" fontId="16" fillId="0" borderId="0" xfId="0" applyFont="1" applyAlignment="1" applyProtection="1"/>
    <xf numFmtId="37" fontId="16" fillId="0" borderId="0" xfId="0" applyFont="1" applyProtection="1"/>
    <xf numFmtId="37" fontId="14" fillId="3" borderId="0" xfId="0" applyFont="1" applyFill="1" applyAlignment="1" applyProtection="1">
      <alignment horizontal="left"/>
    </xf>
    <xf numFmtId="37" fontId="14" fillId="9" borderId="0" xfId="0" applyFont="1" applyFill="1" applyProtection="1"/>
    <xf numFmtId="37" fontId="15" fillId="0" borderId="8" xfId="0" applyNumberFormat="1" applyFont="1" applyFill="1" applyBorder="1" applyAlignment="1" applyProtection="1">
      <alignment horizontal="left"/>
    </xf>
    <xf numFmtId="164" fontId="15" fillId="0" borderId="3" xfId="0" applyNumberFormat="1" applyFont="1" applyFill="1" applyBorder="1" applyAlignment="1" applyProtection="1"/>
    <xf numFmtId="37" fontId="14" fillId="2" borderId="0" xfId="0" applyFont="1" applyFill="1" applyProtection="1"/>
    <xf numFmtId="37" fontId="14" fillId="2" borderId="0" xfId="0" quotePrefix="1" applyFont="1" applyFill="1" applyAlignment="1" applyProtection="1">
      <alignment horizontal="center"/>
    </xf>
    <xf numFmtId="37" fontId="14" fillId="2" borderId="0" xfId="0" quotePrefix="1" applyFont="1" applyFill="1" applyAlignment="1" applyProtection="1"/>
    <xf numFmtId="4" fontId="14" fillId="2" borderId="0" xfId="0" applyNumberFormat="1" applyFont="1" applyFill="1" applyProtection="1"/>
    <xf numFmtId="39" fontId="14" fillId="2" borderId="0" xfId="0" applyNumberFormat="1" applyFont="1" applyFill="1" applyProtection="1"/>
    <xf numFmtId="37" fontId="23" fillId="0" borderId="0" xfId="2" applyNumberFormat="1" applyFont="1" applyAlignment="1" applyProtection="1"/>
    <xf numFmtId="38" fontId="14" fillId="9" borderId="0" xfId="0" applyNumberFormat="1" applyFont="1" applyFill="1" applyProtection="1"/>
    <xf numFmtId="37" fontId="24" fillId="0" borderId="23" xfId="0" applyFont="1" applyBorder="1" applyAlignment="1">
      <alignment horizontal="right"/>
    </xf>
    <xf numFmtId="37" fontId="14" fillId="3" borderId="0" xfId="0" quotePrefix="1" applyFont="1" applyFill="1" applyAlignment="1" applyProtection="1">
      <alignment horizontal="left"/>
    </xf>
    <xf numFmtId="49" fontId="20" fillId="4" borderId="1" xfId="0" quotePrefix="1" applyNumberFormat="1" applyFont="1" applyFill="1" applyBorder="1" applyAlignment="1" applyProtection="1">
      <protection locked="0"/>
    </xf>
    <xf numFmtId="38" fontId="20" fillId="4" borderId="14" xfId="0" quotePrefix="1" applyNumberFormat="1" applyFont="1" applyFill="1" applyBorder="1" applyProtection="1">
      <protection locked="0"/>
    </xf>
    <xf numFmtId="37" fontId="14" fillId="3" borderId="0" xfId="0" applyFont="1" applyFill="1" applyAlignment="1" applyProtection="1">
      <alignment horizontal="center"/>
    </xf>
    <xf numFmtId="37" fontId="14" fillId="3" borderId="0" xfId="0" quotePrefix="1" applyFont="1" applyFill="1" applyAlignment="1" applyProtection="1">
      <alignment horizontal="left"/>
    </xf>
    <xf numFmtId="37" fontId="14" fillId="3" borderId="0" xfId="0" applyFont="1" applyFill="1" applyProtection="1"/>
    <xf numFmtId="37" fontId="14" fillId="0" borderId="0" xfId="0" applyFont="1" applyProtection="1"/>
    <xf numFmtId="38" fontId="14" fillId="3" borderId="0" xfId="0" applyNumberFormat="1" applyFont="1" applyFill="1" applyAlignment="1" applyProtection="1">
      <alignment horizontal="center"/>
    </xf>
    <xf numFmtId="37" fontId="20" fillId="0" borderId="1" xfId="0" quotePrefix="1" applyNumberFormat="1" applyFont="1" applyBorder="1" applyProtection="1">
      <protection locked="0"/>
    </xf>
    <xf numFmtId="37" fontId="20" fillId="0" borderId="1" xfId="1" quotePrefix="1" applyNumberFormat="1" applyFont="1" applyBorder="1" applyProtection="1">
      <protection locked="0"/>
    </xf>
    <xf numFmtId="38" fontId="14" fillId="3" borderId="0" xfId="0" applyNumberFormat="1" applyFont="1" applyFill="1" applyProtection="1"/>
    <xf numFmtId="37" fontId="14" fillId="3" borderId="0" xfId="0" applyNumberFormat="1" applyFont="1" applyFill="1" applyProtection="1"/>
    <xf numFmtId="37" fontId="14" fillId="3" borderId="0" xfId="0" quotePrefix="1" applyFont="1" applyFill="1" applyAlignment="1" applyProtection="1">
      <alignment horizontal="center"/>
    </xf>
    <xf numFmtId="37" fontId="14" fillId="3" borderId="0" xfId="0" quotePrefix="1" applyNumberFormat="1" applyFont="1" applyFill="1" applyAlignment="1" applyProtection="1"/>
    <xf numFmtId="166" fontId="14" fillId="3" borderId="0" xfId="0" applyNumberFormat="1" applyFont="1" applyFill="1" applyAlignment="1" applyProtection="1">
      <alignment horizontal="center"/>
    </xf>
    <xf numFmtId="37" fontId="14" fillId="3" borderId="0" xfId="0" quotePrefix="1" applyFont="1" applyFill="1" applyAlignment="1" applyProtection="1">
      <alignment horizontal="fill"/>
    </xf>
    <xf numFmtId="37" fontId="14" fillId="3" borderId="0" xfId="1" applyNumberFormat="1" applyFont="1" applyFill="1" applyProtection="1"/>
    <xf numFmtId="37" fontId="14" fillId="3" borderId="0" xfId="0" quotePrefix="1" applyNumberFormat="1" applyFont="1" applyFill="1" applyAlignment="1" applyProtection="1">
      <alignment horizontal="fill"/>
    </xf>
    <xf numFmtId="39" fontId="14" fillId="3" borderId="0" xfId="0" quotePrefix="1" applyNumberFormat="1" applyFont="1" applyFill="1" applyAlignment="1" applyProtection="1">
      <alignment horizontal="left"/>
    </xf>
    <xf numFmtId="4" fontId="14" fillId="3" borderId="0" xfId="0" applyNumberFormat="1" applyFont="1" applyFill="1" applyProtection="1"/>
    <xf numFmtId="37" fontId="20" fillId="0" borderId="1" xfId="0" applyNumberFormat="1" applyFont="1" applyBorder="1" applyAlignment="1" applyProtection="1">
      <protection locked="0"/>
    </xf>
    <xf numFmtId="37" fontId="20" fillId="0" borderId="1" xfId="179" quotePrefix="1" applyNumberFormat="1" applyFont="1" applyBorder="1" applyProtection="1">
      <protection locked="0"/>
    </xf>
    <xf numFmtId="37" fontId="20" fillId="0" borderId="1" xfId="179" quotePrefix="1" applyNumberFormat="1" applyFont="1" applyFill="1" applyBorder="1" applyProtection="1">
      <protection locked="0"/>
    </xf>
    <xf numFmtId="37" fontId="20" fillId="0" borderId="1" xfId="168" quotePrefix="1" applyNumberFormat="1" applyFont="1" applyBorder="1" applyProtection="1">
      <protection locked="0"/>
    </xf>
    <xf numFmtId="37" fontId="20" fillId="0" borderId="1" xfId="39" quotePrefix="1" applyNumberFormat="1" applyFont="1" applyBorder="1" applyProtection="1">
      <protection locked="0"/>
    </xf>
    <xf numFmtId="39" fontId="20" fillId="0" borderId="1" xfId="137" quotePrefix="1" applyNumberFormat="1" applyFont="1" applyBorder="1" applyProtection="1">
      <protection locked="0"/>
    </xf>
    <xf numFmtId="43" fontId="20" fillId="0" borderId="1" xfId="2336" quotePrefix="1" applyFont="1" applyBorder="1" applyProtection="1">
      <protection locked="0"/>
    </xf>
    <xf numFmtId="37" fontId="20" fillId="0" borderId="1" xfId="39" applyNumberFormat="1" applyFont="1" applyBorder="1" applyProtection="1">
      <protection locked="0"/>
    </xf>
    <xf numFmtId="37" fontId="0" fillId="0" borderId="0" xfId="0"/>
    <xf numFmtId="37" fontId="14" fillId="3" borderId="0" xfId="0" applyFont="1" applyFill="1" applyAlignment="1" applyProtection="1">
      <alignment horizontal="center"/>
    </xf>
    <xf numFmtId="37" fontId="14" fillId="3" borderId="0" xfId="0" quotePrefix="1" applyFont="1" applyFill="1" applyAlignment="1" applyProtection="1">
      <alignment horizontal="left"/>
    </xf>
    <xf numFmtId="37" fontId="14" fillId="3" borderId="0" xfId="0" applyFont="1" applyFill="1" applyAlignment="1" applyProtection="1">
      <alignment horizontal="right"/>
    </xf>
    <xf numFmtId="37" fontId="14" fillId="3" borderId="0" xfId="0" applyFont="1" applyFill="1" applyAlignment="1" applyProtection="1"/>
    <xf numFmtId="37" fontId="20" fillId="4" borderId="1" xfId="0" applyFont="1" applyFill="1" applyBorder="1" applyProtection="1">
      <protection locked="0"/>
    </xf>
    <xf numFmtId="37" fontId="14" fillId="3" borderId="0" xfId="0" applyFont="1" applyFill="1" applyProtection="1"/>
    <xf numFmtId="37" fontId="20" fillId="3" borderId="0" xfId="0" applyFont="1" applyFill="1" applyAlignment="1" applyProtection="1">
      <alignment horizontal="center"/>
    </xf>
    <xf numFmtId="37" fontId="14" fillId="3" borderId="0" xfId="0" quotePrefix="1" applyFont="1" applyFill="1" applyAlignment="1" applyProtection="1"/>
    <xf numFmtId="37" fontId="20" fillId="3" borderId="0" xfId="0" applyFont="1" applyFill="1" applyProtection="1"/>
    <xf numFmtId="38" fontId="14" fillId="3" borderId="0" xfId="0" applyNumberFormat="1" applyFont="1" applyFill="1" applyAlignment="1" applyProtection="1">
      <alignment horizontal="center"/>
    </xf>
    <xf numFmtId="37" fontId="20" fillId="0" borderId="1" xfId="0" quotePrefix="1" applyNumberFormat="1" applyFont="1" applyBorder="1" applyProtection="1">
      <protection locked="0"/>
    </xf>
    <xf numFmtId="37" fontId="20" fillId="0" borderId="1" xfId="1" quotePrefix="1" applyNumberFormat="1" applyFont="1" applyBorder="1" applyProtection="1">
      <protection locked="0"/>
    </xf>
    <xf numFmtId="39" fontId="20" fillId="0" borderId="1" xfId="0" quotePrefix="1" applyNumberFormat="1" applyFont="1" applyBorder="1" applyProtection="1">
      <protection locked="0"/>
    </xf>
    <xf numFmtId="38" fontId="20" fillId="4" borderId="1" xfId="0" applyNumberFormat="1" applyFont="1" applyFill="1" applyBorder="1" applyProtection="1">
      <protection locked="0"/>
    </xf>
    <xf numFmtId="38" fontId="14" fillId="3" borderId="0" xfId="0" applyNumberFormat="1" applyFont="1" applyFill="1" applyAlignment="1" applyProtection="1">
      <alignment horizontal="right"/>
    </xf>
    <xf numFmtId="38" fontId="14" fillId="3" borderId="0" xfId="0" applyNumberFormat="1" applyFont="1" applyFill="1" applyProtection="1"/>
    <xf numFmtId="38" fontId="20" fillId="3" borderId="0" xfId="0" applyNumberFormat="1" applyFont="1" applyFill="1" applyAlignment="1" applyProtection="1">
      <alignment horizontal="center"/>
    </xf>
    <xf numFmtId="38" fontId="20" fillId="3" borderId="0" xfId="0" applyNumberFormat="1" applyFont="1" applyFill="1" applyProtection="1"/>
    <xf numFmtId="37" fontId="14" fillId="3" borderId="0" xfId="0" applyNumberFormat="1" applyFont="1" applyFill="1" applyProtection="1"/>
    <xf numFmtId="37" fontId="14" fillId="0" borderId="0" xfId="0" quotePrefix="1" applyFont="1" applyAlignment="1" applyProtection="1">
      <alignment horizontal="left"/>
    </xf>
    <xf numFmtId="38" fontId="20" fillId="4" borderId="2" xfId="0" applyNumberFormat="1" applyFont="1" applyFill="1" applyBorder="1" applyProtection="1">
      <protection locked="0"/>
    </xf>
    <xf numFmtId="38" fontId="20" fillId="4" borderId="8" xfId="0" applyNumberFormat="1" applyFont="1" applyFill="1" applyBorder="1" applyProtection="1">
      <protection locked="0"/>
    </xf>
    <xf numFmtId="37" fontId="14" fillId="3" borderId="0" xfId="0" quotePrefix="1" applyFont="1" applyFill="1" applyAlignment="1" applyProtection="1">
      <alignment horizontal="centerContinuous"/>
    </xf>
    <xf numFmtId="37" fontId="14" fillId="3" borderId="0" xfId="0" applyFont="1" applyFill="1" applyAlignment="1" applyProtection="1">
      <alignment horizontal="centerContinuous"/>
    </xf>
    <xf numFmtId="38" fontId="20" fillId="4" borderId="1" xfId="0" applyNumberFormat="1" applyFont="1" applyFill="1" applyBorder="1" applyAlignment="1" applyProtection="1">
      <alignment horizontal="center"/>
      <protection locked="0"/>
    </xf>
    <xf numFmtId="37" fontId="14" fillId="3" borderId="0" xfId="0" quotePrefix="1" applyNumberFormat="1" applyFont="1" applyFill="1" applyAlignment="1" applyProtection="1"/>
    <xf numFmtId="37" fontId="14" fillId="3" borderId="0" xfId="0" quotePrefix="1" applyNumberFormat="1" applyFont="1" applyFill="1" applyAlignment="1" applyProtection="1">
      <alignment horizontal="fill"/>
    </xf>
    <xf numFmtId="37" fontId="14" fillId="0" borderId="0" xfId="0" applyNumberFormat="1" applyFont="1" applyProtection="1"/>
    <xf numFmtId="37" fontId="14" fillId="3" borderId="0" xfId="1" quotePrefix="1" applyNumberFormat="1" applyFont="1" applyFill="1" applyAlignment="1" applyProtection="1">
      <alignment horizontal="fill"/>
    </xf>
    <xf numFmtId="39" fontId="14" fillId="3" borderId="0" xfId="0" quotePrefix="1" applyNumberFormat="1" applyFont="1" applyFill="1" applyAlignment="1" applyProtection="1">
      <alignment horizontal="fill"/>
    </xf>
    <xf numFmtId="39" fontId="14" fillId="3" borderId="0" xfId="0" applyNumberFormat="1" applyFont="1" applyFill="1" applyProtection="1"/>
    <xf numFmtId="37" fontId="21" fillId="3" borderId="0" xfId="0" applyFont="1" applyFill="1" applyProtection="1"/>
    <xf numFmtId="37" fontId="20" fillId="3" borderId="0" xfId="0" applyFont="1" applyFill="1" applyAlignment="1" applyProtection="1">
      <alignment horizontal="centerContinuous"/>
    </xf>
    <xf numFmtId="37" fontId="20" fillId="3" borderId="0" xfId="0" quotePrefix="1" applyFont="1" applyFill="1" applyAlignment="1" applyProtection="1">
      <alignment horizontal="left"/>
    </xf>
    <xf numFmtId="37" fontId="0" fillId="0" borderId="0" xfId="0" applyProtection="1"/>
    <xf numFmtId="37" fontId="20" fillId="0" borderId="1" xfId="179" quotePrefix="1" applyNumberFormat="1" applyFont="1" applyBorder="1" applyProtection="1">
      <protection locked="0"/>
    </xf>
    <xf numFmtId="37" fontId="20" fillId="0" borderId="1" xfId="168" quotePrefix="1" applyNumberFormat="1" applyFont="1" applyBorder="1" applyProtection="1">
      <protection locked="0"/>
    </xf>
    <xf numFmtId="37" fontId="20" fillId="0" borderId="1" xfId="39" quotePrefix="1" applyNumberFormat="1" applyFont="1" applyBorder="1" applyProtection="1">
      <protection locked="0"/>
    </xf>
    <xf numFmtId="39" fontId="20" fillId="0" borderId="1" xfId="137" quotePrefix="1" applyNumberFormat="1" applyFont="1" applyBorder="1" applyProtection="1">
      <protection locked="0"/>
    </xf>
    <xf numFmtId="37" fontId="20" fillId="0" borderId="1" xfId="35" quotePrefix="1" applyNumberFormat="1" applyFont="1" applyBorder="1" applyProtection="1">
      <protection locked="0"/>
    </xf>
    <xf numFmtId="165" fontId="20" fillId="0" borderId="1" xfId="1" quotePrefix="1" applyNumberFormat="1" applyFont="1" applyBorder="1" applyProtection="1">
      <protection locked="0"/>
    </xf>
    <xf numFmtId="39" fontId="20" fillId="0" borderId="1" xfId="168" quotePrefix="1" applyNumberFormat="1" applyFont="1" applyBorder="1" applyProtection="1">
      <protection locked="0"/>
    </xf>
    <xf numFmtId="43" fontId="20" fillId="0" borderId="1" xfId="3726" quotePrefix="1" applyFont="1" applyBorder="1" applyProtection="1">
      <protection locked="0"/>
    </xf>
    <xf numFmtId="37" fontId="20" fillId="4" borderId="1" xfId="0" quotePrefix="1" applyNumberFormat="1" applyFont="1" applyFill="1" applyBorder="1" applyProtection="1">
      <protection locked="0"/>
    </xf>
    <xf numFmtId="38" fontId="20" fillId="4" borderId="1" xfId="0" quotePrefix="1" applyNumberFormat="1" applyFont="1" applyFill="1" applyBorder="1" applyAlignment="1" applyProtection="1">
      <protection locked="0"/>
    </xf>
    <xf numFmtId="49" fontId="20" fillId="4" borderId="1" xfId="0" quotePrefix="1" applyNumberFormat="1" applyFont="1" applyFill="1" applyBorder="1" applyAlignment="1" applyProtection="1">
      <protection locked="0"/>
    </xf>
    <xf numFmtId="38" fontId="20" fillId="4" borderId="1" xfId="0" quotePrefix="1" applyNumberFormat="1" applyFont="1" applyFill="1" applyBorder="1" applyAlignment="1" applyProtection="1">
      <alignment horizontal="left"/>
      <protection locked="0"/>
    </xf>
    <xf numFmtId="38" fontId="20" fillId="4" borderId="14" xfId="0" applyNumberFormat="1" applyFont="1" applyFill="1" applyBorder="1" applyProtection="1">
      <protection locked="0"/>
    </xf>
    <xf numFmtId="38" fontId="20" fillId="4" borderId="14" xfId="0" quotePrefix="1" applyNumberFormat="1" applyFont="1" applyFill="1" applyBorder="1" applyProtection="1">
      <protection locked="0"/>
    </xf>
    <xf numFmtId="49" fontId="20" fillId="4" borderId="1" xfId="0" quotePrefix="1" applyNumberFormat="1" applyFont="1" applyFill="1" applyBorder="1" applyAlignment="1" applyProtection="1">
      <alignment horizontal="left"/>
      <protection locked="0"/>
    </xf>
    <xf numFmtId="37" fontId="20" fillId="4" borderId="1" xfId="35" applyFont="1" applyFill="1" applyBorder="1" applyProtection="1">
      <protection locked="0"/>
    </xf>
    <xf numFmtId="38" fontId="20" fillId="4" borderId="1" xfId="35" applyNumberFormat="1" applyFont="1" applyFill="1" applyBorder="1" applyProtection="1">
      <protection locked="0"/>
    </xf>
    <xf numFmtId="38" fontId="20" fillId="4" borderId="1" xfId="168" applyNumberFormat="1" applyFont="1" applyFill="1" applyBorder="1" applyProtection="1">
      <protection locked="0"/>
    </xf>
    <xf numFmtId="165" fontId="10" fillId="0" borderId="6" xfId="3951" applyNumberFormat="1" applyFont="1" applyBorder="1"/>
    <xf numFmtId="165" fontId="39" fillId="0" borderId="6" xfId="3859" applyNumberFormat="1" applyFont="1" applyBorder="1"/>
    <xf numFmtId="38" fontId="20" fillId="4" borderId="1" xfId="179" applyNumberFormat="1" applyFont="1" applyFill="1" applyBorder="1" applyProtection="1">
      <protection locked="0"/>
    </xf>
    <xf numFmtId="37" fontId="20" fillId="4" borderId="1" xfId="179" applyFont="1" applyFill="1" applyBorder="1" applyProtection="1">
      <protection locked="0"/>
    </xf>
    <xf numFmtId="37" fontId="14" fillId="3" borderId="0" xfId="0" quotePrefix="1" applyFont="1" applyFill="1" applyAlignment="1" applyProtection="1">
      <alignment horizontal="left"/>
    </xf>
    <xf numFmtId="37" fontId="14" fillId="3" borderId="0" xfId="0" applyFont="1" applyFill="1" applyAlignment="1" applyProtection="1">
      <alignment horizontal="right"/>
    </xf>
    <xf numFmtId="37" fontId="14" fillId="3" borderId="0" xfId="0" applyFont="1" applyFill="1" applyAlignment="1" applyProtection="1"/>
    <xf numFmtId="37" fontId="14" fillId="3" borderId="0" xfId="0" applyFont="1" applyFill="1" applyProtection="1"/>
    <xf numFmtId="38" fontId="20" fillId="4" borderId="1" xfId="0" applyNumberFormat="1" applyFont="1" applyFill="1" applyBorder="1" applyProtection="1">
      <protection locked="0"/>
    </xf>
    <xf numFmtId="38" fontId="14" fillId="3" borderId="0" xfId="0" applyNumberFormat="1" applyFont="1" applyFill="1" applyProtection="1"/>
    <xf numFmtId="37" fontId="14" fillId="3" borderId="0" xfId="0" applyNumberFormat="1" applyFont="1" applyFill="1" applyProtection="1"/>
    <xf numFmtId="37" fontId="14" fillId="3" borderId="0" xfId="0" applyFont="1" applyFill="1" applyAlignment="1" applyProtection="1">
      <alignment horizontal="centerContinuous"/>
    </xf>
    <xf numFmtId="38" fontId="20" fillId="4" borderId="1" xfId="0" applyNumberFormat="1" applyFont="1" applyFill="1" applyBorder="1" applyAlignment="1" applyProtection="1">
      <alignment horizontal="center"/>
      <protection locked="0"/>
    </xf>
    <xf numFmtId="38" fontId="20" fillId="3" borderId="8" xfId="0" applyNumberFormat="1" applyFont="1" applyFill="1" applyBorder="1" applyAlignment="1" applyProtection="1">
      <alignment horizontal="center"/>
      <protection locked="0"/>
    </xf>
    <xf numFmtId="37" fontId="20" fillId="3" borderId="0" xfId="0" applyFont="1" applyFill="1" applyAlignment="1" applyProtection="1">
      <alignment horizontal="centerContinuous"/>
    </xf>
    <xf numFmtId="38" fontId="20" fillId="4" borderId="1" xfId="168" applyNumberFormat="1" applyFont="1" applyFill="1" applyBorder="1" applyProtection="1">
      <protection locked="0"/>
    </xf>
    <xf numFmtId="38" fontId="20" fillId="4" borderId="1" xfId="179" applyNumberFormat="1" applyFont="1" applyFill="1" applyBorder="1" applyProtection="1">
      <protection locked="0"/>
    </xf>
    <xf numFmtId="38" fontId="20" fillId="0" borderId="1" xfId="168" applyNumberFormat="1" applyFont="1" applyFill="1" applyBorder="1" applyProtection="1">
      <protection locked="0"/>
    </xf>
    <xf numFmtId="38" fontId="14" fillId="4" borderId="1" xfId="168" applyNumberFormat="1" applyFont="1" applyFill="1" applyBorder="1" applyProtection="1">
      <protection locked="0"/>
    </xf>
    <xf numFmtId="165" fontId="9" fillId="0" borderId="6" xfId="3998" applyNumberFormat="1" applyFont="1" applyBorder="1"/>
    <xf numFmtId="165" fontId="39" fillId="0" borderId="6" xfId="3997" applyNumberFormat="1" applyFont="1" applyBorder="1"/>
    <xf numFmtId="38" fontId="20" fillId="4" borderId="1" xfId="168" applyNumberFormat="1" applyFont="1" applyFill="1" applyBorder="1" applyProtection="1">
      <protection locked="0"/>
    </xf>
    <xf numFmtId="38" fontId="20" fillId="4" borderId="1" xfId="168" applyNumberFormat="1" applyFont="1" applyFill="1" applyBorder="1" applyProtection="1">
      <protection locked="0"/>
    </xf>
    <xf numFmtId="37" fontId="20" fillId="0" borderId="1" xfId="179" quotePrefix="1" applyNumberFormat="1" applyFont="1" applyBorder="1" applyProtection="1">
      <protection locked="0"/>
    </xf>
    <xf numFmtId="37" fontId="20" fillId="0" borderId="1" xfId="179" quotePrefix="1" applyNumberFormat="1" applyFont="1" applyBorder="1" applyProtection="1">
      <protection locked="0"/>
    </xf>
    <xf numFmtId="37" fontId="20" fillId="0" borderId="1" xfId="179" quotePrefix="1" applyNumberFormat="1" applyFont="1" applyBorder="1" applyProtection="1">
      <protection locked="0"/>
    </xf>
    <xf numFmtId="37" fontId="20" fillId="0" borderId="1" xfId="179" quotePrefix="1" applyNumberFormat="1" applyFont="1" applyBorder="1" applyProtection="1">
      <protection locked="0"/>
    </xf>
    <xf numFmtId="37" fontId="20" fillId="0" borderId="1" xfId="168" quotePrefix="1" applyNumberFormat="1" applyFont="1" applyBorder="1" applyProtection="1">
      <protection locked="0"/>
    </xf>
    <xf numFmtId="37" fontId="20" fillId="0" borderId="1" xfId="179" quotePrefix="1" applyNumberFormat="1" applyFont="1" applyBorder="1" applyProtection="1">
      <protection locked="0"/>
    </xf>
    <xf numFmtId="37" fontId="20" fillId="0" borderId="1" xfId="39" quotePrefix="1" applyNumberFormat="1" applyFont="1" applyBorder="1" applyProtection="1">
      <protection locked="0"/>
    </xf>
    <xf numFmtId="37" fontId="20" fillId="0" borderId="1" xfId="168" quotePrefix="1" applyNumberFormat="1" applyFont="1" applyBorder="1" applyProtection="1">
      <protection locked="0"/>
    </xf>
    <xf numFmtId="37" fontId="20" fillId="0" borderId="1" xfId="179" quotePrefix="1" applyNumberFormat="1" applyFont="1" applyBorder="1" applyProtection="1">
      <protection locked="0"/>
    </xf>
    <xf numFmtId="37" fontId="20" fillId="0" borderId="1" xfId="39" quotePrefix="1" applyNumberFormat="1" applyFont="1" applyBorder="1" applyProtection="1">
      <protection locked="0"/>
    </xf>
    <xf numFmtId="37" fontId="20" fillId="0" borderId="1" xfId="168" quotePrefix="1" applyNumberFormat="1" applyFont="1" applyBorder="1" applyProtection="1">
      <protection locked="0"/>
    </xf>
    <xf numFmtId="37" fontId="20" fillId="0" borderId="1" xfId="179" quotePrefix="1" applyNumberFormat="1" applyFont="1" applyBorder="1" applyProtection="1">
      <protection locked="0"/>
    </xf>
    <xf numFmtId="37" fontId="20" fillId="0" borderId="1" xfId="39" quotePrefix="1" applyNumberFormat="1" applyFont="1" applyBorder="1" applyProtection="1">
      <protection locked="0"/>
    </xf>
    <xf numFmtId="37" fontId="20" fillId="4" borderId="1" xfId="35" applyFont="1" applyFill="1" applyBorder="1" applyProtection="1">
      <protection locked="0"/>
    </xf>
    <xf numFmtId="37" fontId="20" fillId="4" borderId="1" xfId="35" applyFont="1" applyFill="1" applyBorder="1" applyProtection="1">
      <protection locked="0"/>
    </xf>
    <xf numFmtId="38" fontId="20" fillId="4" borderId="1" xfId="35" applyNumberFormat="1" applyFont="1" applyFill="1" applyBorder="1" applyProtection="1">
      <protection locked="0"/>
    </xf>
    <xf numFmtId="37" fontId="20" fillId="4" borderId="1" xfId="35" applyFont="1" applyFill="1" applyBorder="1" applyProtection="1">
      <protection locked="0"/>
    </xf>
    <xf numFmtId="38" fontId="20" fillId="4" borderId="1" xfId="35" applyNumberFormat="1" applyFont="1" applyFill="1" applyBorder="1" applyProtection="1">
      <protection locked="0"/>
    </xf>
    <xf numFmtId="37" fontId="20" fillId="0" borderId="1" xfId="35" quotePrefix="1" applyFont="1" applyBorder="1" applyProtection="1">
      <protection locked="0"/>
    </xf>
    <xf numFmtId="37" fontId="20" fillId="0" borderId="1" xfId="137" quotePrefix="1" applyNumberFormat="1" applyFont="1" applyBorder="1" applyProtection="1">
      <protection locked="0"/>
    </xf>
    <xf numFmtId="165" fontId="20" fillId="0" borderId="1" xfId="1" quotePrefix="1" applyNumberFormat="1" applyFont="1" applyBorder="1" applyProtection="1">
      <protection locked="0"/>
    </xf>
    <xf numFmtId="37" fontId="20" fillId="0" borderId="1" xfId="35" quotePrefix="1" applyNumberFormat="1" applyFont="1" applyFill="1" applyBorder="1" applyProtection="1">
      <protection locked="0"/>
    </xf>
    <xf numFmtId="39" fontId="20" fillId="0" borderId="1" xfId="137" quotePrefix="1" applyNumberFormat="1" applyFont="1" applyBorder="1" applyProtection="1">
      <protection locked="0"/>
    </xf>
    <xf numFmtId="37" fontId="20" fillId="0" borderId="1" xfId="168" quotePrefix="1" applyNumberFormat="1" applyFont="1" applyBorder="1" applyProtection="1">
      <protection locked="0"/>
    </xf>
    <xf numFmtId="43" fontId="20" fillId="0" borderId="1" xfId="5872" quotePrefix="1" applyFont="1" applyBorder="1" applyProtection="1">
      <protection locked="0"/>
    </xf>
    <xf numFmtId="37" fontId="20" fillId="0" borderId="1" xfId="179" quotePrefix="1" applyNumberFormat="1" applyFont="1" applyBorder="1" applyProtection="1">
      <protection locked="0"/>
    </xf>
    <xf numFmtId="37" fontId="20" fillId="0" borderId="1" xfId="39" quotePrefix="1" applyNumberFormat="1" applyFont="1" applyBorder="1" applyProtection="1">
      <protection locked="0"/>
    </xf>
    <xf numFmtId="37" fontId="20" fillId="0" borderId="1" xfId="179" quotePrefix="1" applyNumberFormat="1" applyFont="1" applyBorder="1" applyProtection="1">
      <protection locked="0"/>
    </xf>
    <xf numFmtId="37" fontId="20" fillId="0" borderId="1" xfId="179" quotePrefix="1" applyNumberFormat="1" applyFont="1" applyBorder="1" applyProtection="1">
      <protection locked="0"/>
    </xf>
    <xf numFmtId="37" fontId="20" fillId="0" borderId="1" xfId="179" quotePrefix="1" applyNumberFormat="1" applyFont="1" applyBorder="1" applyProtection="1">
      <protection locked="0"/>
    </xf>
    <xf numFmtId="37" fontId="20" fillId="0" borderId="1" xfId="179" quotePrefix="1" applyNumberFormat="1" applyFont="1" applyBorder="1" applyProtection="1">
      <protection locked="0"/>
    </xf>
    <xf numFmtId="37" fontId="20" fillId="0" borderId="1" xfId="168" quotePrefix="1" applyNumberFormat="1" applyFont="1" applyBorder="1" applyProtection="1">
      <protection locked="0"/>
    </xf>
    <xf numFmtId="37" fontId="20" fillId="0" borderId="1" xfId="179" quotePrefix="1" applyNumberFormat="1" applyFont="1" applyBorder="1" applyProtection="1">
      <protection locked="0"/>
    </xf>
    <xf numFmtId="37" fontId="20" fillId="0" borderId="1" xfId="39" quotePrefix="1" applyNumberFormat="1" applyFont="1" applyBorder="1" applyProtection="1">
      <protection locked="0"/>
    </xf>
    <xf numFmtId="37" fontId="20" fillId="0" borderId="1" xfId="168" quotePrefix="1" applyNumberFormat="1" applyFont="1" applyBorder="1" applyProtection="1">
      <protection locked="0"/>
    </xf>
    <xf numFmtId="37" fontId="20" fillId="0" borderId="1" xfId="168" quotePrefix="1" applyNumberFormat="1" applyFont="1" applyFill="1" applyBorder="1" applyProtection="1">
      <protection locked="0"/>
    </xf>
    <xf numFmtId="37" fontId="20" fillId="0" borderId="1" xfId="35" quotePrefix="1" applyNumberFormat="1" applyFont="1" applyFill="1" applyBorder="1" applyProtection="1">
      <protection locked="0"/>
    </xf>
    <xf numFmtId="37" fontId="20" fillId="3" borderId="0" xfId="0" applyFont="1" applyFill="1" applyAlignment="1" applyProtection="1">
      <alignment horizontal="center" vertical="center"/>
    </xf>
  </cellXfs>
  <cellStyles count="5996">
    <cellStyle name="20% - Accent1" xfId="3980" builtinId="30" customBuiltin="1"/>
    <cellStyle name="20% - Accent1 10" xfId="4067"/>
    <cellStyle name="20% - Accent1 11" xfId="4144"/>
    <cellStyle name="20% - Accent1 12" xfId="4221"/>
    <cellStyle name="20% - Accent1 13" xfId="4295"/>
    <cellStyle name="20% - Accent1 14" xfId="5324"/>
    <cellStyle name="20% - Accent1 15" xfId="5859"/>
    <cellStyle name="20% - Accent1 2" xfId="67"/>
    <cellStyle name="20% - Accent1 2 2" xfId="333"/>
    <cellStyle name="20% - Accent1 2 2 10" xfId="4328"/>
    <cellStyle name="20% - Accent1 2 2 11" xfId="5337"/>
    <cellStyle name="20% - Accent1 2 2 2" xfId="334"/>
    <cellStyle name="20% - Accent1 2 2 2 2" xfId="335"/>
    <cellStyle name="20% - Accent1 2 2 2 2 2" xfId="825"/>
    <cellStyle name="20% - Accent1 2 2 2 2 2 2" xfId="1970"/>
    <cellStyle name="20% - Accent1 2 2 2 2 2 2 2" xfId="3733"/>
    <cellStyle name="20% - Accent1 2 2 2 2 2 2 3" xfId="5104"/>
    <cellStyle name="20% - Accent1 2 2 2 2 2 3" xfId="1408"/>
    <cellStyle name="20% - Accent1 2 2 2 2 2 3 2" xfId="3215"/>
    <cellStyle name="20% - Accent1 2 2 2 2 2 4" xfId="2637"/>
    <cellStyle name="20% - Accent1 2 2 2 2 2 5" xfId="4586"/>
    <cellStyle name="20% - Accent1 2 2 2 2 2 6" xfId="5340"/>
    <cellStyle name="20% - Accent1 2 2 2 2 3" xfId="1730"/>
    <cellStyle name="20% - Accent1 2 2 2 2 3 2" xfId="3497"/>
    <cellStyle name="20% - Accent1 2 2 2 2 3 3" xfId="4868"/>
    <cellStyle name="20% - Accent1 2 2 2 2 4" xfId="1152"/>
    <cellStyle name="20% - Accent1 2 2 2 2 4 2" xfId="2959"/>
    <cellStyle name="20% - Accent1 2 2 2 2 5" xfId="2383"/>
    <cellStyle name="20% - Accent1 2 2 2 2 6" xfId="4330"/>
    <cellStyle name="20% - Accent1 2 2 2 2 7" xfId="5339"/>
    <cellStyle name="20% - Accent1 2 2 2 3" xfId="336"/>
    <cellStyle name="20% - Accent1 2 2 2 3 2" xfId="826"/>
    <cellStyle name="20% - Accent1 2 2 2 3 2 2" xfId="1971"/>
    <cellStyle name="20% - Accent1 2 2 2 3 2 2 2" xfId="3734"/>
    <cellStyle name="20% - Accent1 2 2 2 3 2 2 3" xfId="5105"/>
    <cellStyle name="20% - Accent1 2 2 2 3 2 3" xfId="1409"/>
    <cellStyle name="20% - Accent1 2 2 2 3 2 3 2" xfId="3216"/>
    <cellStyle name="20% - Accent1 2 2 2 3 2 4" xfId="2638"/>
    <cellStyle name="20% - Accent1 2 2 2 3 2 5" xfId="4587"/>
    <cellStyle name="20% - Accent1 2 2 2 3 2 6" xfId="5342"/>
    <cellStyle name="20% - Accent1 2 2 2 3 3" xfId="1731"/>
    <cellStyle name="20% - Accent1 2 2 2 3 3 2" xfId="3498"/>
    <cellStyle name="20% - Accent1 2 2 2 3 3 3" xfId="4869"/>
    <cellStyle name="20% - Accent1 2 2 2 3 4" xfId="1153"/>
    <cellStyle name="20% - Accent1 2 2 2 3 4 2" xfId="2960"/>
    <cellStyle name="20% - Accent1 2 2 2 3 5" xfId="2384"/>
    <cellStyle name="20% - Accent1 2 2 2 3 6" xfId="4331"/>
    <cellStyle name="20% - Accent1 2 2 2 3 7" xfId="5341"/>
    <cellStyle name="20% - Accent1 2 2 2 4" xfId="824"/>
    <cellStyle name="20% - Accent1 2 2 2 4 2" xfId="1969"/>
    <cellStyle name="20% - Accent1 2 2 2 4 2 2" xfId="3732"/>
    <cellStyle name="20% - Accent1 2 2 2 4 2 3" xfId="5103"/>
    <cellStyle name="20% - Accent1 2 2 2 4 3" xfId="1407"/>
    <cellStyle name="20% - Accent1 2 2 2 4 3 2" xfId="3214"/>
    <cellStyle name="20% - Accent1 2 2 2 4 4" xfId="2636"/>
    <cellStyle name="20% - Accent1 2 2 2 4 5" xfId="4585"/>
    <cellStyle name="20% - Accent1 2 2 2 4 6" xfId="5343"/>
    <cellStyle name="20% - Accent1 2 2 2 5" xfId="1729"/>
    <cellStyle name="20% - Accent1 2 2 2 5 2" xfId="3496"/>
    <cellStyle name="20% - Accent1 2 2 2 5 3" xfId="4867"/>
    <cellStyle name="20% - Accent1 2 2 2 6" xfId="1151"/>
    <cellStyle name="20% - Accent1 2 2 2 6 2" xfId="2958"/>
    <cellStyle name="20% - Accent1 2 2 2 7" xfId="2382"/>
    <cellStyle name="20% - Accent1 2 2 2 8" xfId="4329"/>
    <cellStyle name="20% - Accent1 2 2 2 9" xfId="5338"/>
    <cellStyle name="20% - Accent1 2 2 3" xfId="337"/>
    <cellStyle name="20% - Accent1 2 2 3 2" xfId="338"/>
    <cellStyle name="20% - Accent1 2 2 3 2 2" xfId="828"/>
    <cellStyle name="20% - Accent1 2 2 3 2 2 2" xfId="1973"/>
    <cellStyle name="20% - Accent1 2 2 3 2 2 2 2" xfId="3736"/>
    <cellStyle name="20% - Accent1 2 2 3 2 2 2 3" xfId="5107"/>
    <cellStyle name="20% - Accent1 2 2 3 2 2 3" xfId="1411"/>
    <cellStyle name="20% - Accent1 2 2 3 2 2 3 2" xfId="3218"/>
    <cellStyle name="20% - Accent1 2 2 3 2 2 4" xfId="2640"/>
    <cellStyle name="20% - Accent1 2 2 3 2 2 5" xfId="4589"/>
    <cellStyle name="20% - Accent1 2 2 3 2 2 6" xfId="5346"/>
    <cellStyle name="20% - Accent1 2 2 3 2 3" xfId="1733"/>
    <cellStyle name="20% - Accent1 2 2 3 2 3 2" xfId="3500"/>
    <cellStyle name="20% - Accent1 2 2 3 2 3 3" xfId="4871"/>
    <cellStyle name="20% - Accent1 2 2 3 2 4" xfId="1155"/>
    <cellStyle name="20% - Accent1 2 2 3 2 4 2" xfId="2962"/>
    <cellStyle name="20% - Accent1 2 2 3 2 5" xfId="2386"/>
    <cellStyle name="20% - Accent1 2 2 3 2 6" xfId="4333"/>
    <cellStyle name="20% - Accent1 2 2 3 2 7" xfId="5345"/>
    <cellStyle name="20% - Accent1 2 2 3 3" xfId="339"/>
    <cellStyle name="20% - Accent1 2 2 3 3 2" xfId="829"/>
    <cellStyle name="20% - Accent1 2 2 3 3 2 2" xfId="1974"/>
    <cellStyle name="20% - Accent1 2 2 3 3 2 2 2" xfId="3737"/>
    <cellStyle name="20% - Accent1 2 2 3 3 2 2 3" xfId="5108"/>
    <cellStyle name="20% - Accent1 2 2 3 3 2 3" xfId="1412"/>
    <cellStyle name="20% - Accent1 2 2 3 3 2 3 2" xfId="3219"/>
    <cellStyle name="20% - Accent1 2 2 3 3 2 4" xfId="2641"/>
    <cellStyle name="20% - Accent1 2 2 3 3 2 5" xfId="4590"/>
    <cellStyle name="20% - Accent1 2 2 3 3 2 6" xfId="5348"/>
    <cellStyle name="20% - Accent1 2 2 3 3 3" xfId="1734"/>
    <cellStyle name="20% - Accent1 2 2 3 3 3 2" xfId="3501"/>
    <cellStyle name="20% - Accent1 2 2 3 3 3 3" xfId="4872"/>
    <cellStyle name="20% - Accent1 2 2 3 3 4" xfId="1156"/>
    <cellStyle name="20% - Accent1 2 2 3 3 4 2" xfId="2963"/>
    <cellStyle name="20% - Accent1 2 2 3 3 5" xfId="2387"/>
    <cellStyle name="20% - Accent1 2 2 3 3 6" xfId="4334"/>
    <cellStyle name="20% - Accent1 2 2 3 3 7" xfId="5347"/>
    <cellStyle name="20% - Accent1 2 2 3 4" xfId="827"/>
    <cellStyle name="20% - Accent1 2 2 3 4 2" xfId="1972"/>
    <cellStyle name="20% - Accent1 2 2 3 4 2 2" xfId="3735"/>
    <cellStyle name="20% - Accent1 2 2 3 4 2 3" xfId="5106"/>
    <cellStyle name="20% - Accent1 2 2 3 4 3" xfId="1410"/>
    <cellStyle name="20% - Accent1 2 2 3 4 3 2" xfId="3217"/>
    <cellStyle name="20% - Accent1 2 2 3 4 4" xfId="2639"/>
    <cellStyle name="20% - Accent1 2 2 3 4 5" xfId="4588"/>
    <cellStyle name="20% - Accent1 2 2 3 4 6" xfId="5349"/>
    <cellStyle name="20% - Accent1 2 2 3 5" xfId="1732"/>
    <cellStyle name="20% - Accent1 2 2 3 5 2" xfId="3499"/>
    <cellStyle name="20% - Accent1 2 2 3 5 3" xfId="4870"/>
    <cellStyle name="20% - Accent1 2 2 3 6" xfId="1154"/>
    <cellStyle name="20% - Accent1 2 2 3 6 2" xfId="2961"/>
    <cellStyle name="20% - Accent1 2 2 3 7" xfId="2385"/>
    <cellStyle name="20% - Accent1 2 2 3 8" xfId="4332"/>
    <cellStyle name="20% - Accent1 2 2 3 9" xfId="5344"/>
    <cellStyle name="20% - Accent1 2 2 4" xfId="340"/>
    <cellStyle name="20% - Accent1 2 2 4 2" xfId="830"/>
    <cellStyle name="20% - Accent1 2 2 4 2 2" xfId="1975"/>
    <cellStyle name="20% - Accent1 2 2 4 2 2 2" xfId="3738"/>
    <cellStyle name="20% - Accent1 2 2 4 2 2 3" xfId="5109"/>
    <cellStyle name="20% - Accent1 2 2 4 2 3" xfId="1413"/>
    <cellStyle name="20% - Accent1 2 2 4 2 3 2" xfId="3220"/>
    <cellStyle name="20% - Accent1 2 2 4 2 4" xfId="2642"/>
    <cellStyle name="20% - Accent1 2 2 4 2 5" xfId="4591"/>
    <cellStyle name="20% - Accent1 2 2 4 2 6" xfId="5351"/>
    <cellStyle name="20% - Accent1 2 2 4 3" xfId="1735"/>
    <cellStyle name="20% - Accent1 2 2 4 3 2" xfId="3502"/>
    <cellStyle name="20% - Accent1 2 2 4 3 3" xfId="4873"/>
    <cellStyle name="20% - Accent1 2 2 4 4" xfId="1157"/>
    <cellStyle name="20% - Accent1 2 2 4 4 2" xfId="2964"/>
    <cellStyle name="20% - Accent1 2 2 4 5" xfId="2388"/>
    <cellStyle name="20% - Accent1 2 2 4 6" xfId="4335"/>
    <cellStyle name="20% - Accent1 2 2 4 7" xfId="5350"/>
    <cellStyle name="20% - Accent1 2 2 5" xfId="341"/>
    <cellStyle name="20% - Accent1 2 2 5 2" xfId="831"/>
    <cellStyle name="20% - Accent1 2 2 5 2 2" xfId="1976"/>
    <cellStyle name="20% - Accent1 2 2 5 2 2 2" xfId="3739"/>
    <cellStyle name="20% - Accent1 2 2 5 2 2 3" xfId="5110"/>
    <cellStyle name="20% - Accent1 2 2 5 2 3" xfId="1414"/>
    <cellStyle name="20% - Accent1 2 2 5 2 3 2" xfId="3221"/>
    <cellStyle name="20% - Accent1 2 2 5 2 4" xfId="2643"/>
    <cellStyle name="20% - Accent1 2 2 5 2 5" xfId="4592"/>
    <cellStyle name="20% - Accent1 2 2 5 2 6" xfId="5353"/>
    <cellStyle name="20% - Accent1 2 2 5 3" xfId="1736"/>
    <cellStyle name="20% - Accent1 2 2 5 3 2" xfId="3503"/>
    <cellStyle name="20% - Accent1 2 2 5 3 3" xfId="4874"/>
    <cellStyle name="20% - Accent1 2 2 5 4" xfId="1158"/>
    <cellStyle name="20% - Accent1 2 2 5 4 2" xfId="2965"/>
    <cellStyle name="20% - Accent1 2 2 5 5" xfId="2389"/>
    <cellStyle name="20% - Accent1 2 2 5 6" xfId="4336"/>
    <cellStyle name="20% - Accent1 2 2 5 7" xfId="5352"/>
    <cellStyle name="20% - Accent1 2 2 6" xfId="823"/>
    <cellStyle name="20% - Accent1 2 2 6 2" xfId="1968"/>
    <cellStyle name="20% - Accent1 2 2 6 2 2" xfId="3731"/>
    <cellStyle name="20% - Accent1 2 2 6 2 3" xfId="5102"/>
    <cellStyle name="20% - Accent1 2 2 6 3" xfId="1406"/>
    <cellStyle name="20% - Accent1 2 2 6 3 2" xfId="3213"/>
    <cellStyle name="20% - Accent1 2 2 6 4" xfId="2635"/>
    <cellStyle name="20% - Accent1 2 2 6 5" xfId="4584"/>
    <cellStyle name="20% - Accent1 2 2 6 6" xfId="5354"/>
    <cellStyle name="20% - Accent1 2 2 7" xfId="1728"/>
    <cellStyle name="20% - Accent1 2 2 7 2" xfId="3495"/>
    <cellStyle name="20% - Accent1 2 2 7 3" xfId="4866"/>
    <cellStyle name="20% - Accent1 2 2 8" xfId="1150"/>
    <cellStyle name="20% - Accent1 2 2 8 2" xfId="2957"/>
    <cellStyle name="20% - Accent1 2 2 9" xfId="2381"/>
    <cellStyle name="20% - Accent1 2 3" xfId="342"/>
    <cellStyle name="20% - Accent1 2 4" xfId="343"/>
    <cellStyle name="20% - Accent1 3" xfId="221"/>
    <cellStyle name="20% - Accent1 3 2" xfId="344"/>
    <cellStyle name="20% - Accent1 3 3" xfId="2206"/>
    <cellStyle name="20% - Accent1 3 3 2" xfId="3953"/>
    <cellStyle name="20% - Accent1 3 4" xfId="2283"/>
    <cellStyle name="20% - Accent1 3 5" xfId="4049"/>
    <cellStyle name="20% - Accent1 3 6" xfId="4127"/>
    <cellStyle name="20% - Accent1 3 7" xfId="4204"/>
    <cellStyle name="20% - Accent1 3 8" xfId="4281"/>
    <cellStyle name="20% - Accent1 3 9" xfId="5945"/>
    <cellStyle name="20% - Accent1 4" xfId="345"/>
    <cellStyle name="20% - Accent1 5" xfId="805"/>
    <cellStyle name="20% - Accent1 5 2" xfId="1950"/>
    <cellStyle name="20% - Accent1 5 2 2" xfId="3713"/>
    <cellStyle name="20% - Accent1 5 2 3" xfId="5084"/>
    <cellStyle name="20% - Accent1 5 3" xfId="1388"/>
    <cellStyle name="20% - Accent1 5 3 2" xfId="3195"/>
    <cellStyle name="20% - Accent1 5 4" xfId="2617"/>
    <cellStyle name="20% - Accent1 5 5" xfId="4566"/>
    <cellStyle name="20% - Accent1 5 6" xfId="5355"/>
    <cellStyle name="20% - Accent1 6" xfId="303"/>
    <cellStyle name="20% - Accent1 6 2" xfId="1629"/>
    <cellStyle name="20% - Accent1 6 2 2" xfId="3436"/>
    <cellStyle name="20% - Accent1 6 3" xfId="2362"/>
    <cellStyle name="20% - Accent1 6 4" xfId="4807"/>
    <cellStyle name="20% - Accent1 7" xfId="1072"/>
    <cellStyle name="20% - Accent1 7 2" xfId="2882"/>
    <cellStyle name="20% - Accent1 8" xfId="1132"/>
    <cellStyle name="20% - Accent1 8 2" xfId="2939"/>
    <cellStyle name="20% - Accent1 9" xfId="18"/>
    <cellStyle name="20% - Accent1 9 2" xfId="2224"/>
    <cellStyle name="20% - Accent2" xfId="3983" builtinId="34" customBuiltin="1"/>
    <cellStyle name="20% - Accent2 10" xfId="4069"/>
    <cellStyle name="20% - Accent2 11" xfId="4146"/>
    <cellStyle name="20% - Accent2 12" xfId="4223"/>
    <cellStyle name="20% - Accent2 13" xfId="4297"/>
    <cellStyle name="20% - Accent2 14" xfId="5326"/>
    <cellStyle name="20% - Accent2 15" xfId="5861"/>
    <cellStyle name="20% - Accent2 2" xfId="68"/>
    <cellStyle name="20% - Accent2 2 2" xfId="346"/>
    <cellStyle name="20% - Accent2 2 2 10" xfId="4337"/>
    <cellStyle name="20% - Accent2 2 2 11" xfId="5356"/>
    <cellStyle name="20% - Accent2 2 2 2" xfId="347"/>
    <cellStyle name="20% - Accent2 2 2 2 2" xfId="348"/>
    <cellStyle name="20% - Accent2 2 2 2 2 2" xfId="834"/>
    <cellStyle name="20% - Accent2 2 2 2 2 2 2" xfId="1979"/>
    <cellStyle name="20% - Accent2 2 2 2 2 2 2 2" xfId="3742"/>
    <cellStyle name="20% - Accent2 2 2 2 2 2 2 3" xfId="5113"/>
    <cellStyle name="20% - Accent2 2 2 2 2 2 3" xfId="1417"/>
    <cellStyle name="20% - Accent2 2 2 2 2 2 3 2" xfId="3224"/>
    <cellStyle name="20% - Accent2 2 2 2 2 2 4" xfId="2646"/>
    <cellStyle name="20% - Accent2 2 2 2 2 2 5" xfId="4595"/>
    <cellStyle name="20% - Accent2 2 2 2 2 2 6" xfId="5359"/>
    <cellStyle name="20% - Accent2 2 2 2 2 3" xfId="1739"/>
    <cellStyle name="20% - Accent2 2 2 2 2 3 2" xfId="3506"/>
    <cellStyle name="20% - Accent2 2 2 2 2 3 3" xfId="4877"/>
    <cellStyle name="20% - Accent2 2 2 2 2 4" xfId="1161"/>
    <cellStyle name="20% - Accent2 2 2 2 2 4 2" xfId="2968"/>
    <cellStyle name="20% - Accent2 2 2 2 2 5" xfId="2392"/>
    <cellStyle name="20% - Accent2 2 2 2 2 6" xfId="4339"/>
    <cellStyle name="20% - Accent2 2 2 2 2 7" xfId="5358"/>
    <cellStyle name="20% - Accent2 2 2 2 3" xfId="349"/>
    <cellStyle name="20% - Accent2 2 2 2 3 2" xfId="835"/>
    <cellStyle name="20% - Accent2 2 2 2 3 2 2" xfId="1980"/>
    <cellStyle name="20% - Accent2 2 2 2 3 2 2 2" xfId="3743"/>
    <cellStyle name="20% - Accent2 2 2 2 3 2 2 3" xfId="5114"/>
    <cellStyle name="20% - Accent2 2 2 2 3 2 3" xfId="1418"/>
    <cellStyle name="20% - Accent2 2 2 2 3 2 3 2" xfId="3225"/>
    <cellStyle name="20% - Accent2 2 2 2 3 2 4" xfId="2647"/>
    <cellStyle name="20% - Accent2 2 2 2 3 2 5" xfId="4596"/>
    <cellStyle name="20% - Accent2 2 2 2 3 2 6" xfId="5361"/>
    <cellStyle name="20% - Accent2 2 2 2 3 3" xfId="1740"/>
    <cellStyle name="20% - Accent2 2 2 2 3 3 2" xfId="3507"/>
    <cellStyle name="20% - Accent2 2 2 2 3 3 3" xfId="4878"/>
    <cellStyle name="20% - Accent2 2 2 2 3 4" xfId="1162"/>
    <cellStyle name="20% - Accent2 2 2 2 3 4 2" xfId="2969"/>
    <cellStyle name="20% - Accent2 2 2 2 3 5" xfId="2393"/>
    <cellStyle name="20% - Accent2 2 2 2 3 6" xfId="4340"/>
    <cellStyle name="20% - Accent2 2 2 2 3 7" xfId="5360"/>
    <cellStyle name="20% - Accent2 2 2 2 4" xfId="833"/>
    <cellStyle name="20% - Accent2 2 2 2 4 2" xfId="1978"/>
    <cellStyle name="20% - Accent2 2 2 2 4 2 2" xfId="3741"/>
    <cellStyle name="20% - Accent2 2 2 2 4 2 3" xfId="5112"/>
    <cellStyle name="20% - Accent2 2 2 2 4 3" xfId="1416"/>
    <cellStyle name="20% - Accent2 2 2 2 4 3 2" xfId="3223"/>
    <cellStyle name="20% - Accent2 2 2 2 4 4" xfId="2645"/>
    <cellStyle name="20% - Accent2 2 2 2 4 5" xfId="4594"/>
    <cellStyle name="20% - Accent2 2 2 2 4 6" xfId="5362"/>
    <cellStyle name="20% - Accent2 2 2 2 5" xfId="1738"/>
    <cellStyle name="20% - Accent2 2 2 2 5 2" xfId="3505"/>
    <cellStyle name="20% - Accent2 2 2 2 5 3" xfId="4876"/>
    <cellStyle name="20% - Accent2 2 2 2 6" xfId="1160"/>
    <cellStyle name="20% - Accent2 2 2 2 6 2" xfId="2967"/>
    <cellStyle name="20% - Accent2 2 2 2 7" xfId="2391"/>
    <cellStyle name="20% - Accent2 2 2 2 8" xfId="4338"/>
    <cellStyle name="20% - Accent2 2 2 2 9" xfId="5357"/>
    <cellStyle name="20% - Accent2 2 2 3" xfId="350"/>
    <cellStyle name="20% - Accent2 2 2 3 2" xfId="351"/>
    <cellStyle name="20% - Accent2 2 2 3 2 2" xfId="837"/>
    <cellStyle name="20% - Accent2 2 2 3 2 2 2" xfId="1982"/>
    <cellStyle name="20% - Accent2 2 2 3 2 2 2 2" xfId="3745"/>
    <cellStyle name="20% - Accent2 2 2 3 2 2 2 3" xfId="5116"/>
    <cellStyle name="20% - Accent2 2 2 3 2 2 3" xfId="1420"/>
    <cellStyle name="20% - Accent2 2 2 3 2 2 3 2" xfId="3227"/>
    <cellStyle name="20% - Accent2 2 2 3 2 2 4" xfId="2649"/>
    <cellStyle name="20% - Accent2 2 2 3 2 2 5" xfId="4598"/>
    <cellStyle name="20% - Accent2 2 2 3 2 2 6" xfId="5365"/>
    <cellStyle name="20% - Accent2 2 2 3 2 3" xfId="1742"/>
    <cellStyle name="20% - Accent2 2 2 3 2 3 2" xfId="3509"/>
    <cellStyle name="20% - Accent2 2 2 3 2 3 3" xfId="4880"/>
    <cellStyle name="20% - Accent2 2 2 3 2 4" xfId="1164"/>
    <cellStyle name="20% - Accent2 2 2 3 2 4 2" xfId="2971"/>
    <cellStyle name="20% - Accent2 2 2 3 2 5" xfId="2395"/>
    <cellStyle name="20% - Accent2 2 2 3 2 6" xfId="4342"/>
    <cellStyle name="20% - Accent2 2 2 3 2 7" xfId="5364"/>
    <cellStyle name="20% - Accent2 2 2 3 3" xfId="352"/>
    <cellStyle name="20% - Accent2 2 2 3 3 2" xfId="838"/>
    <cellStyle name="20% - Accent2 2 2 3 3 2 2" xfId="1983"/>
    <cellStyle name="20% - Accent2 2 2 3 3 2 2 2" xfId="3746"/>
    <cellStyle name="20% - Accent2 2 2 3 3 2 2 3" xfId="5117"/>
    <cellStyle name="20% - Accent2 2 2 3 3 2 3" xfId="1421"/>
    <cellStyle name="20% - Accent2 2 2 3 3 2 3 2" xfId="3228"/>
    <cellStyle name="20% - Accent2 2 2 3 3 2 4" xfId="2650"/>
    <cellStyle name="20% - Accent2 2 2 3 3 2 5" xfId="4599"/>
    <cellStyle name="20% - Accent2 2 2 3 3 2 6" xfId="5367"/>
    <cellStyle name="20% - Accent2 2 2 3 3 3" xfId="1743"/>
    <cellStyle name="20% - Accent2 2 2 3 3 3 2" xfId="3510"/>
    <cellStyle name="20% - Accent2 2 2 3 3 3 3" xfId="4881"/>
    <cellStyle name="20% - Accent2 2 2 3 3 4" xfId="1165"/>
    <cellStyle name="20% - Accent2 2 2 3 3 4 2" xfId="2972"/>
    <cellStyle name="20% - Accent2 2 2 3 3 5" xfId="2396"/>
    <cellStyle name="20% - Accent2 2 2 3 3 6" xfId="4343"/>
    <cellStyle name="20% - Accent2 2 2 3 3 7" xfId="5366"/>
    <cellStyle name="20% - Accent2 2 2 3 4" xfId="836"/>
    <cellStyle name="20% - Accent2 2 2 3 4 2" xfId="1981"/>
    <cellStyle name="20% - Accent2 2 2 3 4 2 2" xfId="3744"/>
    <cellStyle name="20% - Accent2 2 2 3 4 2 3" xfId="5115"/>
    <cellStyle name="20% - Accent2 2 2 3 4 3" xfId="1419"/>
    <cellStyle name="20% - Accent2 2 2 3 4 3 2" xfId="3226"/>
    <cellStyle name="20% - Accent2 2 2 3 4 4" xfId="2648"/>
    <cellStyle name="20% - Accent2 2 2 3 4 5" xfId="4597"/>
    <cellStyle name="20% - Accent2 2 2 3 4 6" xfId="5368"/>
    <cellStyle name="20% - Accent2 2 2 3 5" xfId="1741"/>
    <cellStyle name="20% - Accent2 2 2 3 5 2" xfId="3508"/>
    <cellStyle name="20% - Accent2 2 2 3 5 3" xfId="4879"/>
    <cellStyle name="20% - Accent2 2 2 3 6" xfId="1163"/>
    <cellStyle name="20% - Accent2 2 2 3 6 2" xfId="2970"/>
    <cellStyle name="20% - Accent2 2 2 3 7" xfId="2394"/>
    <cellStyle name="20% - Accent2 2 2 3 8" xfId="4341"/>
    <cellStyle name="20% - Accent2 2 2 3 9" xfId="5363"/>
    <cellStyle name="20% - Accent2 2 2 4" xfId="353"/>
    <cellStyle name="20% - Accent2 2 2 4 2" xfId="839"/>
    <cellStyle name="20% - Accent2 2 2 4 2 2" xfId="1984"/>
    <cellStyle name="20% - Accent2 2 2 4 2 2 2" xfId="3747"/>
    <cellStyle name="20% - Accent2 2 2 4 2 2 3" xfId="5118"/>
    <cellStyle name="20% - Accent2 2 2 4 2 3" xfId="1422"/>
    <cellStyle name="20% - Accent2 2 2 4 2 3 2" xfId="3229"/>
    <cellStyle name="20% - Accent2 2 2 4 2 4" xfId="2651"/>
    <cellStyle name="20% - Accent2 2 2 4 2 5" xfId="4600"/>
    <cellStyle name="20% - Accent2 2 2 4 2 6" xfId="5370"/>
    <cellStyle name="20% - Accent2 2 2 4 3" xfId="1744"/>
    <cellStyle name="20% - Accent2 2 2 4 3 2" xfId="3511"/>
    <cellStyle name="20% - Accent2 2 2 4 3 3" xfId="4882"/>
    <cellStyle name="20% - Accent2 2 2 4 4" xfId="1166"/>
    <cellStyle name="20% - Accent2 2 2 4 4 2" xfId="2973"/>
    <cellStyle name="20% - Accent2 2 2 4 5" xfId="2397"/>
    <cellStyle name="20% - Accent2 2 2 4 6" xfId="4344"/>
    <cellStyle name="20% - Accent2 2 2 4 7" xfId="5369"/>
    <cellStyle name="20% - Accent2 2 2 5" xfId="354"/>
    <cellStyle name="20% - Accent2 2 2 5 2" xfId="840"/>
    <cellStyle name="20% - Accent2 2 2 5 2 2" xfId="1985"/>
    <cellStyle name="20% - Accent2 2 2 5 2 2 2" xfId="3748"/>
    <cellStyle name="20% - Accent2 2 2 5 2 2 3" xfId="5119"/>
    <cellStyle name="20% - Accent2 2 2 5 2 3" xfId="1423"/>
    <cellStyle name="20% - Accent2 2 2 5 2 3 2" xfId="3230"/>
    <cellStyle name="20% - Accent2 2 2 5 2 4" xfId="2652"/>
    <cellStyle name="20% - Accent2 2 2 5 2 5" xfId="4601"/>
    <cellStyle name="20% - Accent2 2 2 5 2 6" xfId="5372"/>
    <cellStyle name="20% - Accent2 2 2 5 3" xfId="1745"/>
    <cellStyle name="20% - Accent2 2 2 5 3 2" xfId="3512"/>
    <cellStyle name="20% - Accent2 2 2 5 3 3" xfId="4883"/>
    <cellStyle name="20% - Accent2 2 2 5 4" xfId="1167"/>
    <cellStyle name="20% - Accent2 2 2 5 4 2" xfId="2974"/>
    <cellStyle name="20% - Accent2 2 2 5 5" xfId="2398"/>
    <cellStyle name="20% - Accent2 2 2 5 6" xfId="4345"/>
    <cellStyle name="20% - Accent2 2 2 5 7" xfId="5371"/>
    <cellStyle name="20% - Accent2 2 2 6" xfId="832"/>
    <cellStyle name="20% - Accent2 2 2 6 2" xfId="1977"/>
    <cellStyle name="20% - Accent2 2 2 6 2 2" xfId="3740"/>
    <cellStyle name="20% - Accent2 2 2 6 2 3" xfId="5111"/>
    <cellStyle name="20% - Accent2 2 2 6 3" xfId="1415"/>
    <cellStyle name="20% - Accent2 2 2 6 3 2" xfId="3222"/>
    <cellStyle name="20% - Accent2 2 2 6 4" xfId="2644"/>
    <cellStyle name="20% - Accent2 2 2 6 5" xfId="4593"/>
    <cellStyle name="20% - Accent2 2 2 6 6" xfId="5373"/>
    <cellStyle name="20% - Accent2 2 2 7" xfId="1737"/>
    <cellStyle name="20% - Accent2 2 2 7 2" xfId="3504"/>
    <cellStyle name="20% - Accent2 2 2 7 3" xfId="4875"/>
    <cellStyle name="20% - Accent2 2 2 8" xfId="1159"/>
    <cellStyle name="20% - Accent2 2 2 8 2" xfId="2966"/>
    <cellStyle name="20% - Accent2 2 2 9" xfId="2390"/>
    <cellStyle name="20% - Accent2 2 3" xfId="355"/>
    <cellStyle name="20% - Accent2 2 4" xfId="356"/>
    <cellStyle name="20% - Accent2 3" xfId="223"/>
    <cellStyle name="20% - Accent2 3 2" xfId="357"/>
    <cellStyle name="20% - Accent2 3 3" xfId="2209"/>
    <cellStyle name="20% - Accent2 3 3 2" xfId="3955"/>
    <cellStyle name="20% - Accent2 3 4" xfId="2285"/>
    <cellStyle name="20% - Accent2 3 5" xfId="4051"/>
    <cellStyle name="20% - Accent2 3 6" xfId="4129"/>
    <cellStyle name="20% - Accent2 3 7" xfId="4206"/>
    <cellStyle name="20% - Accent2 3 8" xfId="4283"/>
    <cellStyle name="20% - Accent2 3 9" xfId="5947"/>
    <cellStyle name="20% - Accent2 4" xfId="358"/>
    <cellStyle name="20% - Accent2 5" xfId="807"/>
    <cellStyle name="20% - Accent2 5 2" xfId="1952"/>
    <cellStyle name="20% - Accent2 5 2 2" xfId="3715"/>
    <cellStyle name="20% - Accent2 5 2 3" xfId="5086"/>
    <cellStyle name="20% - Accent2 5 3" xfId="1390"/>
    <cellStyle name="20% - Accent2 5 3 2" xfId="3197"/>
    <cellStyle name="20% - Accent2 5 4" xfId="2619"/>
    <cellStyle name="20% - Accent2 5 5" xfId="4568"/>
    <cellStyle name="20% - Accent2 5 6" xfId="5374"/>
    <cellStyle name="20% - Accent2 6" xfId="305"/>
    <cellStyle name="20% - Accent2 6 2" xfId="1630"/>
    <cellStyle name="20% - Accent2 6 2 2" xfId="3437"/>
    <cellStyle name="20% - Accent2 6 3" xfId="2364"/>
    <cellStyle name="20% - Accent2 6 4" xfId="4808"/>
    <cellStyle name="20% - Accent2 7" xfId="1074"/>
    <cellStyle name="20% - Accent2 7 2" xfId="2884"/>
    <cellStyle name="20% - Accent2 8" xfId="1134"/>
    <cellStyle name="20% - Accent2 8 2" xfId="2941"/>
    <cellStyle name="20% - Accent2 9" xfId="21"/>
    <cellStyle name="20% - Accent2 9 2" xfId="2226"/>
    <cellStyle name="20% - Accent3" xfId="3986" builtinId="38" customBuiltin="1"/>
    <cellStyle name="20% - Accent3 10" xfId="4071"/>
    <cellStyle name="20% - Accent3 11" xfId="4148"/>
    <cellStyle name="20% - Accent3 12" xfId="4225"/>
    <cellStyle name="20% - Accent3 13" xfId="4299"/>
    <cellStyle name="20% - Accent3 14" xfId="5328"/>
    <cellStyle name="20% - Accent3 15" xfId="5863"/>
    <cellStyle name="20% - Accent3 2" xfId="69"/>
    <cellStyle name="20% - Accent3 2 2" xfId="359"/>
    <cellStyle name="20% - Accent3 2 2 10" xfId="4346"/>
    <cellStyle name="20% - Accent3 2 2 11" xfId="5375"/>
    <cellStyle name="20% - Accent3 2 2 2" xfId="360"/>
    <cellStyle name="20% - Accent3 2 2 2 2" xfId="361"/>
    <cellStyle name="20% - Accent3 2 2 2 2 2" xfId="843"/>
    <cellStyle name="20% - Accent3 2 2 2 2 2 2" xfId="1988"/>
    <cellStyle name="20% - Accent3 2 2 2 2 2 2 2" xfId="3751"/>
    <cellStyle name="20% - Accent3 2 2 2 2 2 2 3" xfId="5122"/>
    <cellStyle name="20% - Accent3 2 2 2 2 2 3" xfId="1426"/>
    <cellStyle name="20% - Accent3 2 2 2 2 2 3 2" xfId="3233"/>
    <cellStyle name="20% - Accent3 2 2 2 2 2 4" xfId="2655"/>
    <cellStyle name="20% - Accent3 2 2 2 2 2 5" xfId="4604"/>
    <cellStyle name="20% - Accent3 2 2 2 2 2 6" xfId="5378"/>
    <cellStyle name="20% - Accent3 2 2 2 2 3" xfId="1748"/>
    <cellStyle name="20% - Accent3 2 2 2 2 3 2" xfId="3515"/>
    <cellStyle name="20% - Accent3 2 2 2 2 3 3" xfId="4886"/>
    <cellStyle name="20% - Accent3 2 2 2 2 4" xfId="1170"/>
    <cellStyle name="20% - Accent3 2 2 2 2 4 2" xfId="2977"/>
    <cellStyle name="20% - Accent3 2 2 2 2 5" xfId="2401"/>
    <cellStyle name="20% - Accent3 2 2 2 2 6" xfId="4348"/>
    <cellStyle name="20% - Accent3 2 2 2 2 7" xfId="5377"/>
    <cellStyle name="20% - Accent3 2 2 2 3" xfId="362"/>
    <cellStyle name="20% - Accent3 2 2 2 3 2" xfId="844"/>
    <cellStyle name="20% - Accent3 2 2 2 3 2 2" xfId="1989"/>
    <cellStyle name="20% - Accent3 2 2 2 3 2 2 2" xfId="3752"/>
    <cellStyle name="20% - Accent3 2 2 2 3 2 2 3" xfId="5123"/>
    <cellStyle name="20% - Accent3 2 2 2 3 2 3" xfId="1427"/>
    <cellStyle name="20% - Accent3 2 2 2 3 2 3 2" xfId="3234"/>
    <cellStyle name="20% - Accent3 2 2 2 3 2 4" xfId="2656"/>
    <cellStyle name="20% - Accent3 2 2 2 3 2 5" xfId="4605"/>
    <cellStyle name="20% - Accent3 2 2 2 3 2 6" xfId="5380"/>
    <cellStyle name="20% - Accent3 2 2 2 3 3" xfId="1749"/>
    <cellStyle name="20% - Accent3 2 2 2 3 3 2" xfId="3516"/>
    <cellStyle name="20% - Accent3 2 2 2 3 3 3" xfId="4887"/>
    <cellStyle name="20% - Accent3 2 2 2 3 4" xfId="1171"/>
    <cellStyle name="20% - Accent3 2 2 2 3 4 2" xfId="2978"/>
    <cellStyle name="20% - Accent3 2 2 2 3 5" xfId="2402"/>
    <cellStyle name="20% - Accent3 2 2 2 3 6" xfId="4349"/>
    <cellStyle name="20% - Accent3 2 2 2 3 7" xfId="5379"/>
    <cellStyle name="20% - Accent3 2 2 2 4" xfId="842"/>
    <cellStyle name="20% - Accent3 2 2 2 4 2" xfId="1987"/>
    <cellStyle name="20% - Accent3 2 2 2 4 2 2" xfId="3750"/>
    <cellStyle name="20% - Accent3 2 2 2 4 2 3" xfId="5121"/>
    <cellStyle name="20% - Accent3 2 2 2 4 3" xfId="1425"/>
    <cellStyle name="20% - Accent3 2 2 2 4 3 2" xfId="3232"/>
    <cellStyle name="20% - Accent3 2 2 2 4 4" xfId="2654"/>
    <cellStyle name="20% - Accent3 2 2 2 4 5" xfId="4603"/>
    <cellStyle name="20% - Accent3 2 2 2 4 6" xfId="5381"/>
    <cellStyle name="20% - Accent3 2 2 2 5" xfId="1747"/>
    <cellStyle name="20% - Accent3 2 2 2 5 2" xfId="3514"/>
    <cellStyle name="20% - Accent3 2 2 2 5 3" xfId="4885"/>
    <cellStyle name="20% - Accent3 2 2 2 6" xfId="1169"/>
    <cellStyle name="20% - Accent3 2 2 2 6 2" xfId="2976"/>
    <cellStyle name="20% - Accent3 2 2 2 7" xfId="2400"/>
    <cellStyle name="20% - Accent3 2 2 2 8" xfId="4347"/>
    <cellStyle name="20% - Accent3 2 2 2 9" xfId="5376"/>
    <cellStyle name="20% - Accent3 2 2 3" xfId="363"/>
    <cellStyle name="20% - Accent3 2 2 3 2" xfId="364"/>
    <cellStyle name="20% - Accent3 2 2 3 2 2" xfId="846"/>
    <cellStyle name="20% - Accent3 2 2 3 2 2 2" xfId="1991"/>
    <cellStyle name="20% - Accent3 2 2 3 2 2 2 2" xfId="3754"/>
    <cellStyle name="20% - Accent3 2 2 3 2 2 2 3" xfId="5125"/>
    <cellStyle name="20% - Accent3 2 2 3 2 2 3" xfId="1429"/>
    <cellStyle name="20% - Accent3 2 2 3 2 2 3 2" xfId="3236"/>
    <cellStyle name="20% - Accent3 2 2 3 2 2 4" xfId="2658"/>
    <cellStyle name="20% - Accent3 2 2 3 2 2 5" xfId="4607"/>
    <cellStyle name="20% - Accent3 2 2 3 2 2 6" xfId="5384"/>
    <cellStyle name="20% - Accent3 2 2 3 2 3" xfId="1751"/>
    <cellStyle name="20% - Accent3 2 2 3 2 3 2" xfId="3518"/>
    <cellStyle name="20% - Accent3 2 2 3 2 3 3" xfId="4889"/>
    <cellStyle name="20% - Accent3 2 2 3 2 4" xfId="1173"/>
    <cellStyle name="20% - Accent3 2 2 3 2 4 2" xfId="2980"/>
    <cellStyle name="20% - Accent3 2 2 3 2 5" xfId="2404"/>
    <cellStyle name="20% - Accent3 2 2 3 2 6" xfId="4351"/>
    <cellStyle name="20% - Accent3 2 2 3 2 7" xfId="5383"/>
    <cellStyle name="20% - Accent3 2 2 3 3" xfId="365"/>
    <cellStyle name="20% - Accent3 2 2 3 3 2" xfId="847"/>
    <cellStyle name="20% - Accent3 2 2 3 3 2 2" xfId="1992"/>
    <cellStyle name="20% - Accent3 2 2 3 3 2 2 2" xfId="3755"/>
    <cellStyle name="20% - Accent3 2 2 3 3 2 2 3" xfId="5126"/>
    <cellStyle name="20% - Accent3 2 2 3 3 2 3" xfId="1430"/>
    <cellStyle name="20% - Accent3 2 2 3 3 2 3 2" xfId="3237"/>
    <cellStyle name="20% - Accent3 2 2 3 3 2 4" xfId="2659"/>
    <cellStyle name="20% - Accent3 2 2 3 3 2 5" xfId="4608"/>
    <cellStyle name="20% - Accent3 2 2 3 3 2 6" xfId="5386"/>
    <cellStyle name="20% - Accent3 2 2 3 3 3" xfId="1752"/>
    <cellStyle name="20% - Accent3 2 2 3 3 3 2" xfId="3519"/>
    <cellStyle name="20% - Accent3 2 2 3 3 3 3" xfId="4890"/>
    <cellStyle name="20% - Accent3 2 2 3 3 4" xfId="1174"/>
    <cellStyle name="20% - Accent3 2 2 3 3 4 2" xfId="2981"/>
    <cellStyle name="20% - Accent3 2 2 3 3 5" xfId="2405"/>
    <cellStyle name="20% - Accent3 2 2 3 3 6" xfId="4352"/>
    <cellStyle name="20% - Accent3 2 2 3 3 7" xfId="5385"/>
    <cellStyle name="20% - Accent3 2 2 3 4" xfId="845"/>
    <cellStyle name="20% - Accent3 2 2 3 4 2" xfId="1990"/>
    <cellStyle name="20% - Accent3 2 2 3 4 2 2" xfId="3753"/>
    <cellStyle name="20% - Accent3 2 2 3 4 2 3" xfId="5124"/>
    <cellStyle name="20% - Accent3 2 2 3 4 3" xfId="1428"/>
    <cellStyle name="20% - Accent3 2 2 3 4 3 2" xfId="3235"/>
    <cellStyle name="20% - Accent3 2 2 3 4 4" xfId="2657"/>
    <cellStyle name="20% - Accent3 2 2 3 4 5" xfId="4606"/>
    <cellStyle name="20% - Accent3 2 2 3 4 6" xfId="5387"/>
    <cellStyle name="20% - Accent3 2 2 3 5" xfId="1750"/>
    <cellStyle name="20% - Accent3 2 2 3 5 2" xfId="3517"/>
    <cellStyle name="20% - Accent3 2 2 3 5 3" xfId="4888"/>
    <cellStyle name="20% - Accent3 2 2 3 6" xfId="1172"/>
    <cellStyle name="20% - Accent3 2 2 3 6 2" xfId="2979"/>
    <cellStyle name="20% - Accent3 2 2 3 7" xfId="2403"/>
    <cellStyle name="20% - Accent3 2 2 3 8" xfId="4350"/>
    <cellStyle name="20% - Accent3 2 2 3 9" xfId="5382"/>
    <cellStyle name="20% - Accent3 2 2 4" xfId="366"/>
    <cellStyle name="20% - Accent3 2 2 4 2" xfId="848"/>
    <cellStyle name="20% - Accent3 2 2 4 2 2" xfId="1993"/>
    <cellStyle name="20% - Accent3 2 2 4 2 2 2" xfId="3756"/>
    <cellStyle name="20% - Accent3 2 2 4 2 2 3" xfId="5127"/>
    <cellStyle name="20% - Accent3 2 2 4 2 3" xfId="1431"/>
    <cellStyle name="20% - Accent3 2 2 4 2 3 2" xfId="3238"/>
    <cellStyle name="20% - Accent3 2 2 4 2 4" xfId="2660"/>
    <cellStyle name="20% - Accent3 2 2 4 2 5" xfId="4609"/>
    <cellStyle name="20% - Accent3 2 2 4 2 6" xfId="5389"/>
    <cellStyle name="20% - Accent3 2 2 4 3" xfId="1753"/>
    <cellStyle name="20% - Accent3 2 2 4 3 2" xfId="3520"/>
    <cellStyle name="20% - Accent3 2 2 4 3 3" xfId="4891"/>
    <cellStyle name="20% - Accent3 2 2 4 4" xfId="1175"/>
    <cellStyle name="20% - Accent3 2 2 4 4 2" xfId="2982"/>
    <cellStyle name="20% - Accent3 2 2 4 5" xfId="2406"/>
    <cellStyle name="20% - Accent3 2 2 4 6" xfId="4353"/>
    <cellStyle name="20% - Accent3 2 2 4 7" xfId="5388"/>
    <cellStyle name="20% - Accent3 2 2 5" xfId="367"/>
    <cellStyle name="20% - Accent3 2 2 5 2" xfId="849"/>
    <cellStyle name="20% - Accent3 2 2 5 2 2" xfId="1994"/>
    <cellStyle name="20% - Accent3 2 2 5 2 2 2" xfId="3757"/>
    <cellStyle name="20% - Accent3 2 2 5 2 2 3" xfId="5128"/>
    <cellStyle name="20% - Accent3 2 2 5 2 3" xfId="1432"/>
    <cellStyle name="20% - Accent3 2 2 5 2 3 2" xfId="3239"/>
    <cellStyle name="20% - Accent3 2 2 5 2 4" xfId="2661"/>
    <cellStyle name="20% - Accent3 2 2 5 2 5" xfId="4610"/>
    <cellStyle name="20% - Accent3 2 2 5 2 6" xfId="5391"/>
    <cellStyle name="20% - Accent3 2 2 5 3" xfId="1754"/>
    <cellStyle name="20% - Accent3 2 2 5 3 2" xfId="3521"/>
    <cellStyle name="20% - Accent3 2 2 5 3 3" xfId="4892"/>
    <cellStyle name="20% - Accent3 2 2 5 4" xfId="1176"/>
    <cellStyle name="20% - Accent3 2 2 5 4 2" xfId="2983"/>
    <cellStyle name="20% - Accent3 2 2 5 5" xfId="2407"/>
    <cellStyle name="20% - Accent3 2 2 5 6" xfId="4354"/>
    <cellStyle name="20% - Accent3 2 2 5 7" xfId="5390"/>
    <cellStyle name="20% - Accent3 2 2 6" xfId="841"/>
    <cellStyle name="20% - Accent3 2 2 6 2" xfId="1986"/>
    <cellStyle name="20% - Accent3 2 2 6 2 2" xfId="3749"/>
    <cellStyle name="20% - Accent3 2 2 6 2 3" xfId="5120"/>
    <cellStyle name="20% - Accent3 2 2 6 3" xfId="1424"/>
    <cellStyle name="20% - Accent3 2 2 6 3 2" xfId="3231"/>
    <cellStyle name="20% - Accent3 2 2 6 4" xfId="2653"/>
    <cellStyle name="20% - Accent3 2 2 6 5" xfId="4602"/>
    <cellStyle name="20% - Accent3 2 2 6 6" xfId="5392"/>
    <cellStyle name="20% - Accent3 2 2 7" xfId="1746"/>
    <cellStyle name="20% - Accent3 2 2 7 2" xfId="3513"/>
    <cellStyle name="20% - Accent3 2 2 7 3" xfId="4884"/>
    <cellStyle name="20% - Accent3 2 2 8" xfId="1168"/>
    <cellStyle name="20% - Accent3 2 2 8 2" xfId="2975"/>
    <cellStyle name="20% - Accent3 2 2 9" xfId="2399"/>
    <cellStyle name="20% - Accent3 2 3" xfId="368"/>
    <cellStyle name="20% - Accent3 2 4" xfId="369"/>
    <cellStyle name="20% - Accent3 3" xfId="225"/>
    <cellStyle name="20% - Accent3 3 2" xfId="370"/>
    <cellStyle name="20% - Accent3 3 3" xfId="2212"/>
    <cellStyle name="20% - Accent3 3 3 2" xfId="3957"/>
    <cellStyle name="20% - Accent3 3 4" xfId="2287"/>
    <cellStyle name="20% - Accent3 3 5" xfId="4053"/>
    <cellStyle name="20% - Accent3 3 6" xfId="4131"/>
    <cellStyle name="20% - Accent3 3 7" xfId="4208"/>
    <cellStyle name="20% - Accent3 3 8" xfId="4285"/>
    <cellStyle name="20% - Accent3 3 9" xfId="5949"/>
    <cellStyle name="20% - Accent3 4" xfId="371"/>
    <cellStyle name="20% - Accent3 5" xfId="809"/>
    <cellStyle name="20% - Accent3 5 2" xfId="1954"/>
    <cellStyle name="20% - Accent3 5 2 2" xfId="3717"/>
    <cellStyle name="20% - Accent3 5 2 3" xfId="5088"/>
    <cellStyle name="20% - Accent3 5 3" xfId="1392"/>
    <cellStyle name="20% - Accent3 5 3 2" xfId="3199"/>
    <cellStyle name="20% - Accent3 5 4" xfId="2621"/>
    <cellStyle name="20% - Accent3 5 5" xfId="4570"/>
    <cellStyle name="20% - Accent3 5 6" xfId="5393"/>
    <cellStyle name="20% - Accent3 6" xfId="307"/>
    <cellStyle name="20% - Accent3 6 2" xfId="1631"/>
    <cellStyle name="20% - Accent3 6 2 2" xfId="3438"/>
    <cellStyle name="20% - Accent3 6 3" xfId="2366"/>
    <cellStyle name="20% - Accent3 6 4" xfId="4809"/>
    <cellStyle name="20% - Accent3 7" xfId="1076"/>
    <cellStyle name="20% - Accent3 7 2" xfId="2886"/>
    <cellStyle name="20% - Accent3 8" xfId="1136"/>
    <cellStyle name="20% - Accent3 8 2" xfId="2943"/>
    <cellStyle name="20% - Accent3 9" xfId="24"/>
    <cellStyle name="20% - Accent3 9 2" xfId="2228"/>
    <cellStyle name="20% - Accent4" xfId="3989" builtinId="42" customBuiltin="1"/>
    <cellStyle name="20% - Accent4 10" xfId="4073"/>
    <cellStyle name="20% - Accent4 11" xfId="4150"/>
    <cellStyle name="20% - Accent4 12" xfId="4227"/>
    <cellStyle name="20% - Accent4 13" xfId="4301"/>
    <cellStyle name="20% - Accent4 14" xfId="5330"/>
    <cellStyle name="20% - Accent4 15" xfId="5865"/>
    <cellStyle name="20% - Accent4 2" xfId="70"/>
    <cellStyle name="20% - Accent4 2 2" xfId="372"/>
    <cellStyle name="20% - Accent4 2 2 10" xfId="4355"/>
    <cellStyle name="20% - Accent4 2 2 11" xfId="5394"/>
    <cellStyle name="20% - Accent4 2 2 2" xfId="373"/>
    <cellStyle name="20% - Accent4 2 2 2 2" xfId="374"/>
    <cellStyle name="20% - Accent4 2 2 2 2 2" xfId="852"/>
    <cellStyle name="20% - Accent4 2 2 2 2 2 2" xfId="1997"/>
    <cellStyle name="20% - Accent4 2 2 2 2 2 2 2" xfId="3760"/>
    <cellStyle name="20% - Accent4 2 2 2 2 2 2 3" xfId="5131"/>
    <cellStyle name="20% - Accent4 2 2 2 2 2 3" xfId="1435"/>
    <cellStyle name="20% - Accent4 2 2 2 2 2 3 2" xfId="3242"/>
    <cellStyle name="20% - Accent4 2 2 2 2 2 4" xfId="2664"/>
    <cellStyle name="20% - Accent4 2 2 2 2 2 5" xfId="4613"/>
    <cellStyle name="20% - Accent4 2 2 2 2 2 6" xfId="5397"/>
    <cellStyle name="20% - Accent4 2 2 2 2 3" xfId="1757"/>
    <cellStyle name="20% - Accent4 2 2 2 2 3 2" xfId="3524"/>
    <cellStyle name="20% - Accent4 2 2 2 2 3 3" xfId="4895"/>
    <cellStyle name="20% - Accent4 2 2 2 2 4" xfId="1179"/>
    <cellStyle name="20% - Accent4 2 2 2 2 4 2" xfId="2986"/>
    <cellStyle name="20% - Accent4 2 2 2 2 5" xfId="2410"/>
    <cellStyle name="20% - Accent4 2 2 2 2 6" xfId="4357"/>
    <cellStyle name="20% - Accent4 2 2 2 2 7" xfId="5396"/>
    <cellStyle name="20% - Accent4 2 2 2 3" xfId="375"/>
    <cellStyle name="20% - Accent4 2 2 2 3 2" xfId="853"/>
    <cellStyle name="20% - Accent4 2 2 2 3 2 2" xfId="1998"/>
    <cellStyle name="20% - Accent4 2 2 2 3 2 2 2" xfId="3761"/>
    <cellStyle name="20% - Accent4 2 2 2 3 2 2 3" xfId="5132"/>
    <cellStyle name="20% - Accent4 2 2 2 3 2 3" xfId="1436"/>
    <cellStyle name="20% - Accent4 2 2 2 3 2 3 2" xfId="3243"/>
    <cellStyle name="20% - Accent4 2 2 2 3 2 4" xfId="2665"/>
    <cellStyle name="20% - Accent4 2 2 2 3 2 5" xfId="4614"/>
    <cellStyle name="20% - Accent4 2 2 2 3 2 6" xfId="5399"/>
    <cellStyle name="20% - Accent4 2 2 2 3 3" xfId="1758"/>
    <cellStyle name="20% - Accent4 2 2 2 3 3 2" xfId="3525"/>
    <cellStyle name="20% - Accent4 2 2 2 3 3 3" xfId="4896"/>
    <cellStyle name="20% - Accent4 2 2 2 3 4" xfId="1180"/>
    <cellStyle name="20% - Accent4 2 2 2 3 4 2" xfId="2987"/>
    <cellStyle name="20% - Accent4 2 2 2 3 5" xfId="2411"/>
    <cellStyle name="20% - Accent4 2 2 2 3 6" xfId="4358"/>
    <cellStyle name="20% - Accent4 2 2 2 3 7" xfId="5398"/>
    <cellStyle name="20% - Accent4 2 2 2 4" xfId="851"/>
    <cellStyle name="20% - Accent4 2 2 2 4 2" xfId="1996"/>
    <cellStyle name="20% - Accent4 2 2 2 4 2 2" xfId="3759"/>
    <cellStyle name="20% - Accent4 2 2 2 4 2 3" xfId="5130"/>
    <cellStyle name="20% - Accent4 2 2 2 4 3" xfId="1434"/>
    <cellStyle name="20% - Accent4 2 2 2 4 3 2" xfId="3241"/>
    <cellStyle name="20% - Accent4 2 2 2 4 4" xfId="2663"/>
    <cellStyle name="20% - Accent4 2 2 2 4 5" xfId="4612"/>
    <cellStyle name="20% - Accent4 2 2 2 4 6" xfId="5400"/>
    <cellStyle name="20% - Accent4 2 2 2 5" xfId="1756"/>
    <cellStyle name="20% - Accent4 2 2 2 5 2" xfId="3523"/>
    <cellStyle name="20% - Accent4 2 2 2 5 3" xfId="4894"/>
    <cellStyle name="20% - Accent4 2 2 2 6" xfId="1178"/>
    <cellStyle name="20% - Accent4 2 2 2 6 2" xfId="2985"/>
    <cellStyle name="20% - Accent4 2 2 2 7" xfId="2409"/>
    <cellStyle name="20% - Accent4 2 2 2 8" xfId="4356"/>
    <cellStyle name="20% - Accent4 2 2 2 9" xfId="5395"/>
    <cellStyle name="20% - Accent4 2 2 3" xfId="376"/>
    <cellStyle name="20% - Accent4 2 2 3 2" xfId="377"/>
    <cellStyle name="20% - Accent4 2 2 3 2 2" xfId="855"/>
    <cellStyle name="20% - Accent4 2 2 3 2 2 2" xfId="2000"/>
    <cellStyle name="20% - Accent4 2 2 3 2 2 2 2" xfId="3763"/>
    <cellStyle name="20% - Accent4 2 2 3 2 2 2 3" xfId="5134"/>
    <cellStyle name="20% - Accent4 2 2 3 2 2 3" xfId="1438"/>
    <cellStyle name="20% - Accent4 2 2 3 2 2 3 2" xfId="3245"/>
    <cellStyle name="20% - Accent4 2 2 3 2 2 4" xfId="2667"/>
    <cellStyle name="20% - Accent4 2 2 3 2 2 5" xfId="4616"/>
    <cellStyle name="20% - Accent4 2 2 3 2 2 6" xfId="5403"/>
    <cellStyle name="20% - Accent4 2 2 3 2 3" xfId="1760"/>
    <cellStyle name="20% - Accent4 2 2 3 2 3 2" xfId="3527"/>
    <cellStyle name="20% - Accent4 2 2 3 2 3 3" xfId="4898"/>
    <cellStyle name="20% - Accent4 2 2 3 2 4" xfId="1182"/>
    <cellStyle name="20% - Accent4 2 2 3 2 4 2" xfId="2989"/>
    <cellStyle name="20% - Accent4 2 2 3 2 5" xfId="2413"/>
    <cellStyle name="20% - Accent4 2 2 3 2 6" xfId="4360"/>
    <cellStyle name="20% - Accent4 2 2 3 2 7" xfId="5402"/>
    <cellStyle name="20% - Accent4 2 2 3 3" xfId="378"/>
    <cellStyle name="20% - Accent4 2 2 3 3 2" xfId="856"/>
    <cellStyle name="20% - Accent4 2 2 3 3 2 2" xfId="2001"/>
    <cellStyle name="20% - Accent4 2 2 3 3 2 2 2" xfId="3764"/>
    <cellStyle name="20% - Accent4 2 2 3 3 2 2 3" xfId="5135"/>
    <cellStyle name="20% - Accent4 2 2 3 3 2 3" xfId="1439"/>
    <cellStyle name="20% - Accent4 2 2 3 3 2 3 2" xfId="3246"/>
    <cellStyle name="20% - Accent4 2 2 3 3 2 4" xfId="2668"/>
    <cellStyle name="20% - Accent4 2 2 3 3 2 5" xfId="4617"/>
    <cellStyle name="20% - Accent4 2 2 3 3 2 6" xfId="5405"/>
    <cellStyle name="20% - Accent4 2 2 3 3 3" xfId="1761"/>
    <cellStyle name="20% - Accent4 2 2 3 3 3 2" xfId="3528"/>
    <cellStyle name="20% - Accent4 2 2 3 3 3 3" xfId="4899"/>
    <cellStyle name="20% - Accent4 2 2 3 3 4" xfId="1183"/>
    <cellStyle name="20% - Accent4 2 2 3 3 4 2" xfId="2990"/>
    <cellStyle name="20% - Accent4 2 2 3 3 5" xfId="2414"/>
    <cellStyle name="20% - Accent4 2 2 3 3 6" xfId="4361"/>
    <cellStyle name="20% - Accent4 2 2 3 3 7" xfId="5404"/>
    <cellStyle name="20% - Accent4 2 2 3 4" xfId="854"/>
    <cellStyle name="20% - Accent4 2 2 3 4 2" xfId="1999"/>
    <cellStyle name="20% - Accent4 2 2 3 4 2 2" xfId="3762"/>
    <cellStyle name="20% - Accent4 2 2 3 4 2 3" xfId="5133"/>
    <cellStyle name="20% - Accent4 2 2 3 4 3" xfId="1437"/>
    <cellStyle name="20% - Accent4 2 2 3 4 3 2" xfId="3244"/>
    <cellStyle name="20% - Accent4 2 2 3 4 4" xfId="2666"/>
    <cellStyle name="20% - Accent4 2 2 3 4 5" xfId="4615"/>
    <cellStyle name="20% - Accent4 2 2 3 4 6" xfId="5406"/>
    <cellStyle name="20% - Accent4 2 2 3 5" xfId="1759"/>
    <cellStyle name="20% - Accent4 2 2 3 5 2" xfId="3526"/>
    <cellStyle name="20% - Accent4 2 2 3 5 3" xfId="4897"/>
    <cellStyle name="20% - Accent4 2 2 3 6" xfId="1181"/>
    <cellStyle name="20% - Accent4 2 2 3 6 2" xfId="2988"/>
    <cellStyle name="20% - Accent4 2 2 3 7" xfId="2412"/>
    <cellStyle name="20% - Accent4 2 2 3 8" xfId="4359"/>
    <cellStyle name="20% - Accent4 2 2 3 9" xfId="5401"/>
    <cellStyle name="20% - Accent4 2 2 4" xfId="379"/>
    <cellStyle name="20% - Accent4 2 2 4 2" xfId="857"/>
    <cellStyle name="20% - Accent4 2 2 4 2 2" xfId="2002"/>
    <cellStyle name="20% - Accent4 2 2 4 2 2 2" xfId="3765"/>
    <cellStyle name="20% - Accent4 2 2 4 2 2 3" xfId="5136"/>
    <cellStyle name="20% - Accent4 2 2 4 2 3" xfId="1440"/>
    <cellStyle name="20% - Accent4 2 2 4 2 3 2" xfId="3247"/>
    <cellStyle name="20% - Accent4 2 2 4 2 4" xfId="2669"/>
    <cellStyle name="20% - Accent4 2 2 4 2 5" xfId="4618"/>
    <cellStyle name="20% - Accent4 2 2 4 2 6" xfId="5408"/>
    <cellStyle name="20% - Accent4 2 2 4 3" xfId="1762"/>
    <cellStyle name="20% - Accent4 2 2 4 3 2" xfId="3529"/>
    <cellStyle name="20% - Accent4 2 2 4 3 3" xfId="4900"/>
    <cellStyle name="20% - Accent4 2 2 4 4" xfId="1184"/>
    <cellStyle name="20% - Accent4 2 2 4 4 2" xfId="2991"/>
    <cellStyle name="20% - Accent4 2 2 4 5" xfId="2415"/>
    <cellStyle name="20% - Accent4 2 2 4 6" xfId="4362"/>
    <cellStyle name="20% - Accent4 2 2 4 7" xfId="5407"/>
    <cellStyle name="20% - Accent4 2 2 5" xfId="380"/>
    <cellStyle name="20% - Accent4 2 2 5 2" xfId="858"/>
    <cellStyle name="20% - Accent4 2 2 5 2 2" xfId="2003"/>
    <cellStyle name="20% - Accent4 2 2 5 2 2 2" xfId="3766"/>
    <cellStyle name="20% - Accent4 2 2 5 2 2 3" xfId="5137"/>
    <cellStyle name="20% - Accent4 2 2 5 2 3" xfId="1441"/>
    <cellStyle name="20% - Accent4 2 2 5 2 3 2" xfId="3248"/>
    <cellStyle name="20% - Accent4 2 2 5 2 4" xfId="2670"/>
    <cellStyle name="20% - Accent4 2 2 5 2 5" xfId="4619"/>
    <cellStyle name="20% - Accent4 2 2 5 2 6" xfId="5410"/>
    <cellStyle name="20% - Accent4 2 2 5 3" xfId="1763"/>
    <cellStyle name="20% - Accent4 2 2 5 3 2" xfId="3530"/>
    <cellStyle name="20% - Accent4 2 2 5 3 3" xfId="4901"/>
    <cellStyle name="20% - Accent4 2 2 5 4" xfId="1185"/>
    <cellStyle name="20% - Accent4 2 2 5 4 2" xfId="2992"/>
    <cellStyle name="20% - Accent4 2 2 5 5" xfId="2416"/>
    <cellStyle name="20% - Accent4 2 2 5 6" xfId="4363"/>
    <cellStyle name="20% - Accent4 2 2 5 7" xfId="5409"/>
    <cellStyle name="20% - Accent4 2 2 6" xfId="850"/>
    <cellStyle name="20% - Accent4 2 2 6 2" xfId="1995"/>
    <cellStyle name="20% - Accent4 2 2 6 2 2" xfId="3758"/>
    <cellStyle name="20% - Accent4 2 2 6 2 3" xfId="5129"/>
    <cellStyle name="20% - Accent4 2 2 6 3" xfId="1433"/>
    <cellStyle name="20% - Accent4 2 2 6 3 2" xfId="3240"/>
    <cellStyle name="20% - Accent4 2 2 6 4" xfId="2662"/>
    <cellStyle name="20% - Accent4 2 2 6 5" xfId="4611"/>
    <cellStyle name="20% - Accent4 2 2 6 6" xfId="5411"/>
    <cellStyle name="20% - Accent4 2 2 7" xfId="1755"/>
    <cellStyle name="20% - Accent4 2 2 7 2" xfId="3522"/>
    <cellStyle name="20% - Accent4 2 2 7 3" xfId="4893"/>
    <cellStyle name="20% - Accent4 2 2 8" xfId="1177"/>
    <cellStyle name="20% - Accent4 2 2 8 2" xfId="2984"/>
    <cellStyle name="20% - Accent4 2 2 9" xfId="2408"/>
    <cellStyle name="20% - Accent4 2 3" xfId="381"/>
    <cellStyle name="20% - Accent4 2 4" xfId="382"/>
    <cellStyle name="20% - Accent4 3" xfId="227"/>
    <cellStyle name="20% - Accent4 3 2" xfId="383"/>
    <cellStyle name="20% - Accent4 3 3" xfId="2215"/>
    <cellStyle name="20% - Accent4 3 3 2" xfId="3959"/>
    <cellStyle name="20% - Accent4 3 4" xfId="2289"/>
    <cellStyle name="20% - Accent4 3 5" xfId="4055"/>
    <cellStyle name="20% - Accent4 3 6" xfId="4133"/>
    <cellStyle name="20% - Accent4 3 7" xfId="4210"/>
    <cellStyle name="20% - Accent4 3 8" xfId="4287"/>
    <cellStyle name="20% - Accent4 3 9" xfId="5951"/>
    <cellStyle name="20% - Accent4 4" xfId="384"/>
    <cellStyle name="20% - Accent4 5" xfId="811"/>
    <cellStyle name="20% - Accent4 5 2" xfId="1956"/>
    <cellStyle name="20% - Accent4 5 2 2" xfId="3719"/>
    <cellStyle name="20% - Accent4 5 2 3" xfId="5090"/>
    <cellStyle name="20% - Accent4 5 3" xfId="1394"/>
    <cellStyle name="20% - Accent4 5 3 2" xfId="3201"/>
    <cellStyle name="20% - Accent4 5 4" xfId="2623"/>
    <cellStyle name="20% - Accent4 5 5" xfId="4572"/>
    <cellStyle name="20% - Accent4 5 6" xfId="5412"/>
    <cellStyle name="20% - Accent4 6" xfId="309"/>
    <cellStyle name="20% - Accent4 6 2" xfId="1632"/>
    <cellStyle name="20% - Accent4 6 2 2" xfId="3439"/>
    <cellStyle name="20% - Accent4 6 3" xfId="2368"/>
    <cellStyle name="20% - Accent4 6 4" xfId="4810"/>
    <cellStyle name="20% - Accent4 7" xfId="1078"/>
    <cellStyle name="20% - Accent4 7 2" xfId="2888"/>
    <cellStyle name="20% - Accent4 8" xfId="1138"/>
    <cellStyle name="20% - Accent4 8 2" xfId="2945"/>
    <cellStyle name="20% - Accent4 9" xfId="27"/>
    <cellStyle name="20% - Accent4 9 2" xfId="2230"/>
    <cellStyle name="20% - Accent5" xfId="3992" builtinId="46" customBuiltin="1"/>
    <cellStyle name="20% - Accent5 10" xfId="4075"/>
    <cellStyle name="20% - Accent5 11" xfId="4152"/>
    <cellStyle name="20% - Accent5 12" xfId="4229"/>
    <cellStyle name="20% - Accent5 13" xfId="4303"/>
    <cellStyle name="20% - Accent5 14" xfId="5332"/>
    <cellStyle name="20% - Accent5 15" xfId="5867"/>
    <cellStyle name="20% - Accent5 2" xfId="71"/>
    <cellStyle name="20% - Accent5 2 2" xfId="385"/>
    <cellStyle name="20% - Accent5 2 2 10" xfId="4364"/>
    <cellStyle name="20% - Accent5 2 2 11" xfId="5413"/>
    <cellStyle name="20% - Accent5 2 2 2" xfId="386"/>
    <cellStyle name="20% - Accent5 2 2 2 2" xfId="387"/>
    <cellStyle name="20% - Accent5 2 2 2 2 2" xfId="861"/>
    <cellStyle name="20% - Accent5 2 2 2 2 2 2" xfId="2006"/>
    <cellStyle name="20% - Accent5 2 2 2 2 2 2 2" xfId="3769"/>
    <cellStyle name="20% - Accent5 2 2 2 2 2 2 3" xfId="5140"/>
    <cellStyle name="20% - Accent5 2 2 2 2 2 3" xfId="1444"/>
    <cellStyle name="20% - Accent5 2 2 2 2 2 3 2" xfId="3251"/>
    <cellStyle name="20% - Accent5 2 2 2 2 2 4" xfId="2673"/>
    <cellStyle name="20% - Accent5 2 2 2 2 2 5" xfId="4622"/>
    <cellStyle name="20% - Accent5 2 2 2 2 2 6" xfId="5416"/>
    <cellStyle name="20% - Accent5 2 2 2 2 3" xfId="1766"/>
    <cellStyle name="20% - Accent5 2 2 2 2 3 2" xfId="3533"/>
    <cellStyle name="20% - Accent5 2 2 2 2 3 3" xfId="4904"/>
    <cellStyle name="20% - Accent5 2 2 2 2 4" xfId="1188"/>
    <cellStyle name="20% - Accent5 2 2 2 2 4 2" xfId="2995"/>
    <cellStyle name="20% - Accent5 2 2 2 2 5" xfId="2419"/>
    <cellStyle name="20% - Accent5 2 2 2 2 6" xfId="4366"/>
    <cellStyle name="20% - Accent5 2 2 2 2 7" xfId="5415"/>
    <cellStyle name="20% - Accent5 2 2 2 3" xfId="388"/>
    <cellStyle name="20% - Accent5 2 2 2 3 2" xfId="862"/>
    <cellStyle name="20% - Accent5 2 2 2 3 2 2" xfId="2007"/>
    <cellStyle name="20% - Accent5 2 2 2 3 2 2 2" xfId="3770"/>
    <cellStyle name="20% - Accent5 2 2 2 3 2 2 3" xfId="5141"/>
    <cellStyle name="20% - Accent5 2 2 2 3 2 3" xfId="1445"/>
    <cellStyle name="20% - Accent5 2 2 2 3 2 3 2" xfId="3252"/>
    <cellStyle name="20% - Accent5 2 2 2 3 2 4" xfId="2674"/>
    <cellStyle name="20% - Accent5 2 2 2 3 2 5" xfId="4623"/>
    <cellStyle name="20% - Accent5 2 2 2 3 2 6" xfId="5418"/>
    <cellStyle name="20% - Accent5 2 2 2 3 3" xfId="1767"/>
    <cellStyle name="20% - Accent5 2 2 2 3 3 2" xfId="3534"/>
    <cellStyle name="20% - Accent5 2 2 2 3 3 3" xfId="4905"/>
    <cellStyle name="20% - Accent5 2 2 2 3 4" xfId="1189"/>
    <cellStyle name="20% - Accent5 2 2 2 3 4 2" xfId="2996"/>
    <cellStyle name="20% - Accent5 2 2 2 3 5" xfId="2420"/>
    <cellStyle name="20% - Accent5 2 2 2 3 6" xfId="4367"/>
    <cellStyle name="20% - Accent5 2 2 2 3 7" xfId="5417"/>
    <cellStyle name="20% - Accent5 2 2 2 4" xfId="860"/>
    <cellStyle name="20% - Accent5 2 2 2 4 2" xfId="2005"/>
    <cellStyle name="20% - Accent5 2 2 2 4 2 2" xfId="3768"/>
    <cellStyle name="20% - Accent5 2 2 2 4 2 3" xfId="5139"/>
    <cellStyle name="20% - Accent5 2 2 2 4 3" xfId="1443"/>
    <cellStyle name="20% - Accent5 2 2 2 4 3 2" xfId="3250"/>
    <cellStyle name="20% - Accent5 2 2 2 4 4" xfId="2672"/>
    <cellStyle name="20% - Accent5 2 2 2 4 5" xfId="4621"/>
    <cellStyle name="20% - Accent5 2 2 2 4 6" xfId="5419"/>
    <cellStyle name="20% - Accent5 2 2 2 5" xfId="1765"/>
    <cellStyle name="20% - Accent5 2 2 2 5 2" xfId="3532"/>
    <cellStyle name="20% - Accent5 2 2 2 5 3" xfId="4903"/>
    <cellStyle name="20% - Accent5 2 2 2 6" xfId="1187"/>
    <cellStyle name="20% - Accent5 2 2 2 6 2" xfId="2994"/>
    <cellStyle name="20% - Accent5 2 2 2 7" xfId="2418"/>
    <cellStyle name="20% - Accent5 2 2 2 8" xfId="4365"/>
    <cellStyle name="20% - Accent5 2 2 2 9" xfId="5414"/>
    <cellStyle name="20% - Accent5 2 2 3" xfId="389"/>
    <cellStyle name="20% - Accent5 2 2 3 2" xfId="390"/>
    <cellStyle name="20% - Accent5 2 2 3 2 2" xfId="864"/>
    <cellStyle name="20% - Accent5 2 2 3 2 2 2" xfId="2009"/>
    <cellStyle name="20% - Accent5 2 2 3 2 2 2 2" xfId="3772"/>
    <cellStyle name="20% - Accent5 2 2 3 2 2 2 3" xfId="5143"/>
    <cellStyle name="20% - Accent5 2 2 3 2 2 3" xfId="1447"/>
    <cellStyle name="20% - Accent5 2 2 3 2 2 3 2" xfId="3254"/>
    <cellStyle name="20% - Accent5 2 2 3 2 2 4" xfId="2676"/>
    <cellStyle name="20% - Accent5 2 2 3 2 2 5" xfId="4625"/>
    <cellStyle name="20% - Accent5 2 2 3 2 2 6" xfId="5422"/>
    <cellStyle name="20% - Accent5 2 2 3 2 3" xfId="1769"/>
    <cellStyle name="20% - Accent5 2 2 3 2 3 2" xfId="3536"/>
    <cellStyle name="20% - Accent5 2 2 3 2 3 3" xfId="4907"/>
    <cellStyle name="20% - Accent5 2 2 3 2 4" xfId="1191"/>
    <cellStyle name="20% - Accent5 2 2 3 2 4 2" xfId="2998"/>
    <cellStyle name="20% - Accent5 2 2 3 2 5" xfId="2422"/>
    <cellStyle name="20% - Accent5 2 2 3 2 6" xfId="4369"/>
    <cellStyle name="20% - Accent5 2 2 3 2 7" xfId="5421"/>
    <cellStyle name="20% - Accent5 2 2 3 3" xfId="391"/>
    <cellStyle name="20% - Accent5 2 2 3 3 2" xfId="865"/>
    <cellStyle name="20% - Accent5 2 2 3 3 2 2" xfId="2010"/>
    <cellStyle name="20% - Accent5 2 2 3 3 2 2 2" xfId="3773"/>
    <cellStyle name="20% - Accent5 2 2 3 3 2 2 3" xfId="5144"/>
    <cellStyle name="20% - Accent5 2 2 3 3 2 3" xfId="1448"/>
    <cellStyle name="20% - Accent5 2 2 3 3 2 3 2" xfId="3255"/>
    <cellStyle name="20% - Accent5 2 2 3 3 2 4" xfId="2677"/>
    <cellStyle name="20% - Accent5 2 2 3 3 2 5" xfId="4626"/>
    <cellStyle name="20% - Accent5 2 2 3 3 2 6" xfId="5424"/>
    <cellStyle name="20% - Accent5 2 2 3 3 3" xfId="1770"/>
    <cellStyle name="20% - Accent5 2 2 3 3 3 2" xfId="3537"/>
    <cellStyle name="20% - Accent5 2 2 3 3 3 3" xfId="4908"/>
    <cellStyle name="20% - Accent5 2 2 3 3 4" xfId="1192"/>
    <cellStyle name="20% - Accent5 2 2 3 3 4 2" xfId="2999"/>
    <cellStyle name="20% - Accent5 2 2 3 3 5" xfId="2423"/>
    <cellStyle name="20% - Accent5 2 2 3 3 6" xfId="4370"/>
    <cellStyle name="20% - Accent5 2 2 3 3 7" xfId="5423"/>
    <cellStyle name="20% - Accent5 2 2 3 4" xfId="863"/>
    <cellStyle name="20% - Accent5 2 2 3 4 2" xfId="2008"/>
    <cellStyle name="20% - Accent5 2 2 3 4 2 2" xfId="3771"/>
    <cellStyle name="20% - Accent5 2 2 3 4 2 3" xfId="5142"/>
    <cellStyle name="20% - Accent5 2 2 3 4 3" xfId="1446"/>
    <cellStyle name="20% - Accent5 2 2 3 4 3 2" xfId="3253"/>
    <cellStyle name="20% - Accent5 2 2 3 4 4" xfId="2675"/>
    <cellStyle name="20% - Accent5 2 2 3 4 5" xfId="4624"/>
    <cellStyle name="20% - Accent5 2 2 3 4 6" xfId="5425"/>
    <cellStyle name="20% - Accent5 2 2 3 5" xfId="1768"/>
    <cellStyle name="20% - Accent5 2 2 3 5 2" xfId="3535"/>
    <cellStyle name="20% - Accent5 2 2 3 5 3" xfId="4906"/>
    <cellStyle name="20% - Accent5 2 2 3 6" xfId="1190"/>
    <cellStyle name="20% - Accent5 2 2 3 6 2" xfId="2997"/>
    <cellStyle name="20% - Accent5 2 2 3 7" xfId="2421"/>
    <cellStyle name="20% - Accent5 2 2 3 8" xfId="4368"/>
    <cellStyle name="20% - Accent5 2 2 3 9" xfId="5420"/>
    <cellStyle name="20% - Accent5 2 2 4" xfId="392"/>
    <cellStyle name="20% - Accent5 2 2 4 2" xfId="866"/>
    <cellStyle name="20% - Accent5 2 2 4 2 2" xfId="2011"/>
    <cellStyle name="20% - Accent5 2 2 4 2 2 2" xfId="3774"/>
    <cellStyle name="20% - Accent5 2 2 4 2 2 3" xfId="5145"/>
    <cellStyle name="20% - Accent5 2 2 4 2 3" xfId="1449"/>
    <cellStyle name="20% - Accent5 2 2 4 2 3 2" xfId="3256"/>
    <cellStyle name="20% - Accent5 2 2 4 2 4" xfId="2678"/>
    <cellStyle name="20% - Accent5 2 2 4 2 5" xfId="4627"/>
    <cellStyle name="20% - Accent5 2 2 4 2 6" xfId="5427"/>
    <cellStyle name="20% - Accent5 2 2 4 3" xfId="1771"/>
    <cellStyle name="20% - Accent5 2 2 4 3 2" xfId="3538"/>
    <cellStyle name="20% - Accent5 2 2 4 3 3" xfId="4909"/>
    <cellStyle name="20% - Accent5 2 2 4 4" xfId="1193"/>
    <cellStyle name="20% - Accent5 2 2 4 4 2" xfId="3000"/>
    <cellStyle name="20% - Accent5 2 2 4 5" xfId="2424"/>
    <cellStyle name="20% - Accent5 2 2 4 6" xfId="4371"/>
    <cellStyle name="20% - Accent5 2 2 4 7" xfId="5426"/>
    <cellStyle name="20% - Accent5 2 2 5" xfId="393"/>
    <cellStyle name="20% - Accent5 2 2 5 2" xfId="867"/>
    <cellStyle name="20% - Accent5 2 2 5 2 2" xfId="2012"/>
    <cellStyle name="20% - Accent5 2 2 5 2 2 2" xfId="3775"/>
    <cellStyle name="20% - Accent5 2 2 5 2 2 3" xfId="5146"/>
    <cellStyle name="20% - Accent5 2 2 5 2 3" xfId="1450"/>
    <cellStyle name="20% - Accent5 2 2 5 2 3 2" xfId="3257"/>
    <cellStyle name="20% - Accent5 2 2 5 2 4" xfId="2679"/>
    <cellStyle name="20% - Accent5 2 2 5 2 5" xfId="4628"/>
    <cellStyle name="20% - Accent5 2 2 5 2 6" xfId="5429"/>
    <cellStyle name="20% - Accent5 2 2 5 3" xfId="1772"/>
    <cellStyle name="20% - Accent5 2 2 5 3 2" xfId="3539"/>
    <cellStyle name="20% - Accent5 2 2 5 3 3" xfId="4910"/>
    <cellStyle name="20% - Accent5 2 2 5 4" xfId="1194"/>
    <cellStyle name="20% - Accent5 2 2 5 4 2" xfId="3001"/>
    <cellStyle name="20% - Accent5 2 2 5 5" xfId="2425"/>
    <cellStyle name="20% - Accent5 2 2 5 6" xfId="4372"/>
    <cellStyle name="20% - Accent5 2 2 5 7" xfId="5428"/>
    <cellStyle name="20% - Accent5 2 2 6" xfId="859"/>
    <cellStyle name="20% - Accent5 2 2 6 2" xfId="2004"/>
    <cellStyle name="20% - Accent5 2 2 6 2 2" xfId="3767"/>
    <cellStyle name="20% - Accent5 2 2 6 2 3" xfId="5138"/>
    <cellStyle name="20% - Accent5 2 2 6 3" xfId="1442"/>
    <cellStyle name="20% - Accent5 2 2 6 3 2" xfId="3249"/>
    <cellStyle name="20% - Accent5 2 2 6 4" xfId="2671"/>
    <cellStyle name="20% - Accent5 2 2 6 5" xfId="4620"/>
    <cellStyle name="20% - Accent5 2 2 6 6" xfId="5430"/>
    <cellStyle name="20% - Accent5 2 2 7" xfId="1764"/>
    <cellStyle name="20% - Accent5 2 2 7 2" xfId="3531"/>
    <cellStyle name="20% - Accent5 2 2 7 3" xfId="4902"/>
    <cellStyle name="20% - Accent5 2 2 8" xfId="1186"/>
    <cellStyle name="20% - Accent5 2 2 8 2" xfId="2993"/>
    <cellStyle name="20% - Accent5 2 2 9" xfId="2417"/>
    <cellStyle name="20% - Accent5 2 3" xfId="394"/>
    <cellStyle name="20% - Accent5 2 4" xfId="395"/>
    <cellStyle name="20% - Accent5 3" xfId="229"/>
    <cellStyle name="20% - Accent5 3 2" xfId="396"/>
    <cellStyle name="20% - Accent5 3 3" xfId="2218"/>
    <cellStyle name="20% - Accent5 3 3 2" xfId="3961"/>
    <cellStyle name="20% - Accent5 3 4" xfId="2291"/>
    <cellStyle name="20% - Accent5 3 5" xfId="4057"/>
    <cellStyle name="20% - Accent5 3 6" xfId="4135"/>
    <cellStyle name="20% - Accent5 3 7" xfId="4212"/>
    <cellStyle name="20% - Accent5 3 8" xfId="4289"/>
    <cellStyle name="20% - Accent5 3 9" xfId="5953"/>
    <cellStyle name="20% - Accent5 4" xfId="397"/>
    <cellStyle name="20% - Accent5 5" xfId="813"/>
    <cellStyle name="20% - Accent5 5 2" xfId="1958"/>
    <cellStyle name="20% - Accent5 5 2 2" xfId="3721"/>
    <cellStyle name="20% - Accent5 5 2 3" xfId="5092"/>
    <cellStyle name="20% - Accent5 5 3" xfId="1396"/>
    <cellStyle name="20% - Accent5 5 3 2" xfId="3203"/>
    <cellStyle name="20% - Accent5 5 4" xfId="2625"/>
    <cellStyle name="20% - Accent5 5 5" xfId="4574"/>
    <cellStyle name="20% - Accent5 5 6" xfId="5431"/>
    <cellStyle name="20% - Accent5 6" xfId="312"/>
    <cellStyle name="20% - Accent5 6 2" xfId="1633"/>
    <cellStyle name="20% - Accent5 6 2 2" xfId="3440"/>
    <cellStyle name="20% - Accent5 6 3" xfId="2371"/>
    <cellStyle name="20% - Accent5 6 4" xfId="4811"/>
    <cellStyle name="20% - Accent5 7" xfId="1080"/>
    <cellStyle name="20% - Accent5 7 2" xfId="2890"/>
    <cellStyle name="20% - Accent5 8" xfId="1140"/>
    <cellStyle name="20% - Accent5 8 2" xfId="2947"/>
    <cellStyle name="20% - Accent5 9" xfId="30"/>
    <cellStyle name="20% - Accent5 9 2" xfId="2232"/>
    <cellStyle name="20% - Accent6" xfId="3995" builtinId="50" customBuiltin="1"/>
    <cellStyle name="20% - Accent6 10" xfId="4077"/>
    <cellStyle name="20% - Accent6 11" xfId="4154"/>
    <cellStyle name="20% - Accent6 12" xfId="4231"/>
    <cellStyle name="20% - Accent6 13" xfId="4305"/>
    <cellStyle name="20% - Accent6 14" xfId="5334"/>
    <cellStyle name="20% - Accent6 15" xfId="5869"/>
    <cellStyle name="20% - Accent6 2" xfId="72"/>
    <cellStyle name="20% - Accent6 2 2" xfId="398"/>
    <cellStyle name="20% - Accent6 2 2 10" xfId="4373"/>
    <cellStyle name="20% - Accent6 2 2 11" xfId="5432"/>
    <cellStyle name="20% - Accent6 2 2 2" xfId="399"/>
    <cellStyle name="20% - Accent6 2 2 2 2" xfId="400"/>
    <cellStyle name="20% - Accent6 2 2 2 2 2" xfId="870"/>
    <cellStyle name="20% - Accent6 2 2 2 2 2 2" xfId="2015"/>
    <cellStyle name="20% - Accent6 2 2 2 2 2 2 2" xfId="3778"/>
    <cellStyle name="20% - Accent6 2 2 2 2 2 2 3" xfId="5149"/>
    <cellStyle name="20% - Accent6 2 2 2 2 2 3" xfId="1453"/>
    <cellStyle name="20% - Accent6 2 2 2 2 2 3 2" xfId="3260"/>
    <cellStyle name="20% - Accent6 2 2 2 2 2 4" xfId="2682"/>
    <cellStyle name="20% - Accent6 2 2 2 2 2 5" xfId="4631"/>
    <cellStyle name="20% - Accent6 2 2 2 2 2 6" xfId="5435"/>
    <cellStyle name="20% - Accent6 2 2 2 2 3" xfId="1775"/>
    <cellStyle name="20% - Accent6 2 2 2 2 3 2" xfId="3542"/>
    <cellStyle name="20% - Accent6 2 2 2 2 3 3" xfId="4913"/>
    <cellStyle name="20% - Accent6 2 2 2 2 4" xfId="1197"/>
    <cellStyle name="20% - Accent6 2 2 2 2 4 2" xfId="3004"/>
    <cellStyle name="20% - Accent6 2 2 2 2 5" xfId="2428"/>
    <cellStyle name="20% - Accent6 2 2 2 2 6" xfId="4375"/>
    <cellStyle name="20% - Accent6 2 2 2 2 7" xfId="5434"/>
    <cellStyle name="20% - Accent6 2 2 2 3" xfId="401"/>
    <cellStyle name="20% - Accent6 2 2 2 3 2" xfId="871"/>
    <cellStyle name="20% - Accent6 2 2 2 3 2 2" xfId="2016"/>
    <cellStyle name="20% - Accent6 2 2 2 3 2 2 2" xfId="3779"/>
    <cellStyle name="20% - Accent6 2 2 2 3 2 2 3" xfId="5150"/>
    <cellStyle name="20% - Accent6 2 2 2 3 2 3" xfId="1454"/>
    <cellStyle name="20% - Accent6 2 2 2 3 2 3 2" xfId="3261"/>
    <cellStyle name="20% - Accent6 2 2 2 3 2 4" xfId="2683"/>
    <cellStyle name="20% - Accent6 2 2 2 3 2 5" xfId="4632"/>
    <cellStyle name="20% - Accent6 2 2 2 3 2 6" xfId="5437"/>
    <cellStyle name="20% - Accent6 2 2 2 3 3" xfId="1776"/>
    <cellStyle name="20% - Accent6 2 2 2 3 3 2" xfId="3543"/>
    <cellStyle name="20% - Accent6 2 2 2 3 3 3" xfId="4914"/>
    <cellStyle name="20% - Accent6 2 2 2 3 4" xfId="1198"/>
    <cellStyle name="20% - Accent6 2 2 2 3 4 2" xfId="3005"/>
    <cellStyle name="20% - Accent6 2 2 2 3 5" xfId="2429"/>
    <cellStyle name="20% - Accent6 2 2 2 3 6" xfId="4376"/>
    <cellStyle name="20% - Accent6 2 2 2 3 7" xfId="5436"/>
    <cellStyle name="20% - Accent6 2 2 2 4" xfId="869"/>
    <cellStyle name="20% - Accent6 2 2 2 4 2" xfId="2014"/>
    <cellStyle name="20% - Accent6 2 2 2 4 2 2" xfId="3777"/>
    <cellStyle name="20% - Accent6 2 2 2 4 2 3" xfId="5148"/>
    <cellStyle name="20% - Accent6 2 2 2 4 3" xfId="1452"/>
    <cellStyle name="20% - Accent6 2 2 2 4 3 2" xfId="3259"/>
    <cellStyle name="20% - Accent6 2 2 2 4 4" xfId="2681"/>
    <cellStyle name="20% - Accent6 2 2 2 4 5" xfId="4630"/>
    <cellStyle name="20% - Accent6 2 2 2 4 6" xfId="5438"/>
    <cellStyle name="20% - Accent6 2 2 2 5" xfId="1774"/>
    <cellStyle name="20% - Accent6 2 2 2 5 2" xfId="3541"/>
    <cellStyle name="20% - Accent6 2 2 2 5 3" xfId="4912"/>
    <cellStyle name="20% - Accent6 2 2 2 6" xfId="1196"/>
    <cellStyle name="20% - Accent6 2 2 2 6 2" xfId="3003"/>
    <cellStyle name="20% - Accent6 2 2 2 7" xfId="2427"/>
    <cellStyle name="20% - Accent6 2 2 2 8" xfId="4374"/>
    <cellStyle name="20% - Accent6 2 2 2 9" xfId="5433"/>
    <cellStyle name="20% - Accent6 2 2 3" xfId="402"/>
    <cellStyle name="20% - Accent6 2 2 3 2" xfId="403"/>
    <cellStyle name="20% - Accent6 2 2 3 2 2" xfId="873"/>
    <cellStyle name="20% - Accent6 2 2 3 2 2 2" xfId="2018"/>
    <cellStyle name="20% - Accent6 2 2 3 2 2 2 2" xfId="3781"/>
    <cellStyle name="20% - Accent6 2 2 3 2 2 2 3" xfId="5152"/>
    <cellStyle name="20% - Accent6 2 2 3 2 2 3" xfId="1456"/>
    <cellStyle name="20% - Accent6 2 2 3 2 2 3 2" xfId="3263"/>
    <cellStyle name="20% - Accent6 2 2 3 2 2 4" xfId="2685"/>
    <cellStyle name="20% - Accent6 2 2 3 2 2 5" xfId="4634"/>
    <cellStyle name="20% - Accent6 2 2 3 2 2 6" xfId="5441"/>
    <cellStyle name="20% - Accent6 2 2 3 2 3" xfId="1778"/>
    <cellStyle name="20% - Accent6 2 2 3 2 3 2" xfId="3545"/>
    <cellStyle name="20% - Accent6 2 2 3 2 3 3" xfId="4916"/>
    <cellStyle name="20% - Accent6 2 2 3 2 4" xfId="1200"/>
    <cellStyle name="20% - Accent6 2 2 3 2 4 2" xfId="3007"/>
    <cellStyle name="20% - Accent6 2 2 3 2 5" xfId="2431"/>
    <cellStyle name="20% - Accent6 2 2 3 2 6" xfId="4378"/>
    <cellStyle name="20% - Accent6 2 2 3 2 7" xfId="5440"/>
    <cellStyle name="20% - Accent6 2 2 3 3" xfId="404"/>
    <cellStyle name="20% - Accent6 2 2 3 3 2" xfId="874"/>
    <cellStyle name="20% - Accent6 2 2 3 3 2 2" xfId="2019"/>
    <cellStyle name="20% - Accent6 2 2 3 3 2 2 2" xfId="3782"/>
    <cellStyle name="20% - Accent6 2 2 3 3 2 2 3" xfId="5153"/>
    <cellStyle name="20% - Accent6 2 2 3 3 2 3" xfId="1457"/>
    <cellStyle name="20% - Accent6 2 2 3 3 2 3 2" xfId="3264"/>
    <cellStyle name="20% - Accent6 2 2 3 3 2 4" xfId="2686"/>
    <cellStyle name="20% - Accent6 2 2 3 3 2 5" xfId="4635"/>
    <cellStyle name="20% - Accent6 2 2 3 3 2 6" xfId="5443"/>
    <cellStyle name="20% - Accent6 2 2 3 3 3" xfId="1779"/>
    <cellStyle name="20% - Accent6 2 2 3 3 3 2" xfId="3546"/>
    <cellStyle name="20% - Accent6 2 2 3 3 3 3" xfId="4917"/>
    <cellStyle name="20% - Accent6 2 2 3 3 4" xfId="1201"/>
    <cellStyle name="20% - Accent6 2 2 3 3 4 2" xfId="3008"/>
    <cellStyle name="20% - Accent6 2 2 3 3 5" xfId="2432"/>
    <cellStyle name="20% - Accent6 2 2 3 3 6" xfId="4379"/>
    <cellStyle name="20% - Accent6 2 2 3 3 7" xfId="5442"/>
    <cellStyle name="20% - Accent6 2 2 3 4" xfId="872"/>
    <cellStyle name="20% - Accent6 2 2 3 4 2" xfId="2017"/>
    <cellStyle name="20% - Accent6 2 2 3 4 2 2" xfId="3780"/>
    <cellStyle name="20% - Accent6 2 2 3 4 2 3" xfId="5151"/>
    <cellStyle name="20% - Accent6 2 2 3 4 3" xfId="1455"/>
    <cellStyle name="20% - Accent6 2 2 3 4 3 2" xfId="3262"/>
    <cellStyle name="20% - Accent6 2 2 3 4 4" xfId="2684"/>
    <cellStyle name="20% - Accent6 2 2 3 4 5" xfId="4633"/>
    <cellStyle name="20% - Accent6 2 2 3 4 6" xfId="5444"/>
    <cellStyle name="20% - Accent6 2 2 3 5" xfId="1777"/>
    <cellStyle name="20% - Accent6 2 2 3 5 2" xfId="3544"/>
    <cellStyle name="20% - Accent6 2 2 3 5 3" xfId="4915"/>
    <cellStyle name="20% - Accent6 2 2 3 6" xfId="1199"/>
    <cellStyle name="20% - Accent6 2 2 3 6 2" xfId="3006"/>
    <cellStyle name="20% - Accent6 2 2 3 7" xfId="2430"/>
    <cellStyle name="20% - Accent6 2 2 3 8" xfId="4377"/>
    <cellStyle name="20% - Accent6 2 2 3 9" xfId="5439"/>
    <cellStyle name="20% - Accent6 2 2 4" xfId="405"/>
    <cellStyle name="20% - Accent6 2 2 4 2" xfId="875"/>
    <cellStyle name="20% - Accent6 2 2 4 2 2" xfId="2020"/>
    <cellStyle name="20% - Accent6 2 2 4 2 2 2" xfId="3783"/>
    <cellStyle name="20% - Accent6 2 2 4 2 2 3" xfId="5154"/>
    <cellStyle name="20% - Accent6 2 2 4 2 3" xfId="1458"/>
    <cellStyle name="20% - Accent6 2 2 4 2 3 2" xfId="3265"/>
    <cellStyle name="20% - Accent6 2 2 4 2 4" xfId="2687"/>
    <cellStyle name="20% - Accent6 2 2 4 2 5" xfId="4636"/>
    <cellStyle name="20% - Accent6 2 2 4 2 6" xfId="5446"/>
    <cellStyle name="20% - Accent6 2 2 4 3" xfId="1780"/>
    <cellStyle name="20% - Accent6 2 2 4 3 2" xfId="3547"/>
    <cellStyle name="20% - Accent6 2 2 4 3 3" xfId="4918"/>
    <cellStyle name="20% - Accent6 2 2 4 4" xfId="1202"/>
    <cellStyle name="20% - Accent6 2 2 4 4 2" xfId="3009"/>
    <cellStyle name="20% - Accent6 2 2 4 5" xfId="2433"/>
    <cellStyle name="20% - Accent6 2 2 4 6" xfId="4380"/>
    <cellStyle name="20% - Accent6 2 2 4 7" xfId="5445"/>
    <cellStyle name="20% - Accent6 2 2 5" xfId="406"/>
    <cellStyle name="20% - Accent6 2 2 5 2" xfId="876"/>
    <cellStyle name="20% - Accent6 2 2 5 2 2" xfId="2021"/>
    <cellStyle name="20% - Accent6 2 2 5 2 2 2" xfId="3784"/>
    <cellStyle name="20% - Accent6 2 2 5 2 2 3" xfId="5155"/>
    <cellStyle name="20% - Accent6 2 2 5 2 3" xfId="1459"/>
    <cellStyle name="20% - Accent6 2 2 5 2 3 2" xfId="3266"/>
    <cellStyle name="20% - Accent6 2 2 5 2 4" xfId="2688"/>
    <cellStyle name="20% - Accent6 2 2 5 2 5" xfId="4637"/>
    <cellStyle name="20% - Accent6 2 2 5 2 6" xfId="5448"/>
    <cellStyle name="20% - Accent6 2 2 5 3" xfId="1781"/>
    <cellStyle name="20% - Accent6 2 2 5 3 2" xfId="3548"/>
    <cellStyle name="20% - Accent6 2 2 5 3 3" xfId="4919"/>
    <cellStyle name="20% - Accent6 2 2 5 4" xfId="1203"/>
    <cellStyle name="20% - Accent6 2 2 5 4 2" xfId="3010"/>
    <cellStyle name="20% - Accent6 2 2 5 5" xfId="2434"/>
    <cellStyle name="20% - Accent6 2 2 5 6" xfId="4381"/>
    <cellStyle name="20% - Accent6 2 2 5 7" xfId="5447"/>
    <cellStyle name="20% - Accent6 2 2 6" xfId="868"/>
    <cellStyle name="20% - Accent6 2 2 6 2" xfId="2013"/>
    <cellStyle name="20% - Accent6 2 2 6 2 2" xfId="3776"/>
    <cellStyle name="20% - Accent6 2 2 6 2 3" xfId="5147"/>
    <cellStyle name="20% - Accent6 2 2 6 3" xfId="1451"/>
    <cellStyle name="20% - Accent6 2 2 6 3 2" xfId="3258"/>
    <cellStyle name="20% - Accent6 2 2 6 4" xfId="2680"/>
    <cellStyle name="20% - Accent6 2 2 6 5" xfId="4629"/>
    <cellStyle name="20% - Accent6 2 2 6 6" xfId="5449"/>
    <cellStyle name="20% - Accent6 2 2 7" xfId="1773"/>
    <cellStyle name="20% - Accent6 2 2 7 2" xfId="3540"/>
    <cellStyle name="20% - Accent6 2 2 7 3" xfId="4911"/>
    <cellStyle name="20% - Accent6 2 2 8" xfId="1195"/>
    <cellStyle name="20% - Accent6 2 2 8 2" xfId="3002"/>
    <cellStyle name="20% - Accent6 2 2 9" xfId="2426"/>
    <cellStyle name="20% - Accent6 2 3" xfId="407"/>
    <cellStyle name="20% - Accent6 2 4" xfId="408"/>
    <cellStyle name="20% - Accent6 3" xfId="231"/>
    <cellStyle name="20% - Accent6 3 2" xfId="409"/>
    <cellStyle name="20% - Accent6 3 3" xfId="2221"/>
    <cellStyle name="20% - Accent6 3 3 2" xfId="3963"/>
    <cellStyle name="20% - Accent6 3 4" xfId="2293"/>
    <cellStyle name="20% - Accent6 3 5" xfId="4059"/>
    <cellStyle name="20% - Accent6 3 6" xfId="4137"/>
    <cellStyle name="20% - Accent6 3 7" xfId="4214"/>
    <cellStyle name="20% - Accent6 3 8" xfId="4291"/>
    <cellStyle name="20% - Accent6 3 9" xfId="5955"/>
    <cellStyle name="20% - Accent6 4" xfId="410"/>
    <cellStyle name="20% - Accent6 5" xfId="815"/>
    <cellStyle name="20% - Accent6 5 2" xfId="1960"/>
    <cellStyle name="20% - Accent6 5 2 2" xfId="3723"/>
    <cellStyle name="20% - Accent6 5 2 3" xfId="5094"/>
    <cellStyle name="20% - Accent6 5 3" xfId="1398"/>
    <cellStyle name="20% - Accent6 5 3 2" xfId="3205"/>
    <cellStyle name="20% - Accent6 5 4" xfId="2627"/>
    <cellStyle name="20% - Accent6 5 5" xfId="4576"/>
    <cellStyle name="20% - Accent6 5 6" xfId="5450"/>
    <cellStyle name="20% - Accent6 6" xfId="314"/>
    <cellStyle name="20% - Accent6 6 2" xfId="1634"/>
    <cellStyle name="20% - Accent6 6 2 2" xfId="3441"/>
    <cellStyle name="20% - Accent6 6 3" xfId="2373"/>
    <cellStyle name="20% - Accent6 6 4" xfId="4812"/>
    <cellStyle name="20% - Accent6 7" xfId="1082"/>
    <cellStyle name="20% - Accent6 7 2" xfId="2892"/>
    <cellStyle name="20% - Accent6 8" xfId="1142"/>
    <cellStyle name="20% - Accent6 8 2" xfId="2949"/>
    <cellStyle name="20% - Accent6 9" xfId="33"/>
    <cellStyle name="20% - Accent6 9 2" xfId="2234"/>
    <cellStyle name="40% - Accent1" xfId="3981" builtinId="31" customBuiltin="1"/>
    <cellStyle name="40% - Accent1 10" xfId="4068"/>
    <cellStyle name="40% - Accent1 11" xfId="4145"/>
    <cellStyle name="40% - Accent1 12" xfId="4222"/>
    <cellStyle name="40% - Accent1 13" xfId="4296"/>
    <cellStyle name="40% - Accent1 14" xfId="5325"/>
    <cellStyle name="40% - Accent1 15" xfId="5860"/>
    <cellStyle name="40% - Accent1 2" xfId="73"/>
    <cellStyle name="40% - Accent1 2 2" xfId="411"/>
    <cellStyle name="40% - Accent1 2 2 10" xfId="4382"/>
    <cellStyle name="40% - Accent1 2 2 11" xfId="5451"/>
    <cellStyle name="40% - Accent1 2 2 2" xfId="412"/>
    <cellStyle name="40% - Accent1 2 2 2 2" xfId="413"/>
    <cellStyle name="40% - Accent1 2 2 2 2 2" xfId="879"/>
    <cellStyle name="40% - Accent1 2 2 2 2 2 2" xfId="2024"/>
    <cellStyle name="40% - Accent1 2 2 2 2 2 2 2" xfId="3787"/>
    <cellStyle name="40% - Accent1 2 2 2 2 2 2 3" xfId="5158"/>
    <cellStyle name="40% - Accent1 2 2 2 2 2 3" xfId="1462"/>
    <cellStyle name="40% - Accent1 2 2 2 2 2 3 2" xfId="3269"/>
    <cellStyle name="40% - Accent1 2 2 2 2 2 4" xfId="2691"/>
    <cellStyle name="40% - Accent1 2 2 2 2 2 5" xfId="4640"/>
    <cellStyle name="40% - Accent1 2 2 2 2 2 6" xfId="5454"/>
    <cellStyle name="40% - Accent1 2 2 2 2 3" xfId="1784"/>
    <cellStyle name="40% - Accent1 2 2 2 2 3 2" xfId="3551"/>
    <cellStyle name="40% - Accent1 2 2 2 2 3 3" xfId="4922"/>
    <cellStyle name="40% - Accent1 2 2 2 2 4" xfId="1206"/>
    <cellStyle name="40% - Accent1 2 2 2 2 4 2" xfId="3013"/>
    <cellStyle name="40% - Accent1 2 2 2 2 5" xfId="2437"/>
    <cellStyle name="40% - Accent1 2 2 2 2 6" xfId="4384"/>
    <cellStyle name="40% - Accent1 2 2 2 2 7" xfId="5453"/>
    <cellStyle name="40% - Accent1 2 2 2 3" xfId="414"/>
    <cellStyle name="40% - Accent1 2 2 2 3 2" xfId="880"/>
    <cellStyle name="40% - Accent1 2 2 2 3 2 2" xfId="2025"/>
    <cellStyle name="40% - Accent1 2 2 2 3 2 2 2" xfId="3788"/>
    <cellStyle name="40% - Accent1 2 2 2 3 2 2 3" xfId="5159"/>
    <cellStyle name="40% - Accent1 2 2 2 3 2 3" xfId="1463"/>
    <cellStyle name="40% - Accent1 2 2 2 3 2 3 2" xfId="3270"/>
    <cellStyle name="40% - Accent1 2 2 2 3 2 4" xfId="2692"/>
    <cellStyle name="40% - Accent1 2 2 2 3 2 5" xfId="4641"/>
    <cellStyle name="40% - Accent1 2 2 2 3 2 6" xfId="5456"/>
    <cellStyle name="40% - Accent1 2 2 2 3 3" xfId="1785"/>
    <cellStyle name="40% - Accent1 2 2 2 3 3 2" xfId="3552"/>
    <cellStyle name="40% - Accent1 2 2 2 3 3 3" xfId="4923"/>
    <cellStyle name="40% - Accent1 2 2 2 3 4" xfId="1207"/>
    <cellStyle name="40% - Accent1 2 2 2 3 4 2" xfId="3014"/>
    <cellStyle name="40% - Accent1 2 2 2 3 5" xfId="2438"/>
    <cellStyle name="40% - Accent1 2 2 2 3 6" xfId="4385"/>
    <cellStyle name="40% - Accent1 2 2 2 3 7" xfId="5455"/>
    <cellStyle name="40% - Accent1 2 2 2 4" xfId="878"/>
    <cellStyle name="40% - Accent1 2 2 2 4 2" xfId="2023"/>
    <cellStyle name="40% - Accent1 2 2 2 4 2 2" xfId="3786"/>
    <cellStyle name="40% - Accent1 2 2 2 4 2 3" xfId="5157"/>
    <cellStyle name="40% - Accent1 2 2 2 4 3" xfId="1461"/>
    <cellStyle name="40% - Accent1 2 2 2 4 3 2" xfId="3268"/>
    <cellStyle name="40% - Accent1 2 2 2 4 4" xfId="2690"/>
    <cellStyle name="40% - Accent1 2 2 2 4 5" xfId="4639"/>
    <cellStyle name="40% - Accent1 2 2 2 4 6" xfId="5457"/>
    <cellStyle name="40% - Accent1 2 2 2 5" xfId="1783"/>
    <cellStyle name="40% - Accent1 2 2 2 5 2" xfId="3550"/>
    <cellStyle name="40% - Accent1 2 2 2 5 3" xfId="4921"/>
    <cellStyle name="40% - Accent1 2 2 2 6" xfId="1205"/>
    <cellStyle name="40% - Accent1 2 2 2 6 2" xfId="3012"/>
    <cellStyle name="40% - Accent1 2 2 2 7" xfId="2436"/>
    <cellStyle name="40% - Accent1 2 2 2 8" xfId="4383"/>
    <cellStyle name="40% - Accent1 2 2 2 9" xfId="5452"/>
    <cellStyle name="40% - Accent1 2 2 3" xfId="415"/>
    <cellStyle name="40% - Accent1 2 2 3 2" xfId="416"/>
    <cellStyle name="40% - Accent1 2 2 3 2 2" xfId="882"/>
    <cellStyle name="40% - Accent1 2 2 3 2 2 2" xfId="2027"/>
    <cellStyle name="40% - Accent1 2 2 3 2 2 2 2" xfId="3790"/>
    <cellStyle name="40% - Accent1 2 2 3 2 2 2 3" xfId="5161"/>
    <cellStyle name="40% - Accent1 2 2 3 2 2 3" xfId="1465"/>
    <cellStyle name="40% - Accent1 2 2 3 2 2 3 2" xfId="3272"/>
    <cellStyle name="40% - Accent1 2 2 3 2 2 4" xfId="2694"/>
    <cellStyle name="40% - Accent1 2 2 3 2 2 5" xfId="4643"/>
    <cellStyle name="40% - Accent1 2 2 3 2 2 6" xfId="5460"/>
    <cellStyle name="40% - Accent1 2 2 3 2 3" xfId="1787"/>
    <cellStyle name="40% - Accent1 2 2 3 2 3 2" xfId="3554"/>
    <cellStyle name="40% - Accent1 2 2 3 2 3 3" xfId="4925"/>
    <cellStyle name="40% - Accent1 2 2 3 2 4" xfId="1209"/>
    <cellStyle name="40% - Accent1 2 2 3 2 4 2" xfId="3016"/>
    <cellStyle name="40% - Accent1 2 2 3 2 5" xfId="2440"/>
    <cellStyle name="40% - Accent1 2 2 3 2 6" xfId="4387"/>
    <cellStyle name="40% - Accent1 2 2 3 2 7" xfId="5459"/>
    <cellStyle name="40% - Accent1 2 2 3 3" xfId="417"/>
    <cellStyle name="40% - Accent1 2 2 3 3 2" xfId="883"/>
    <cellStyle name="40% - Accent1 2 2 3 3 2 2" xfId="2028"/>
    <cellStyle name="40% - Accent1 2 2 3 3 2 2 2" xfId="3791"/>
    <cellStyle name="40% - Accent1 2 2 3 3 2 2 3" xfId="5162"/>
    <cellStyle name="40% - Accent1 2 2 3 3 2 3" xfId="1466"/>
    <cellStyle name="40% - Accent1 2 2 3 3 2 3 2" xfId="3273"/>
    <cellStyle name="40% - Accent1 2 2 3 3 2 4" xfId="2695"/>
    <cellStyle name="40% - Accent1 2 2 3 3 2 5" xfId="4644"/>
    <cellStyle name="40% - Accent1 2 2 3 3 2 6" xfId="5462"/>
    <cellStyle name="40% - Accent1 2 2 3 3 3" xfId="1788"/>
    <cellStyle name="40% - Accent1 2 2 3 3 3 2" xfId="3555"/>
    <cellStyle name="40% - Accent1 2 2 3 3 3 3" xfId="4926"/>
    <cellStyle name="40% - Accent1 2 2 3 3 4" xfId="1210"/>
    <cellStyle name="40% - Accent1 2 2 3 3 4 2" xfId="3017"/>
    <cellStyle name="40% - Accent1 2 2 3 3 5" xfId="2441"/>
    <cellStyle name="40% - Accent1 2 2 3 3 6" xfId="4388"/>
    <cellStyle name="40% - Accent1 2 2 3 3 7" xfId="5461"/>
    <cellStyle name="40% - Accent1 2 2 3 4" xfId="881"/>
    <cellStyle name="40% - Accent1 2 2 3 4 2" xfId="2026"/>
    <cellStyle name="40% - Accent1 2 2 3 4 2 2" xfId="3789"/>
    <cellStyle name="40% - Accent1 2 2 3 4 2 3" xfId="5160"/>
    <cellStyle name="40% - Accent1 2 2 3 4 3" xfId="1464"/>
    <cellStyle name="40% - Accent1 2 2 3 4 3 2" xfId="3271"/>
    <cellStyle name="40% - Accent1 2 2 3 4 4" xfId="2693"/>
    <cellStyle name="40% - Accent1 2 2 3 4 5" xfId="4642"/>
    <cellStyle name="40% - Accent1 2 2 3 4 6" xfId="5463"/>
    <cellStyle name="40% - Accent1 2 2 3 5" xfId="1786"/>
    <cellStyle name="40% - Accent1 2 2 3 5 2" xfId="3553"/>
    <cellStyle name="40% - Accent1 2 2 3 5 3" xfId="4924"/>
    <cellStyle name="40% - Accent1 2 2 3 6" xfId="1208"/>
    <cellStyle name="40% - Accent1 2 2 3 6 2" xfId="3015"/>
    <cellStyle name="40% - Accent1 2 2 3 7" xfId="2439"/>
    <cellStyle name="40% - Accent1 2 2 3 8" xfId="4386"/>
    <cellStyle name="40% - Accent1 2 2 3 9" xfId="5458"/>
    <cellStyle name="40% - Accent1 2 2 4" xfId="418"/>
    <cellStyle name="40% - Accent1 2 2 4 2" xfId="884"/>
    <cellStyle name="40% - Accent1 2 2 4 2 2" xfId="2029"/>
    <cellStyle name="40% - Accent1 2 2 4 2 2 2" xfId="3792"/>
    <cellStyle name="40% - Accent1 2 2 4 2 2 3" xfId="5163"/>
    <cellStyle name="40% - Accent1 2 2 4 2 3" xfId="1467"/>
    <cellStyle name="40% - Accent1 2 2 4 2 3 2" xfId="3274"/>
    <cellStyle name="40% - Accent1 2 2 4 2 4" xfId="2696"/>
    <cellStyle name="40% - Accent1 2 2 4 2 5" xfId="4645"/>
    <cellStyle name="40% - Accent1 2 2 4 2 6" xfId="5465"/>
    <cellStyle name="40% - Accent1 2 2 4 3" xfId="1789"/>
    <cellStyle name="40% - Accent1 2 2 4 3 2" xfId="3556"/>
    <cellStyle name="40% - Accent1 2 2 4 3 3" xfId="4927"/>
    <cellStyle name="40% - Accent1 2 2 4 4" xfId="1211"/>
    <cellStyle name="40% - Accent1 2 2 4 4 2" xfId="3018"/>
    <cellStyle name="40% - Accent1 2 2 4 5" xfId="2442"/>
    <cellStyle name="40% - Accent1 2 2 4 6" xfId="4389"/>
    <cellStyle name="40% - Accent1 2 2 4 7" xfId="5464"/>
    <cellStyle name="40% - Accent1 2 2 5" xfId="419"/>
    <cellStyle name="40% - Accent1 2 2 5 2" xfId="885"/>
    <cellStyle name="40% - Accent1 2 2 5 2 2" xfId="2030"/>
    <cellStyle name="40% - Accent1 2 2 5 2 2 2" xfId="3793"/>
    <cellStyle name="40% - Accent1 2 2 5 2 2 3" xfId="5164"/>
    <cellStyle name="40% - Accent1 2 2 5 2 3" xfId="1468"/>
    <cellStyle name="40% - Accent1 2 2 5 2 3 2" xfId="3275"/>
    <cellStyle name="40% - Accent1 2 2 5 2 4" xfId="2697"/>
    <cellStyle name="40% - Accent1 2 2 5 2 5" xfId="4646"/>
    <cellStyle name="40% - Accent1 2 2 5 2 6" xfId="5467"/>
    <cellStyle name="40% - Accent1 2 2 5 3" xfId="1790"/>
    <cellStyle name="40% - Accent1 2 2 5 3 2" xfId="3557"/>
    <cellStyle name="40% - Accent1 2 2 5 3 3" xfId="4928"/>
    <cellStyle name="40% - Accent1 2 2 5 4" xfId="1212"/>
    <cellStyle name="40% - Accent1 2 2 5 4 2" xfId="3019"/>
    <cellStyle name="40% - Accent1 2 2 5 5" xfId="2443"/>
    <cellStyle name="40% - Accent1 2 2 5 6" xfId="4390"/>
    <cellStyle name="40% - Accent1 2 2 5 7" xfId="5466"/>
    <cellStyle name="40% - Accent1 2 2 6" xfId="877"/>
    <cellStyle name="40% - Accent1 2 2 6 2" xfId="2022"/>
    <cellStyle name="40% - Accent1 2 2 6 2 2" xfId="3785"/>
    <cellStyle name="40% - Accent1 2 2 6 2 3" xfId="5156"/>
    <cellStyle name="40% - Accent1 2 2 6 3" xfId="1460"/>
    <cellStyle name="40% - Accent1 2 2 6 3 2" xfId="3267"/>
    <cellStyle name="40% - Accent1 2 2 6 4" xfId="2689"/>
    <cellStyle name="40% - Accent1 2 2 6 5" xfId="4638"/>
    <cellStyle name="40% - Accent1 2 2 6 6" xfId="5468"/>
    <cellStyle name="40% - Accent1 2 2 7" xfId="1782"/>
    <cellStyle name="40% - Accent1 2 2 7 2" xfId="3549"/>
    <cellStyle name="40% - Accent1 2 2 7 3" xfId="4920"/>
    <cellStyle name="40% - Accent1 2 2 8" xfId="1204"/>
    <cellStyle name="40% - Accent1 2 2 8 2" xfId="3011"/>
    <cellStyle name="40% - Accent1 2 2 9" xfId="2435"/>
    <cellStyle name="40% - Accent1 2 3" xfId="420"/>
    <cellStyle name="40% - Accent1 2 4" xfId="421"/>
    <cellStyle name="40% - Accent1 3" xfId="222"/>
    <cellStyle name="40% - Accent1 3 2" xfId="422"/>
    <cellStyle name="40% - Accent1 3 3" xfId="2207"/>
    <cellStyle name="40% - Accent1 3 3 2" xfId="3954"/>
    <cellStyle name="40% - Accent1 3 4" xfId="2284"/>
    <cellStyle name="40% - Accent1 3 5" xfId="4050"/>
    <cellStyle name="40% - Accent1 3 6" xfId="4128"/>
    <cellStyle name="40% - Accent1 3 7" xfId="4205"/>
    <cellStyle name="40% - Accent1 3 8" xfId="4282"/>
    <cellStyle name="40% - Accent1 3 9" xfId="5946"/>
    <cellStyle name="40% - Accent1 4" xfId="423"/>
    <cellStyle name="40% - Accent1 5" xfId="806"/>
    <cellStyle name="40% - Accent1 5 2" xfId="1951"/>
    <cellStyle name="40% - Accent1 5 2 2" xfId="3714"/>
    <cellStyle name="40% - Accent1 5 2 3" xfId="5085"/>
    <cellStyle name="40% - Accent1 5 3" xfId="1389"/>
    <cellStyle name="40% - Accent1 5 3 2" xfId="3196"/>
    <cellStyle name="40% - Accent1 5 4" xfId="2618"/>
    <cellStyle name="40% - Accent1 5 5" xfId="4567"/>
    <cellStyle name="40% - Accent1 5 6" xfId="5469"/>
    <cellStyle name="40% - Accent1 6" xfId="304"/>
    <cellStyle name="40% - Accent1 6 2" xfId="1635"/>
    <cellStyle name="40% - Accent1 6 2 2" xfId="3442"/>
    <cellStyle name="40% - Accent1 6 3" xfId="2363"/>
    <cellStyle name="40% - Accent1 6 4" xfId="4813"/>
    <cellStyle name="40% - Accent1 7" xfId="1073"/>
    <cellStyle name="40% - Accent1 7 2" xfId="2883"/>
    <cellStyle name="40% - Accent1 8" xfId="1133"/>
    <cellStyle name="40% - Accent1 8 2" xfId="2940"/>
    <cellStyle name="40% - Accent1 9" xfId="19"/>
    <cellStyle name="40% - Accent1 9 2" xfId="2225"/>
    <cellStyle name="40% - Accent2" xfId="3984" builtinId="35" customBuiltin="1"/>
    <cellStyle name="40% - Accent2 10" xfId="4070"/>
    <cellStyle name="40% - Accent2 11" xfId="4147"/>
    <cellStyle name="40% - Accent2 12" xfId="4224"/>
    <cellStyle name="40% - Accent2 13" xfId="4298"/>
    <cellStyle name="40% - Accent2 14" xfId="5327"/>
    <cellStyle name="40% - Accent2 15" xfId="5862"/>
    <cellStyle name="40% - Accent2 2" xfId="74"/>
    <cellStyle name="40% - Accent2 2 2" xfId="424"/>
    <cellStyle name="40% - Accent2 2 2 10" xfId="4391"/>
    <cellStyle name="40% - Accent2 2 2 11" xfId="5470"/>
    <cellStyle name="40% - Accent2 2 2 2" xfId="425"/>
    <cellStyle name="40% - Accent2 2 2 2 2" xfId="426"/>
    <cellStyle name="40% - Accent2 2 2 2 2 2" xfId="888"/>
    <cellStyle name="40% - Accent2 2 2 2 2 2 2" xfId="2033"/>
    <cellStyle name="40% - Accent2 2 2 2 2 2 2 2" xfId="3796"/>
    <cellStyle name="40% - Accent2 2 2 2 2 2 2 3" xfId="5167"/>
    <cellStyle name="40% - Accent2 2 2 2 2 2 3" xfId="1471"/>
    <cellStyle name="40% - Accent2 2 2 2 2 2 3 2" xfId="3278"/>
    <cellStyle name="40% - Accent2 2 2 2 2 2 4" xfId="2700"/>
    <cellStyle name="40% - Accent2 2 2 2 2 2 5" xfId="4649"/>
    <cellStyle name="40% - Accent2 2 2 2 2 2 6" xfId="5473"/>
    <cellStyle name="40% - Accent2 2 2 2 2 3" xfId="1793"/>
    <cellStyle name="40% - Accent2 2 2 2 2 3 2" xfId="3560"/>
    <cellStyle name="40% - Accent2 2 2 2 2 3 3" xfId="4931"/>
    <cellStyle name="40% - Accent2 2 2 2 2 4" xfId="1215"/>
    <cellStyle name="40% - Accent2 2 2 2 2 4 2" xfId="3022"/>
    <cellStyle name="40% - Accent2 2 2 2 2 5" xfId="2446"/>
    <cellStyle name="40% - Accent2 2 2 2 2 6" xfId="4393"/>
    <cellStyle name="40% - Accent2 2 2 2 2 7" xfId="5472"/>
    <cellStyle name="40% - Accent2 2 2 2 3" xfId="427"/>
    <cellStyle name="40% - Accent2 2 2 2 3 2" xfId="889"/>
    <cellStyle name="40% - Accent2 2 2 2 3 2 2" xfId="2034"/>
    <cellStyle name="40% - Accent2 2 2 2 3 2 2 2" xfId="3797"/>
    <cellStyle name="40% - Accent2 2 2 2 3 2 2 3" xfId="5168"/>
    <cellStyle name="40% - Accent2 2 2 2 3 2 3" xfId="1472"/>
    <cellStyle name="40% - Accent2 2 2 2 3 2 3 2" xfId="3279"/>
    <cellStyle name="40% - Accent2 2 2 2 3 2 4" xfId="2701"/>
    <cellStyle name="40% - Accent2 2 2 2 3 2 5" xfId="4650"/>
    <cellStyle name="40% - Accent2 2 2 2 3 2 6" xfId="5475"/>
    <cellStyle name="40% - Accent2 2 2 2 3 3" xfId="1794"/>
    <cellStyle name="40% - Accent2 2 2 2 3 3 2" xfId="3561"/>
    <cellStyle name="40% - Accent2 2 2 2 3 3 3" xfId="4932"/>
    <cellStyle name="40% - Accent2 2 2 2 3 4" xfId="1216"/>
    <cellStyle name="40% - Accent2 2 2 2 3 4 2" xfId="3023"/>
    <cellStyle name="40% - Accent2 2 2 2 3 5" xfId="2447"/>
    <cellStyle name="40% - Accent2 2 2 2 3 6" xfId="4394"/>
    <cellStyle name="40% - Accent2 2 2 2 3 7" xfId="5474"/>
    <cellStyle name="40% - Accent2 2 2 2 4" xfId="887"/>
    <cellStyle name="40% - Accent2 2 2 2 4 2" xfId="2032"/>
    <cellStyle name="40% - Accent2 2 2 2 4 2 2" xfId="3795"/>
    <cellStyle name="40% - Accent2 2 2 2 4 2 3" xfId="5166"/>
    <cellStyle name="40% - Accent2 2 2 2 4 3" xfId="1470"/>
    <cellStyle name="40% - Accent2 2 2 2 4 3 2" xfId="3277"/>
    <cellStyle name="40% - Accent2 2 2 2 4 4" xfId="2699"/>
    <cellStyle name="40% - Accent2 2 2 2 4 5" xfId="4648"/>
    <cellStyle name="40% - Accent2 2 2 2 4 6" xfId="5476"/>
    <cellStyle name="40% - Accent2 2 2 2 5" xfId="1792"/>
    <cellStyle name="40% - Accent2 2 2 2 5 2" xfId="3559"/>
    <cellStyle name="40% - Accent2 2 2 2 5 3" xfId="4930"/>
    <cellStyle name="40% - Accent2 2 2 2 6" xfId="1214"/>
    <cellStyle name="40% - Accent2 2 2 2 6 2" xfId="3021"/>
    <cellStyle name="40% - Accent2 2 2 2 7" xfId="2445"/>
    <cellStyle name="40% - Accent2 2 2 2 8" xfId="4392"/>
    <cellStyle name="40% - Accent2 2 2 2 9" xfId="5471"/>
    <cellStyle name="40% - Accent2 2 2 3" xfId="428"/>
    <cellStyle name="40% - Accent2 2 2 3 2" xfId="429"/>
    <cellStyle name="40% - Accent2 2 2 3 2 2" xfId="891"/>
    <cellStyle name="40% - Accent2 2 2 3 2 2 2" xfId="2036"/>
    <cellStyle name="40% - Accent2 2 2 3 2 2 2 2" xfId="3799"/>
    <cellStyle name="40% - Accent2 2 2 3 2 2 2 3" xfId="5170"/>
    <cellStyle name="40% - Accent2 2 2 3 2 2 3" xfId="1474"/>
    <cellStyle name="40% - Accent2 2 2 3 2 2 3 2" xfId="3281"/>
    <cellStyle name="40% - Accent2 2 2 3 2 2 4" xfId="2703"/>
    <cellStyle name="40% - Accent2 2 2 3 2 2 5" xfId="4652"/>
    <cellStyle name="40% - Accent2 2 2 3 2 2 6" xfId="5479"/>
    <cellStyle name="40% - Accent2 2 2 3 2 3" xfId="1796"/>
    <cellStyle name="40% - Accent2 2 2 3 2 3 2" xfId="3563"/>
    <cellStyle name="40% - Accent2 2 2 3 2 3 3" xfId="4934"/>
    <cellStyle name="40% - Accent2 2 2 3 2 4" xfId="1218"/>
    <cellStyle name="40% - Accent2 2 2 3 2 4 2" xfId="3025"/>
    <cellStyle name="40% - Accent2 2 2 3 2 5" xfId="2449"/>
    <cellStyle name="40% - Accent2 2 2 3 2 6" xfId="4396"/>
    <cellStyle name="40% - Accent2 2 2 3 2 7" xfId="5478"/>
    <cellStyle name="40% - Accent2 2 2 3 3" xfId="430"/>
    <cellStyle name="40% - Accent2 2 2 3 3 2" xfId="892"/>
    <cellStyle name="40% - Accent2 2 2 3 3 2 2" xfId="2037"/>
    <cellStyle name="40% - Accent2 2 2 3 3 2 2 2" xfId="3800"/>
    <cellStyle name="40% - Accent2 2 2 3 3 2 2 3" xfId="5171"/>
    <cellStyle name="40% - Accent2 2 2 3 3 2 3" xfId="1475"/>
    <cellStyle name="40% - Accent2 2 2 3 3 2 3 2" xfId="3282"/>
    <cellStyle name="40% - Accent2 2 2 3 3 2 4" xfId="2704"/>
    <cellStyle name="40% - Accent2 2 2 3 3 2 5" xfId="4653"/>
    <cellStyle name="40% - Accent2 2 2 3 3 2 6" xfId="5481"/>
    <cellStyle name="40% - Accent2 2 2 3 3 3" xfId="1797"/>
    <cellStyle name="40% - Accent2 2 2 3 3 3 2" xfId="3564"/>
    <cellStyle name="40% - Accent2 2 2 3 3 3 3" xfId="4935"/>
    <cellStyle name="40% - Accent2 2 2 3 3 4" xfId="1219"/>
    <cellStyle name="40% - Accent2 2 2 3 3 4 2" xfId="3026"/>
    <cellStyle name="40% - Accent2 2 2 3 3 5" xfId="2450"/>
    <cellStyle name="40% - Accent2 2 2 3 3 6" xfId="4397"/>
    <cellStyle name="40% - Accent2 2 2 3 3 7" xfId="5480"/>
    <cellStyle name="40% - Accent2 2 2 3 4" xfId="890"/>
    <cellStyle name="40% - Accent2 2 2 3 4 2" xfId="2035"/>
    <cellStyle name="40% - Accent2 2 2 3 4 2 2" xfId="3798"/>
    <cellStyle name="40% - Accent2 2 2 3 4 2 3" xfId="5169"/>
    <cellStyle name="40% - Accent2 2 2 3 4 3" xfId="1473"/>
    <cellStyle name="40% - Accent2 2 2 3 4 3 2" xfId="3280"/>
    <cellStyle name="40% - Accent2 2 2 3 4 4" xfId="2702"/>
    <cellStyle name="40% - Accent2 2 2 3 4 5" xfId="4651"/>
    <cellStyle name="40% - Accent2 2 2 3 4 6" xfId="5482"/>
    <cellStyle name="40% - Accent2 2 2 3 5" xfId="1795"/>
    <cellStyle name="40% - Accent2 2 2 3 5 2" xfId="3562"/>
    <cellStyle name="40% - Accent2 2 2 3 5 3" xfId="4933"/>
    <cellStyle name="40% - Accent2 2 2 3 6" xfId="1217"/>
    <cellStyle name="40% - Accent2 2 2 3 6 2" xfId="3024"/>
    <cellStyle name="40% - Accent2 2 2 3 7" xfId="2448"/>
    <cellStyle name="40% - Accent2 2 2 3 8" xfId="4395"/>
    <cellStyle name="40% - Accent2 2 2 3 9" xfId="5477"/>
    <cellStyle name="40% - Accent2 2 2 4" xfId="431"/>
    <cellStyle name="40% - Accent2 2 2 4 2" xfId="893"/>
    <cellStyle name="40% - Accent2 2 2 4 2 2" xfId="2038"/>
    <cellStyle name="40% - Accent2 2 2 4 2 2 2" xfId="3801"/>
    <cellStyle name="40% - Accent2 2 2 4 2 2 3" xfId="5172"/>
    <cellStyle name="40% - Accent2 2 2 4 2 3" xfId="1476"/>
    <cellStyle name="40% - Accent2 2 2 4 2 3 2" xfId="3283"/>
    <cellStyle name="40% - Accent2 2 2 4 2 4" xfId="2705"/>
    <cellStyle name="40% - Accent2 2 2 4 2 5" xfId="4654"/>
    <cellStyle name="40% - Accent2 2 2 4 2 6" xfId="5484"/>
    <cellStyle name="40% - Accent2 2 2 4 3" xfId="1798"/>
    <cellStyle name="40% - Accent2 2 2 4 3 2" xfId="3565"/>
    <cellStyle name="40% - Accent2 2 2 4 3 3" xfId="4936"/>
    <cellStyle name="40% - Accent2 2 2 4 4" xfId="1220"/>
    <cellStyle name="40% - Accent2 2 2 4 4 2" xfId="3027"/>
    <cellStyle name="40% - Accent2 2 2 4 5" xfId="2451"/>
    <cellStyle name="40% - Accent2 2 2 4 6" xfId="4398"/>
    <cellStyle name="40% - Accent2 2 2 4 7" xfId="5483"/>
    <cellStyle name="40% - Accent2 2 2 5" xfId="432"/>
    <cellStyle name="40% - Accent2 2 2 5 2" xfId="894"/>
    <cellStyle name="40% - Accent2 2 2 5 2 2" xfId="2039"/>
    <cellStyle name="40% - Accent2 2 2 5 2 2 2" xfId="3802"/>
    <cellStyle name="40% - Accent2 2 2 5 2 2 3" xfId="5173"/>
    <cellStyle name="40% - Accent2 2 2 5 2 3" xfId="1477"/>
    <cellStyle name="40% - Accent2 2 2 5 2 3 2" xfId="3284"/>
    <cellStyle name="40% - Accent2 2 2 5 2 4" xfId="2706"/>
    <cellStyle name="40% - Accent2 2 2 5 2 5" xfId="4655"/>
    <cellStyle name="40% - Accent2 2 2 5 2 6" xfId="5486"/>
    <cellStyle name="40% - Accent2 2 2 5 3" xfId="1799"/>
    <cellStyle name="40% - Accent2 2 2 5 3 2" xfId="3566"/>
    <cellStyle name="40% - Accent2 2 2 5 3 3" xfId="4937"/>
    <cellStyle name="40% - Accent2 2 2 5 4" xfId="1221"/>
    <cellStyle name="40% - Accent2 2 2 5 4 2" xfId="3028"/>
    <cellStyle name="40% - Accent2 2 2 5 5" xfId="2452"/>
    <cellStyle name="40% - Accent2 2 2 5 6" xfId="4399"/>
    <cellStyle name="40% - Accent2 2 2 5 7" xfId="5485"/>
    <cellStyle name="40% - Accent2 2 2 6" xfId="886"/>
    <cellStyle name="40% - Accent2 2 2 6 2" xfId="2031"/>
    <cellStyle name="40% - Accent2 2 2 6 2 2" xfId="3794"/>
    <cellStyle name="40% - Accent2 2 2 6 2 3" xfId="5165"/>
    <cellStyle name="40% - Accent2 2 2 6 3" xfId="1469"/>
    <cellStyle name="40% - Accent2 2 2 6 3 2" xfId="3276"/>
    <cellStyle name="40% - Accent2 2 2 6 4" xfId="2698"/>
    <cellStyle name="40% - Accent2 2 2 6 5" xfId="4647"/>
    <cellStyle name="40% - Accent2 2 2 6 6" xfId="5487"/>
    <cellStyle name="40% - Accent2 2 2 7" xfId="1791"/>
    <cellStyle name="40% - Accent2 2 2 7 2" xfId="3558"/>
    <cellStyle name="40% - Accent2 2 2 7 3" xfId="4929"/>
    <cellStyle name="40% - Accent2 2 2 8" xfId="1213"/>
    <cellStyle name="40% - Accent2 2 2 8 2" xfId="3020"/>
    <cellStyle name="40% - Accent2 2 2 9" xfId="2444"/>
    <cellStyle name="40% - Accent2 2 3" xfId="433"/>
    <cellStyle name="40% - Accent2 2 4" xfId="434"/>
    <cellStyle name="40% - Accent2 3" xfId="224"/>
    <cellStyle name="40% - Accent2 3 2" xfId="435"/>
    <cellStyle name="40% - Accent2 3 3" xfId="2210"/>
    <cellStyle name="40% - Accent2 3 3 2" xfId="3956"/>
    <cellStyle name="40% - Accent2 3 4" xfId="2286"/>
    <cellStyle name="40% - Accent2 3 5" xfId="4052"/>
    <cellStyle name="40% - Accent2 3 6" xfId="4130"/>
    <cellStyle name="40% - Accent2 3 7" xfId="4207"/>
    <cellStyle name="40% - Accent2 3 8" xfId="4284"/>
    <cellStyle name="40% - Accent2 3 9" xfId="5948"/>
    <cellStyle name="40% - Accent2 4" xfId="436"/>
    <cellStyle name="40% - Accent2 5" xfId="808"/>
    <cellStyle name="40% - Accent2 5 2" xfId="1953"/>
    <cellStyle name="40% - Accent2 5 2 2" xfId="3716"/>
    <cellStyle name="40% - Accent2 5 2 3" xfId="5087"/>
    <cellStyle name="40% - Accent2 5 3" xfId="1391"/>
    <cellStyle name="40% - Accent2 5 3 2" xfId="3198"/>
    <cellStyle name="40% - Accent2 5 4" xfId="2620"/>
    <cellStyle name="40% - Accent2 5 5" xfId="4569"/>
    <cellStyle name="40% - Accent2 5 6" xfId="5488"/>
    <cellStyle name="40% - Accent2 6" xfId="306"/>
    <cellStyle name="40% - Accent2 6 2" xfId="1636"/>
    <cellStyle name="40% - Accent2 6 2 2" xfId="3443"/>
    <cellStyle name="40% - Accent2 6 3" xfId="2365"/>
    <cellStyle name="40% - Accent2 6 4" xfId="4814"/>
    <cellStyle name="40% - Accent2 7" xfId="1075"/>
    <cellStyle name="40% - Accent2 7 2" xfId="2885"/>
    <cellStyle name="40% - Accent2 8" xfId="1135"/>
    <cellStyle name="40% - Accent2 8 2" xfId="2942"/>
    <cellStyle name="40% - Accent2 9" xfId="22"/>
    <cellStyle name="40% - Accent2 9 2" xfId="2227"/>
    <cellStyle name="40% - Accent3" xfId="3987" builtinId="39" customBuiltin="1"/>
    <cellStyle name="40% - Accent3 10" xfId="4072"/>
    <cellStyle name="40% - Accent3 11" xfId="4149"/>
    <cellStyle name="40% - Accent3 12" xfId="4226"/>
    <cellStyle name="40% - Accent3 13" xfId="4300"/>
    <cellStyle name="40% - Accent3 14" xfId="5329"/>
    <cellStyle name="40% - Accent3 15" xfId="5864"/>
    <cellStyle name="40% - Accent3 2" xfId="75"/>
    <cellStyle name="40% - Accent3 2 2" xfId="437"/>
    <cellStyle name="40% - Accent3 2 2 10" xfId="4400"/>
    <cellStyle name="40% - Accent3 2 2 11" xfId="5489"/>
    <cellStyle name="40% - Accent3 2 2 2" xfId="438"/>
    <cellStyle name="40% - Accent3 2 2 2 2" xfId="439"/>
    <cellStyle name="40% - Accent3 2 2 2 2 2" xfId="897"/>
    <cellStyle name="40% - Accent3 2 2 2 2 2 2" xfId="2042"/>
    <cellStyle name="40% - Accent3 2 2 2 2 2 2 2" xfId="3805"/>
    <cellStyle name="40% - Accent3 2 2 2 2 2 2 3" xfId="5176"/>
    <cellStyle name="40% - Accent3 2 2 2 2 2 3" xfId="1480"/>
    <cellStyle name="40% - Accent3 2 2 2 2 2 3 2" xfId="3287"/>
    <cellStyle name="40% - Accent3 2 2 2 2 2 4" xfId="2709"/>
    <cellStyle name="40% - Accent3 2 2 2 2 2 5" xfId="4658"/>
    <cellStyle name="40% - Accent3 2 2 2 2 2 6" xfId="5492"/>
    <cellStyle name="40% - Accent3 2 2 2 2 3" xfId="1802"/>
    <cellStyle name="40% - Accent3 2 2 2 2 3 2" xfId="3569"/>
    <cellStyle name="40% - Accent3 2 2 2 2 3 3" xfId="4940"/>
    <cellStyle name="40% - Accent3 2 2 2 2 4" xfId="1224"/>
    <cellStyle name="40% - Accent3 2 2 2 2 4 2" xfId="3031"/>
    <cellStyle name="40% - Accent3 2 2 2 2 5" xfId="2455"/>
    <cellStyle name="40% - Accent3 2 2 2 2 6" xfId="4402"/>
    <cellStyle name="40% - Accent3 2 2 2 2 7" xfId="5491"/>
    <cellStyle name="40% - Accent3 2 2 2 3" xfId="440"/>
    <cellStyle name="40% - Accent3 2 2 2 3 2" xfId="898"/>
    <cellStyle name="40% - Accent3 2 2 2 3 2 2" xfId="2043"/>
    <cellStyle name="40% - Accent3 2 2 2 3 2 2 2" xfId="3806"/>
    <cellStyle name="40% - Accent3 2 2 2 3 2 2 3" xfId="5177"/>
    <cellStyle name="40% - Accent3 2 2 2 3 2 3" xfId="1481"/>
    <cellStyle name="40% - Accent3 2 2 2 3 2 3 2" xfId="3288"/>
    <cellStyle name="40% - Accent3 2 2 2 3 2 4" xfId="2710"/>
    <cellStyle name="40% - Accent3 2 2 2 3 2 5" xfId="4659"/>
    <cellStyle name="40% - Accent3 2 2 2 3 2 6" xfId="5494"/>
    <cellStyle name="40% - Accent3 2 2 2 3 3" xfId="1803"/>
    <cellStyle name="40% - Accent3 2 2 2 3 3 2" xfId="3570"/>
    <cellStyle name="40% - Accent3 2 2 2 3 3 3" xfId="4941"/>
    <cellStyle name="40% - Accent3 2 2 2 3 4" xfId="1225"/>
    <cellStyle name="40% - Accent3 2 2 2 3 4 2" xfId="3032"/>
    <cellStyle name="40% - Accent3 2 2 2 3 5" xfId="2456"/>
    <cellStyle name="40% - Accent3 2 2 2 3 6" xfId="4403"/>
    <cellStyle name="40% - Accent3 2 2 2 3 7" xfId="5493"/>
    <cellStyle name="40% - Accent3 2 2 2 4" xfId="896"/>
    <cellStyle name="40% - Accent3 2 2 2 4 2" xfId="2041"/>
    <cellStyle name="40% - Accent3 2 2 2 4 2 2" xfId="3804"/>
    <cellStyle name="40% - Accent3 2 2 2 4 2 3" xfId="5175"/>
    <cellStyle name="40% - Accent3 2 2 2 4 3" xfId="1479"/>
    <cellStyle name="40% - Accent3 2 2 2 4 3 2" xfId="3286"/>
    <cellStyle name="40% - Accent3 2 2 2 4 4" xfId="2708"/>
    <cellStyle name="40% - Accent3 2 2 2 4 5" xfId="4657"/>
    <cellStyle name="40% - Accent3 2 2 2 4 6" xfId="5495"/>
    <cellStyle name="40% - Accent3 2 2 2 5" xfId="1801"/>
    <cellStyle name="40% - Accent3 2 2 2 5 2" xfId="3568"/>
    <cellStyle name="40% - Accent3 2 2 2 5 3" xfId="4939"/>
    <cellStyle name="40% - Accent3 2 2 2 6" xfId="1223"/>
    <cellStyle name="40% - Accent3 2 2 2 6 2" xfId="3030"/>
    <cellStyle name="40% - Accent3 2 2 2 7" xfId="2454"/>
    <cellStyle name="40% - Accent3 2 2 2 8" xfId="4401"/>
    <cellStyle name="40% - Accent3 2 2 2 9" xfId="5490"/>
    <cellStyle name="40% - Accent3 2 2 3" xfId="441"/>
    <cellStyle name="40% - Accent3 2 2 3 2" xfId="442"/>
    <cellStyle name="40% - Accent3 2 2 3 2 2" xfId="900"/>
    <cellStyle name="40% - Accent3 2 2 3 2 2 2" xfId="2045"/>
    <cellStyle name="40% - Accent3 2 2 3 2 2 2 2" xfId="3808"/>
    <cellStyle name="40% - Accent3 2 2 3 2 2 2 3" xfId="5179"/>
    <cellStyle name="40% - Accent3 2 2 3 2 2 3" xfId="1483"/>
    <cellStyle name="40% - Accent3 2 2 3 2 2 3 2" xfId="3290"/>
    <cellStyle name="40% - Accent3 2 2 3 2 2 4" xfId="2712"/>
    <cellStyle name="40% - Accent3 2 2 3 2 2 5" xfId="4661"/>
    <cellStyle name="40% - Accent3 2 2 3 2 2 6" xfId="5498"/>
    <cellStyle name="40% - Accent3 2 2 3 2 3" xfId="1805"/>
    <cellStyle name="40% - Accent3 2 2 3 2 3 2" xfId="3572"/>
    <cellStyle name="40% - Accent3 2 2 3 2 3 3" xfId="4943"/>
    <cellStyle name="40% - Accent3 2 2 3 2 4" xfId="1227"/>
    <cellStyle name="40% - Accent3 2 2 3 2 4 2" xfId="3034"/>
    <cellStyle name="40% - Accent3 2 2 3 2 5" xfId="2458"/>
    <cellStyle name="40% - Accent3 2 2 3 2 6" xfId="4405"/>
    <cellStyle name="40% - Accent3 2 2 3 2 7" xfId="5497"/>
    <cellStyle name="40% - Accent3 2 2 3 3" xfId="443"/>
    <cellStyle name="40% - Accent3 2 2 3 3 2" xfId="901"/>
    <cellStyle name="40% - Accent3 2 2 3 3 2 2" xfId="2046"/>
    <cellStyle name="40% - Accent3 2 2 3 3 2 2 2" xfId="3809"/>
    <cellStyle name="40% - Accent3 2 2 3 3 2 2 3" xfId="5180"/>
    <cellStyle name="40% - Accent3 2 2 3 3 2 3" xfId="1484"/>
    <cellStyle name="40% - Accent3 2 2 3 3 2 3 2" xfId="3291"/>
    <cellStyle name="40% - Accent3 2 2 3 3 2 4" xfId="2713"/>
    <cellStyle name="40% - Accent3 2 2 3 3 2 5" xfId="4662"/>
    <cellStyle name="40% - Accent3 2 2 3 3 2 6" xfId="5500"/>
    <cellStyle name="40% - Accent3 2 2 3 3 3" xfId="1806"/>
    <cellStyle name="40% - Accent3 2 2 3 3 3 2" xfId="3573"/>
    <cellStyle name="40% - Accent3 2 2 3 3 3 3" xfId="4944"/>
    <cellStyle name="40% - Accent3 2 2 3 3 4" xfId="1228"/>
    <cellStyle name="40% - Accent3 2 2 3 3 4 2" xfId="3035"/>
    <cellStyle name="40% - Accent3 2 2 3 3 5" xfId="2459"/>
    <cellStyle name="40% - Accent3 2 2 3 3 6" xfId="4406"/>
    <cellStyle name="40% - Accent3 2 2 3 3 7" xfId="5499"/>
    <cellStyle name="40% - Accent3 2 2 3 4" xfId="899"/>
    <cellStyle name="40% - Accent3 2 2 3 4 2" xfId="2044"/>
    <cellStyle name="40% - Accent3 2 2 3 4 2 2" xfId="3807"/>
    <cellStyle name="40% - Accent3 2 2 3 4 2 3" xfId="5178"/>
    <cellStyle name="40% - Accent3 2 2 3 4 3" xfId="1482"/>
    <cellStyle name="40% - Accent3 2 2 3 4 3 2" xfId="3289"/>
    <cellStyle name="40% - Accent3 2 2 3 4 4" xfId="2711"/>
    <cellStyle name="40% - Accent3 2 2 3 4 5" xfId="4660"/>
    <cellStyle name="40% - Accent3 2 2 3 4 6" xfId="5501"/>
    <cellStyle name="40% - Accent3 2 2 3 5" xfId="1804"/>
    <cellStyle name="40% - Accent3 2 2 3 5 2" xfId="3571"/>
    <cellStyle name="40% - Accent3 2 2 3 5 3" xfId="4942"/>
    <cellStyle name="40% - Accent3 2 2 3 6" xfId="1226"/>
    <cellStyle name="40% - Accent3 2 2 3 6 2" xfId="3033"/>
    <cellStyle name="40% - Accent3 2 2 3 7" xfId="2457"/>
    <cellStyle name="40% - Accent3 2 2 3 8" xfId="4404"/>
    <cellStyle name="40% - Accent3 2 2 3 9" xfId="5496"/>
    <cellStyle name="40% - Accent3 2 2 4" xfId="444"/>
    <cellStyle name="40% - Accent3 2 2 4 2" xfId="902"/>
    <cellStyle name="40% - Accent3 2 2 4 2 2" xfId="2047"/>
    <cellStyle name="40% - Accent3 2 2 4 2 2 2" xfId="3810"/>
    <cellStyle name="40% - Accent3 2 2 4 2 2 3" xfId="5181"/>
    <cellStyle name="40% - Accent3 2 2 4 2 3" xfId="1485"/>
    <cellStyle name="40% - Accent3 2 2 4 2 3 2" xfId="3292"/>
    <cellStyle name="40% - Accent3 2 2 4 2 4" xfId="2714"/>
    <cellStyle name="40% - Accent3 2 2 4 2 5" xfId="4663"/>
    <cellStyle name="40% - Accent3 2 2 4 2 6" xfId="5503"/>
    <cellStyle name="40% - Accent3 2 2 4 3" xfId="1807"/>
    <cellStyle name="40% - Accent3 2 2 4 3 2" xfId="3574"/>
    <cellStyle name="40% - Accent3 2 2 4 3 3" xfId="4945"/>
    <cellStyle name="40% - Accent3 2 2 4 4" xfId="1229"/>
    <cellStyle name="40% - Accent3 2 2 4 4 2" xfId="3036"/>
    <cellStyle name="40% - Accent3 2 2 4 5" xfId="2460"/>
    <cellStyle name="40% - Accent3 2 2 4 6" xfId="4407"/>
    <cellStyle name="40% - Accent3 2 2 4 7" xfId="5502"/>
    <cellStyle name="40% - Accent3 2 2 5" xfId="445"/>
    <cellStyle name="40% - Accent3 2 2 5 2" xfId="903"/>
    <cellStyle name="40% - Accent3 2 2 5 2 2" xfId="2048"/>
    <cellStyle name="40% - Accent3 2 2 5 2 2 2" xfId="3811"/>
    <cellStyle name="40% - Accent3 2 2 5 2 2 3" xfId="5182"/>
    <cellStyle name="40% - Accent3 2 2 5 2 3" xfId="1486"/>
    <cellStyle name="40% - Accent3 2 2 5 2 3 2" xfId="3293"/>
    <cellStyle name="40% - Accent3 2 2 5 2 4" xfId="2715"/>
    <cellStyle name="40% - Accent3 2 2 5 2 5" xfId="4664"/>
    <cellStyle name="40% - Accent3 2 2 5 2 6" xfId="5505"/>
    <cellStyle name="40% - Accent3 2 2 5 3" xfId="1808"/>
    <cellStyle name="40% - Accent3 2 2 5 3 2" xfId="3575"/>
    <cellStyle name="40% - Accent3 2 2 5 3 3" xfId="4946"/>
    <cellStyle name="40% - Accent3 2 2 5 4" xfId="1230"/>
    <cellStyle name="40% - Accent3 2 2 5 4 2" xfId="3037"/>
    <cellStyle name="40% - Accent3 2 2 5 5" xfId="2461"/>
    <cellStyle name="40% - Accent3 2 2 5 6" xfId="4408"/>
    <cellStyle name="40% - Accent3 2 2 5 7" xfId="5504"/>
    <cellStyle name="40% - Accent3 2 2 6" xfId="895"/>
    <cellStyle name="40% - Accent3 2 2 6 2" xfId="2040"/>
    <cellStyle name="40% - Accent3 2 2 6 2 2" xfId="3803"/>
    <cellStyle name="40% - Accent3 2 2 6 2 3" xfId="5174"/>
    <cellStyle name="40% - Accent3 2 2 6 3" xfId="1478"/>
    <cellStyle name="40% - Accent3 2 2 6 3 2" xfId="3285"/>
    <cellStyle name="40% - Accent3 2 2 6 4" xfId="2707"/>
    <cellStyle name="40% - Accent3 2 2 6 5" xfId="4656"/>
    <cellStyle name="40% - Accent3 2 2 6 6" xfId="5506"/>
    <cellStyle name="40% - Accent3 2 2 7" xfId="1800"/>
    <cellStyle name="40% - Accent3 2 2 7 2" xfId="3567"/>
    <cellStyle name="40% - Accent3 2 2 7 3" xfId="4938"/>
    <cellStyle name="40% - Accent3 2 2 8" xfId="1222"/>
    <cellStyle name="40% - Accent3 2 2 8 2" xfId="3029"/>
    <cellStyle name="40% - Accent3 2 2 9" xfId="2453"/>
    <cellStyle name="40% - Accent3 2 3" xfId="446"/>
    <cellStyle name="40% - Accent3 2 4" xfId="447"/>
    <cellStyle name="40% - Accent3 3" xfId="226"/>
    <cellStyle name="40% - Accent3 3 2" xfId="448"/>
    <cellStyle name="40% - Accent3 3 3" xfId="2213"/>
    <cellStyle name="40% - Accent3 3 3 2" xfId="3958"/>
    <cellStyle name="40% - Accent3 3 4" xfId="2288"/>
    <cellStyle name="40% - Accent3 3 5" xfId="4054"/>
    <cellStyle name="40% - Accent3 3 6" xfId="4132"/>
    <cellStyle name="40% - Accent3 3 7" xfId="4209"/>
    <cellStyle name="40% - Accent3 3 8" xfId="4286"/>
    <cellStyle name="40% - Accent3 3 9" xfId="5950"/>
    <cellStyle name="40% - Accent3 4" xfId="449"/>
    <cellStyle name="40% - Accent3 5" xfId="810"/>
    <cellStyle name="40% - Accent3 5 2" xfId="1955"/>
    <cellStyle name="40% - Accent3 5 2 2" xfId="3718"/>
    <cellStyle name="40% - Accent3 5 2 3" xfId="5089"/>
    <cellStyle name="40% - Accent3 5 3" xfId="1393"/>
    <cellStyle name="40% - Accent3 5 3 2" xfId="3200"/>
    <cellStyle name="40% - Accent3 5 4" xfId="2622"/>
    <cellStyle name="40% - Accent3 5 5" xfId="4571"/>
    <cellStyle name="40% - Accent3 5 6" xfId="5507"/>
    <cellStyle name="40% - Accent3 6" xfId="308"/>
    <cellStyle name="40% - Accent3 6 2" xfId="1637"/>
    <cellStyle name="40% - Accent3 6 2 2" xfId="3444"/>
    <cellStyle name="40% - Accent3 6 3" xfId="2367"/>
    <cellStyle name="40% - Accent3 6 4" xfId="4815"/>
    <cellStyle name="40% - Accent3 7" xfId="1077"/>
    <cellStyle name="40% - Accent3 7 2" xfId="2887"/>
    <cellStyle name="40% - Accent3 8" xfId="1137"/>
    <cellStyle name="40% - Accent3 8 2" xfId="2944"/>
    <cellStyle name="40% - Accent3 9" xfId="25"/>
    <cellStyle name="40% - Accent3 9 2" xfId="2229"/>
    <cellStyle name="40% - Accent4" xfId="3990" builtinId="43" customBuiltin="1"/>
    <cellStyle name="40% - Accent4 10" xfId="4074"/>
    <cellStyle name="40% - Accent4 11" xfId="4151"/>
    <cellStyle name="40% - Accent4 12" xfId="4228"/>
    <cellStyle name="40% - Accent4 13" xfId="4302"/>
    <cellStyle name="40% - Accent4 14" xfId="5331"/>
    <cellStyle name="40% - Accent4 15" xfId="5866"/>
    <cellStyle name="40% - Accent4 2" xfId="76"/>
    <cellStyle name="40% - Accent4 2 2" xfId="450"/>
    <cellStyle name="40% - Accent4 2 2 10" xfId="4409"/>
    <cellStyle name="40% - Accent4 2 2 11" xfId="5508"/>
    <cellStyle name="40% - Accent4 2 2 2" xfId="451"/>
    <cellStyle name="40% - Accent4 2 2 2 2" xfId="452"/>
    <cellStyle name="40% - Accent4 2 2 2 2 2" xfId="906"/>
    <cellStyle name="40% - Accent4 2 2 2 2 2 2" xfId="2051"/>
    <cellStyle name="40% - Accent4 2 2 2 2 2 2 2" xfId="3814"/>
    <cellStyle name="40% - Accent4 2 2 2 2 2 2 3" xfId="5185"/>
    <cellStyle name="40% - Accent4 2 2 2 2 2 3" xfId="1489"/>
    <cellStyle name="40% - Accent4 2 2 2 2 2 3 2" xfId="3296"/>
    <cellStyle name="40% - Accent4 2 2 2 2 2 4" xfId="2718"/>
    <cellStyle name="40% - Accent4 2 2 2 2 2 5" xfId="4667"/>
    <cellStyle name="40% - Accent4 2 2 2 2 2 6" xfId="5511"/>
    <cellStyle name="40% - Accent4 2 2 2 2 3" xfId="1811"/>
    <cellStyle name="40% - Accent4 2 2 2 2 3 2" xfId="3578"/>
    <cellStyle name="40% - Accent4 2 2 2 2 3 3" xfId="4949"/>
    <cellStyle name="40% - Accent4 2 2 2 2 4" xfId="1233"/>
    <cellStyle name="40% - Accent4 2 2 2 2 4 2" xfId="3040"/>
    <cellStyle name="40% - Accent4 2 2 2 2 5" xfId="2464"/>
    <cellStyle name="40% - Accent4 2 2 2 2 6" xfId="4411"/>
    <cellStyle name="40% - Accent4 2 2 2 2 7" xfId="5510"/>
    <cellStyle name="40% - Accent4 2 2 2 3" xfId="453"/>
    <cellStyle name="40% - Accent4 2 2 2 3 2" xfId="907"/>
    <cellStyle name="40% - Accent4 2 2 2 3 2 2" xfId="2052"/>
    <cellStyle name="40% - Accent4 2 2 2 3 2 2 2" xfId="3815"/>
    <cellStyle name="40% - Accent4 2 2 2 3 2 2 3" xfId="5186"/>
    <cellStyle name="40% - Accent4 2 2 2 3 2 3" xfId="1490"/>
    <cellStyle name="40% - Accent4 2 2 2 3 2 3 2" xfId="3297"/>
    <cellStyle name="40% - Accent4 2 2 2 3 2 4" xfId="2719"/>
    <cellStyle name="40% - Accent4 2 2 2 3 2 5" xfId="4668"/>
    <cellStyle name="40% - Accent4 2 2 2 3 2 6" xfId="5513"/>
    <cellStyle name="40% - Accent4 2 2 2 3 3" xfId="1812"/>
    <cellStyle name="40% - Accent4 2 2 2 3 3 2" xfId="3579"/>
    <cellStyle name="40% - Accent4 2 2 2 3 3 3" xfId="4950"/>
    <cellStyle name="40% - Accent4 2 2 2 3 4" xfId="1234"/>
    <cellStyle name="40% - Accent4 2 2 2 3 4 2" xfId="3041"/>
    <cellStyle name="40% - Accent4 2 2 2 3 5" xfId="2465"/>
    <cellStyle name="40% - Accent4 2 2 2 3 6" xfId="4412"/>
    <cellStyle name="40% - Accent4 2 2 2 3 7" xfId="5512"/>
    <cellStyle name="40% - Accent4 2 2 2 4" xfId="905"/>
    <cellStyle name="40% - Accent4 2 2 2 4 2" xfId="2050"/>
    <cellStyle name="40% - Accent4 2 2 2 4 2 2" xfId="3813"/>
    <cellStyle name="40% - Accent4 2 2 2 4 2 3" xfId="5184"/>
    <cellStyle name="40% - Accent4 2 2 2 4 3" xfId="1488"/>
    <cellStyle name="40% - Accent4 2 2 2 4 3 2" xfId="3295"/>
    <cellStyle name="40% - Accent4 2 2 2 4 4" xfId="2717"/>
    <cellStyle name="40% - Accent4 2 2 2 4 5" xfId="4666"/>
    <cellStyle name="40% - Accent4 2 2 2 4 6" xfId="5514"/>
    <cellStyle name="40% - Accent4 2 2 2 5" xfId="1810"/>
    <cellStyle name="40% - Accent4 2 2 2 5 2" xfId="3577"/>
    <cellStyle name="40% - Accent4 2 2 2 5 3" xfId="4948"/>
    <cellStyle name="40% - Accent4 2 2 2 6" xfId="1232"/>
    <cellStyle name="40% - Accent4 2 2 2 6 2" xfId="3039"/>
    <cellStyle name="40% - Accent4 2 2 2 7" xfId="2463"/>
    <cellStyle name="40% - Accent4 2 2 2 8" xfId="4410"/>
    <cellStyle name="40% - Accent4 2 2 2 9" xfId="5509"/>
    <cellStyle name="40% - Accent4 2 2 3" xfId="454"/>
    <cellStyle name="40% - Accent4 2 2 3 2" xfId="455"/>
    <cellStyle name="40% - Accent4 2 2 3 2 2" xfId="909"/>
    <cellStyle name="40% - Accent4 2 2 3 2 2 2" xfId="2054"/>
    <cellStyle name="40% - Accent4 2 2 3 2 2 2 2" xfId="3817"/>
    <cellStyle name="40% - Accent4 2 2 3 2 2 2 3" xfId="5188"/>
    <cellStyle name="40% - Accent4 2 2 3 2 2 3" xfId="1492"/>
    <cellStyle name="40% - Accent4 2 2 3 2 2 3 2" xfId="3299"/>
    <cellStyle name="40% - Accent4 2 2 3 2 2 4" xfId="2721"/>
    <cellStyle name="40% - Accent4 2 2 3 2 2 5" xfId="4670"/>
    <cellStyle name="40% - Accent4 2 2 3 2 2 6" xfId="5517"/>
    <cellStyle name="40% - Accent4 2 2 3 2 3" xfId="1814"/>
    <cellStyle name="40% - Accent4 2 2 3 2 3 2" xfId="3581"/>
    <cellStyle name="40% - Accent4 2 2 3 2 3 3" xfId="4952"/>
    <cellStyle name="40% - Accent4 2 2 3 2 4" xfId="1236"/>
    <cellStyle name="40% - Accent4 2 2 3 2 4 2" xfId="3043"/>
    <cellStyle name="40% - Accent4 2 2 3 2 5" xfId="2467"/>
    <cellStyle name="40% - Accent4 2 2 3 2 6" xfId="4414"/>
    <cellStyle name="40% - Accent4 2 2 3 2 7" xfId="5516"/>
    <cellStyle name="40% - Accent4 2 2 3 3" xfId="456"/>
    <cellStyle name="40% - Accent4 2 2 3 3 2" xfId="910"/>
    <cellStyle name="40% - Accent4 2 2 3 3 2 2" xfId="2055"/>
    <cellStyle name="40% - Accent4 2 2 3 3 2 2 2" xfId="3818"/>
    <cellStyle name="40% - Accent4 2 2 3 3 2 2 3" xfId="5189"/>
    <cellStyle name="40% - Accent4 2 2 3 3 2 3" xfId="1493"/>
    <cellStyle name="40% - Accent4 2 2 3 3 2 3 2" xfId="3300"/>
    <cellStyle name="40% - Accent4 2 2 3 3 2 4" xfId="2722"/>
    <cellStyle name="40% - Accent4 2 2 3 3 2 5" xfId="4671"/>
    <cellStyle name="40% - Accent4 2 2 3 3 2 6" xfId="5519"/>
    <cellStyle name="40% - Accent4 2 2 3 3 3" xfId="1815"/>
    <cellStyle name="40% - Accent4 2 2 3 3 3 2" xfId="3582"/>
    <cellStyle name="40% - Accent4 2 2 3 3 3 3" xfId="4953"/>
    <cellStyle name="40% - Accent4 2 2 3 3 4" xfId="1237"/>
    <cellStyle name="40% - Accent4 2 2 3 3 4 2" xfId="3044"/>
    <cellStyle name="40% - Accent4 2 2 3 3 5" xfId="2468"/>
    <cellStyle name="40% - Accent4 2 2 3 3 6" xfId="4415"/>
    <cellStyle name="40% - Accent4 2 2 3 3 7" xfId="5518"/>
    <cellStyle name="40% - Accent4 2 2 3 4" xfId="908"/>
    <cellStyle name="40% - Accent4 2 2 3 4 2" xfId="2053"/>
    <cellStyle name="40% - Accent4 2 2 3 4 2 2" xfId="3816"/>
    <cellStyle name="40% - Accent4 2 2 3 4 2 3" xfId="5187"/>
    <cellStyle name="40% - Accent4 2 2 3 4 3" xfId="1491"/>
    <cellStyle name="40% - Accent4 2 2 3 4 3 2" xfId="3298"/>
    <cellStyle name="40% - Accent4 2 2 3 4 4" xfId="2720"/>
    <cellStyle name="40% - Accent4 2 2 3 4 5" xfId="4669"/>
    <cellStyle name="40% - Accent4 2 2 3 4 6" xfId="5520"/>
    <cellStyle name="40% - Accent4 2 2 3 5" xfId="1813"/>
    <cellStyle name="40% - Accent4 2 2 3 5 2" xfId="3580"/>
    <cellStyle name="40% - Accent4 2 2 3 5 3" xfId="4951"/>
    <cellStyle name="40% - Accent4 2 2 3 6" xfId="1235"/>
    <cellStyle name="40% - Accent4 2 2 3 6 2" xfId="3042"/>
    <cellStyle name="40% - Accent4 2 2 3 7" xfId="2466"/>
    <cellStyle name="40% - Accent4 2 2 3 8" xfId="4413"/>
    <cellStyle name="40% - Accent4 2 2 3 9" xfId="5515"/>
    <cellStyle name="40% - Accent4 2 2 4" xfId="457"/>
    <cellStyle name="40% - Accent4 2 2 4 2" xfId="911"/>
    <cellStyle name="40% - Accent4 2 2 4 2 2" xfId="2056"/>
    <cellStyle name="40% - Accent4 2 2 4 2 2 2" xfId="3819"/>
    <cellStyle name="40% - Accent4 2 2 4 2 2 3" xfId="5190"/>
    <cellStyle name="40% - Accent4 2 2 4 2 3" xfId="1494"/>
    <cellStyle name="40% - Accent4 2 2 4 2 3 2" xfId="3301"/>
    <cellStyle name="40% - Accent4 2 2 4 2 4" xfId="2723"/>
    <cellStyle name="40% - Accent4 2 2 4 2 5" xfId="4672"/>
    <cellStyle name="40% - Accent4 2 2 4 2 6" xfId="5522"/>
    <cellStyle name="40% - Accent4 2 2 4 3" xfId="1816"/>
    <cellStyle name="40% - Accent4 2 2 4 3 2" xfId="3583"/>
    <cellStyle name="40% - Accent4 2 2 4 3 3" xfId="4954"/>
    <cellStyle name="40% - Accent4 2 2 4 4" xfId="1238"/>
    <cellStyle name="40% - Accent4 2 2 4 4 2" xfId="3045"/>
    <cellStyle name="40% - Accent4 2 2 4 5" xfId="2469"/>
    <cellStyle name="40% - Accent4 2 2 4 6" xfId="4416"/>
    <cellStyle name="40% - Accent4 2 2 4 7" xfId="5521"/>
    <cellStyle name="40% - Accent4 2 2 5" xfId="458"/>
    <cellStyle name="40% - Accent4 2 2 5 2" xfId="912"/>
    <cellStyle name="40% - Accent4 2 2 5 2 2" xfId="2057"/>
    <cellStyle name="40% - Accent4 2 2 5 2 2 2" xfId="3820"/>
    <cellStyle name="40% - Accent4 2 2 5 2 2 3" xfId="5191"/>
    <cellStyle name="40% - Accent4 2 2 5 2 3" xfId="1495"/>
    <cellStyle name="40% - Accent4 2 2 5 2 3 2" xfId="3302"/>
    <cellStyle name="40% - Accent4 2 2 5 2 4" xfId="2724"/>
    <cellStyle name="40% - Accent4 2 2 5 2 5" xfId="4673"/>
    <cellStyle name="40% - Accent4 2 2 5 2 6" xfId="5524"/>
    <cellStyle name="40% - Accent4 2 2 5 3" xfId="1817"/>
    <cellStyle name="40% - Accent4 2 2 5 3 2" xfId="3584"/>
    <cellStyle name="40% - Accent4 2 2 5 3 3" xfId="4955"/>
    <cellStyle name="40% - Accent4 2 2 5 4" xfId="1239"/>
    <cellStyle name="40% - Accent4 2 2 5 4 2" xfId="3046"/>
    <cellStyle name="40% - Accent4 2 2 5 5" xfId="2470"/>
    <cellStyle name="40% - Accent4 2 2 5 6" xfId="4417"/>
    <cellStyle name="40% - Accent4 2 2 5 7" xfId="5523"/>
    <cellStyle name="40% - Accent4 2 2 6" xfId="904"/>
    <cellStyle name="40% - Accent4 2 2 6 2" xfId="2049"/>
    <cellStyle name="40% - Accent4 2 2 6 2 2" xfId="3812"/>
    <cellStyle name="40% - Accent4 2 2 6 2 3" xfId="5183"/>
    <cellStyle name="40% - Accent4 2 2 6 3" xfId="1487"/>
    <cellStyle name="40% - Accent4 2 2 6 3 2" xfId="3294"/>
    <cellStyle name="40% - Accent4 2 2 6 4" xfId="2716"/>
    <cellStyle name="40% - Accent4 2 2 6 5" xfId="4665"/>
    <cellStyle name="40% - Accent4 2 2 6 6" xfId="5525"/>
    <cellStyle name="40% - Accent4 2 2 7" xfId="1809"/>
    <cellStyle name="40% - Accent4 2 2 7 2" xfId="3576"/>
    <cellStyle name="40% - Accent4 2 2 7 3" xfId="4947"/>
    <cellStyle name="40% - Accent4 2 2 8" xfId="1231"/>
    <cellStyle name="40% - Accent4 2 2 8 2" xfId="3038"/>
    <cellStyle name="40% - Accent4 2 2 9" xfId="2462"/>
    <cellStyle name="40% - Accent4 2 3" xfId="459"/>
    <cellStyle name="40% - Accent4 2 4" xfId="460"/>
    <cellStyle name="40% - Accent4 3" xfId="228"/>
    <cellStyle name="40% - Accent4 3 2" xfId="461"/>
    <cellStyle name="40% - Accent4 3 3" xfId="2216"/>
    <cellStyle name="40% - Accent4 3 3 2" xfId="3960"/>
    <cellStyle name="40% - Accent4 3 4" xfId="2290"/>
    <cellStyle name="40% - Accent4 3 5" xfId="4056"/>
    <cellStyle name="40% - Accent4 3 6" xfId="4134"/>
    <cellStyle name="40% - Accent4 3 7" xfId="4211"/>
    <cellStyle name="40% - Accent4 3 8" xfId="4288"/>
    <cellStyle name="40% - Accent4 3 9" xfId="5952"/>
    <cellStyle name="40% - Accent4 4" xfId="462"/>
    <cellStyle name="40% - Accent4 5" xfId="812"/>
    <cellStyle name="40% - Accent4 5 2" xfId="1957"/>
    <cellStyle name="40% - Accent4 5 2 2" xfId="3720"/>
    <cellStyle name="40% - Accent4 5 2 3" xfId="5091"/>
    <cellStyle name="40% - Accent4 5 3" xfId="1395"/>
    <cellStyle name="40% - Accent4 5 3 2" xfId="3202"/>
    <cellStyle name="40% - Accent4 5 4" xfId="2624"/>
    <cellStyle name="40% - Accent4 5 5" xfId="4573"/>
    <cellStyle name="40% - Accent4 5 6" xfId="5526"/>
    <cellStyle name="40% - Accent4 6" xfId="310"/>
    <cellStyle name="40% - Accent4 6 2" xfId="1638"/>
    <cellStyle name="40% - Accent4 6 2 2" xfId="3445"/>
    <cellStyle name="40% - Accent4 6 3" xfId="2369"/>
    <cellStyle name="40% - Accent4 6 4" xfId="4816"/>
    <cellStyle name="40% - Accent4 7" xfId="1079"/>
    <cellStyle name="40% - Accent4 7 2" xfId="2889"/>
    <cellStyle name="40% - Accent4 8" xfId="1139"/>
    <cellStyle name="40% - Accent4 8 2" xfId="2946"/>
    <cellStyle name="40% - Accent4 9" xfId="28"/>
    <cellStyle name="40% - Accent4 9 2" xfId="2231"/>
    <cellStyle name="40% - Accent5" xfId="3993" builtinId="47" customBuiltin="1"/>
    <cellStyle name="40% - Accent5 10" xfId="4076"/>
    <cellStyle name="40% - Accent5 11" xfId="4153"/>
    <cellStyle name="40% - Accent5 12" xfId="4230"/>
    <cellStyle name="40% - Accent5 13" xfId="4304"/>
    <cellStyle name="40% - Accent5 14" xfId="5333"/>
    <cellStyle name="40% - Accent5 15" xfId="5868"/>
    <cellStyle name="40% - Accent5 2" xfId="77"/>
    <cellStyle name="40% - Accent5 2 2" xfId="463"/>
    <cellStyle name="40% - Accent5 2 2 10" xfId="4418"/>
    <cellStyle name="40% - Accent5 2 2 11" xfId="5527"/>
    <cellStyle name="40% - Accent5 2 2 2" xfId="464"/>
    <cellStyle name="40% - Accent5 2 2 2 2" xfId="465"/>
    <cellStyle name="40% - Accent5 2 2 2 2 2" xfId="915"/>
    <cellStyle name="40% - Accent5 2 2 2 2 2 2" xfId="2060"/>
    <cellStyle name="40% - Accent5 2 2 2 2 2 2 2" xfId="3823"/>
    <cellStyle name="40% - Accent5 2 2 2 2 2 2 3" xfId="5194"/>
    <cellStyle name="40% - Accent5 2 2 2 2 2 3" xfId="1498"/>
    <cellStyle name="40% - Accent5 2 2 2 2 2 3 2" xfId="3305"/>
    <cellStyle name="40% - Accent5 2 2 2 2 2 4" xfId="2727"/>
    <cellStyle name="40% - Accent5 2 2 2 2 2 5" xfId="4676"/>
    <cellStyle name="40% - Accent5 2 2 2 2 2 6" xfId="5530"/>
    <cellStyle name="40% - Accent5 2 2 2 2 3" xfId="1820"/>
    <cellStyle name="40% - Accent5 2 2 2 2 3 2" xfId="3587"/>
    <cellStyle name="40% - Accent5 2 2 2 2 3 3" xfId="4958"/>
    <cellStyle name="40% - Accent5 2 2 2 2 4" xfId="1242"/>
    <cellStyle name="40% - Accent5 2 2 2 2 4 2" xfId="3049"/>
    <cellStyle name="40% - Accent5 2 2 2 2 5" xfId="2473"/>
    <cellStyle name="40% - Accent5 2 2 2 2 6" xfId="4420"/>
    <cellStyle name="40% - Accent5 2 2 2 2 7" xfId="5529"/>
    <cellStyle name="40% - Accent5 2 2 2 3" xfId="466"/>
    <cellStyle name="40% - Accent5 2 2 2 3 2" xfId="916"/>
    <cellStyle name="40% - Accent5 2 2 2 3 2 2" xfId="2061"/>
    <cellStyle name="40% - Accent5 2 2 2 3 2 2 2" xfId="3824"/>
    <cellStyle name="40% - Accent5 2 2 2 3 2 2 3" xfId="5195"/>
    <cellStyle name="40% - Accent5 2 2 2 3 2 3" xfId="1499"/>
    <cellStyle name="40% - Accent5 2 2 2 3 2 3 2" xfId="3306"/>
    <cellStyle name="40% - Accent5 2 2 2 3 2 4" xfId="2728"/>
    <cellStyle name="40% - Accent5 2 2 2 3 2 5" xfId="4677"/>
    <cellStyle name="40% - Accent5 2 2 2 3 2 6" xfId="5532"/>
    <cellStyle name="40% - Accent5 2 2 2 3 3" xfId="1821"/>
    <cellStyle name="40% - Accent5 2 2 2 3 3 2" xfId="3588"/>
    <cellStyle name="40% - Accent5 2 2 2 3 3 3" xfId="4959"/>
    <cellStyle name="40% - Accent5 2 2 2 3 4" xfId="1243"/>
    <cellStyle name="40% - Accent5 2 2 2 3 4 2" xfId="3050"/>
    <cellStyle name="40% - Accent5 2 2 2 3 5" xfId="2474"/>
    <cellStyle name="40% - Accent5 2 2 2 3 6" xfId="4421"/>
    <cellStyle name="40% - Accent5 2 2 2 3 7" xfId="5531"/>
    <cellStyle name="40% - Accent5 2 2 2 4" xfId="914"/>
    <cellStyle name="40% - Accent5 2 2 2 4 2" xfId="2059"/>
    <cellStyle name="40% - Accent5 2 2 2 4 2 2" xfId="3822"/>
    <cellStyle name="40% - Accent5 2 2 2 4 2 3" xfId="5193"/>
    <cellStyle name="40% - Accent5 2 2 2 4 3" xfId="1497"/>
    <cellStyle name="40% - Accent5 2 2 2 4 3 2" xfId="3304"/>
    <cellStyle name="40% - Accent5 2 2 2 4 4" xfId="2726"/>
    <cellStyle name="40% - Accent5 2 2 2 4 5" xfId="4675"/>
    <cellStyle name="40% - Accent5 2 2 2 4 6" xfId="5533"/>
    <cellStyle name="40% - Accent5 2 2 2 5" xfId="1819"/>
    <cellStyle name="40% - Accent5 2 2 2 5 2" xfId="3586"/>
    <cellStyle name="40% - Accent5 2 2 2 5 3" xfId="4957"/>
    <cellStyle name="40% - Accent5 2 2 2 6" xfId="1241"/>
    <cellStyle name="40% - Accent5 2 2 2 6 2" xfId="3048"/>
    <cellStyle name="40% - Accent5 2 2 2 7" xfId="2472"/>
    <cellStyle name="40% - Accent5 2 2 2 8" xfId="4419"/>
    <cellStyle name="40% - Accent5 2 2 2 9" xfId="5528"/>
    <cellStyle name="40% - Accent5 2 2 3" xfId="467"/>
    <cellStyle name="40% - Accent5 2 2 3 2" xfId="468"/>
    <cellStyle name="40% - Accent5 2 2 3 2 2" xfId="918"/>
    <cellStyle name="40% - Accent5 2 2 3 2 2 2" xfId="2063"/>
    <cellStyle name="40% - Accent5 2 2 3 2 2 2 2" xfId="3826"/>
    <cellStyle name="40% - Accent5 2 2 3 2 2 2 3" xfId="5197"/>
    <cellStyle name="40% - Accent5 2 2 3 2 2 3" xfId="1501"/>
    <cellStyle name="40% - Accent5 2 2 3 2 2 3 2" xfId="3308"/>
    <cellStyle name="40% - Accent5 2 2 3 2 2 4" xfId="2730"/>
    <cellStyle name="40% - Accent5 2 2 3 2 2 5" xfId="4679"/>
    <cellStyle name="40% - Accent5 2 2 3 2 2 6" xfId="5536"/>
    <cellStyle name="40% - Accent5 2 2 3 2 3" xfId="1823"/>
    <cellStyle name="40% - Accent5 2 2 3 2 3 2" xfId="3590"/>
    <cellStyle name="40% - Accent5 2 2 3 2 3 3" xfId="4961"/>
    <cellStyle name="40% - Accent5 2 2 3 2 4" xfId="1245"/>
    <cellStyle name="40% - Accent5 2 2 3 2 4 2" xfId="3052"/>
    <cellStyle name="40% - Accent5 2 2 3 2 5" xfId="2476"/>
    <cellStyle name="40% - Accent5 2 2 3 2 6" xfId="4423"/>
    <cellStyle name="40% - Accent5 2 2 3 2 7" xfId="5535"/>
    <cellStyle name="40% - Accent5 2 2 3 3" xfId="469"/>
    <cellStyle name="40% - Accent5 2 2 3 3 2" xfId="919"/>
    <cellStyle name="40% - Accent5 2 2 3 3 2 2" xfId="2064"/>
    <cellStyle name="40% - Accent5 2 2 3 3 2 2 2" xfId="3827"/>
    <cellStyle name="40% - Accent5 2 2 3 3 2 2 3" xfId="5198"/>
    <cellStyle name="40% - Accent5 2 2 3 3 2 3" xfId="1502"/>
    <cellStyle name="40% - Accent5 2 2 3 3 2 3 2" xfId="3309"/>
    <cellStyle name="40% - Accent5 2 2 3 3 2 4" xfId="2731"/>
    <cellStyle name="40% - Accent5 2 2 3 3 2 5" xfId="4680"/>
    <cellStyle name="40% - Accent5 2 2 3 3 2 6" xfId="5538"/>
    <cellStyle name="40% - Accent5 2 2 3 3 3" xfId="1824"/>
    <cellStyle name="40% - Accent5 2 2 3 3 3 2" xfId="3591"/>
    <cellStyle name="40% - Accent5 2 2 3 3 3 3" xfId="4962"/>
    <cellStyle name="40% - Accent5 2 2 3 3 4" xfId="1246"/>
    <cellStyle name="40% - Accent5 2 2 3 3 4 2" xfId="3053"/>
    <cellStyle name="40% - Accent5 2 2 3 3 5" xfId="2477"/>
    <cellStyle name="40% - Accent5 2 2 3 3 6" xfId="4424"/>
    <cellStyle name="40% - Accent5 2 2 3 3 7" xfId="5537"/>
    <cellStyle name="40% - Accent5 2 2 3 4" xfId="917"/>
    <cellStyle name="40% - Accent5 2 2 3 4 2" xfId="2062"/>
    <cellStyle name="40% - Accent5 2 2 3 4 2 2" xfId="3825"/>
    <cellStyle name="40% - Accent5 2 2 3 4 2 3" xfId="5196"/>
    <cellStyle name="40% - Accent5 2 2 3 4 3" xfId="1500"/>
    <cellStyle name="40% - Accent5 2 2 3 4 3 2" xfId="3307"/>
    <cellStyle name="40% - Accent5 2 2 3 4 4" xfId="2729"/>
    <cellStyle name="40% - Accent5 2 2 3 4 5" xfId="4678"/>
    <cellStyle name="40% - Accent5 2 2 3 4 6" xfId="5539"/>
    <cellStyle name="40% - Accent5 2 2 3 5" xfId="1822"/>
    <cellStyle name="40% - Accent5 2 2 3 5 2" xfId="3589"/>
    <cellStyle name="40% - Accent5 2 2 3 5 3" xfId="4960"/>
    <cellStyle name="40% - Accent5 2 2 3 6" xfId="1244"/>
    <cellStyle name="40% - Accent5 2 2 3 6 2" xfId="3051"/>
    <cellStyle name="40% - Accent5 2 2 3 7" xfId="2475"/>
    <cellStyle name="40% - Accent5 2 2 3 8" xfId="4422"/>
    <cellStyle name="40% - Accent5 2 2 3 9" xfId="5534"/>
    <cellStyle name="40% - Accent5 2 2 4" xfId="470"/>
    <cellStyle name="40% - Accent5 2 2 4 2" xfId="920"/>
    <cellStyle name="40% - Accent5 2 2 4 2 2" xfId="2065"/>
    <cellStyle name="40% - Accent5 2 2 4 2 2 2" xfId="3828"/>
    <cellStyle name="40% - Accent5 2 2 4 2 2 3" xfId="5199"/>
    <cellStyle name="40% - Accent5 2 2 4 2 3" xfId="1503"/>
    <cellStyle name="40% - Accent5 2 2 4 2 3 2" xfId="3310"/>
    <cellStyle name="40% - Accent5 2 2 4 2 4" xfId="2732"/>
    <cellStyle name="40% - Accent5 2 2 4 2 5" xfId="4681"/>
    <cellStyle name="40% - Accent5 2 2 4 2 6" xfId="5541"/>
    <cellStyle name="40% - Accent5 2 2 4 3" xfId="1825"/>
    <cellStyle name="40% - Accent5 2 2 4 3 2" xfId="3592"/>
    <cellStyle name="40% - Accent5 2 2 4 3 3" xfId="4963"/>
    <cellStyle name="40% - Accent5 2 2 4 4" xfId="1247"/>
    <cellStyle name="40% - Accent5 2 2 4 4 2" xfId="3054"/>
    <cellStyle name="40% - Accent5 2 2 4 5" xfId="2478"/>
    <cellStyle name="40% - Accent5 2 2 4 6" xfId="4425"/>
    <cellStyle name="40% - Accent5 2 2 4 7" xfId="5540"/>
    <cellStyle name="40% - Accent5 2 2 5" xfId="471"/>
    <cellStyle name="40% - Accent5 2 2 5 2" xfId="921"/>
    <cellStyle name="40% - Accent5 2 2 5 2 2" xfId="2066"/>
    <cellStyle name="40% - Accent5 2 2 5 2 2 2" xfId="3829"/>
    <cellStyle name="40% - Accent5 2 2 5 2 2 3" xfId="5200"/>
    <cellStyle name="40% - Accent5 2 2 5 2 3" xfId="1504"/>
    <cellStyle name="40% - Accent5 2 2 5 2 3 2" xfId="3311"/>
    <cellStyle name="40% - Accent5 2 2 5 2 4" xfId="2733"/>
    <cellStyle name="40% - Accent5 2 2 5 2 5" xfId="4682"/>
    <cellStyle name="40% - Accent5 2 2 5 2 6" xfId="5543"/>
    <cellStyle name="40% - Accent5 2 2 5 3" xfId="1826"/>
    <cellStyle name="40% - Accent5 2 2 5 3 2" xfId="3593"/>
    <cellStyle name="40% - Accent5 2 2 5 3 3" xfId="4964"/>
    <cellStyle name="40% - Accent5 2 2 5 4" xfId="1248"/>
    <cellStyle name="40% - Accent5 2 2 5 4 2" xfId="3055"/>
    <cellStyle name="40% - Accent5 2 2 5 5" xfId="2479"/>
    <cellStyle name="40% - Accent5 2 2 5 6" xfId="4426"/>
    <cellStyle name="40% - Accent5 2 2 5 7" xfId="5542"/>
    <cellStyle name="40% - Accent5 2 2 6" xfId="913"/>
    <cellStyle name="40% - Accent5 2 2 6 2" xfId="2058"/>
    <cellStyle name="40% - Accent5 2 2 6 2 2" xfId="3821"/>
    <cellStyle name="40% - Accent5 2 2 6 2 3" xfId="5192"/>
    <cellStyle name="40% - Accent5 2 2 6 3" xfId="1496"/>
    <cellStyle name="40% - Accent5 2 2 6 3 2" xfId="3303"/>
    <cellStyle name="40% - Accent5 2 2 6 4" xfId="2725"/>
    <cellStyle name="40% - Accent5 2 2 6 5" xfId="4674"/>
    <cellStyle name="40% - Accent5 2 2 6 6" xfId="5544"/>
    <cellStyle name="40% - Accent5 2 2 7" xfId="1818"/>
    <cellStyle name="40% - Accent5 2 2 7 2" xfId="3585"/>
    <cellStyle name="40% - Accent5 2 2 7 3" xfId="4956"/>
    <cellStyle name="40% - Accent5 2 2 8" xfId="1240"/>
    <cellStyle name="40% - Accent5 2 2 8 2" xfId="3047"/>
    <cellStyle name="40% - Accent5 2 2 9" xfId="2471"/>
    <cellStyle name="40% - Accent5 2 3" xfId="472"/>
    <cellStyle name="40% - Accent5 2 4" xfId="473"/>
    <cellStyle name="40% - Accent5 3" xfId="230"/>
    <cellStyle name="40% - Accent5 3 2" xfId="474"/>
    <cellStyle name="40% - Accent5 3 3" xfId="2219"/>
    <cellStyle name="40% - Accent5 3 3 2" xfId="3962"/>
    <cellStyle name="40% - Accent5 3 4" xfId="2292"/>
    <cellStyle name="40% - Accent5 3 5" xfId="4058"/>
    <cellStyle name="40% - Accent5 3 6" xfId="4136"/>
    <cellStyle name="40% - Accent5 3 7" xfId="4213"/>
    <cellStyle name="40% - Accent5 3 8" xfId="4290"/>
    <cellStyle name="40% - Accent5 3 9" xfId="5954"/>
    <cellStyle name="40% - Accent5 4" xfId="475"/>
    <cellStyle name="40% - Accent5 5" xfId="814"/>
    <cellStyle name="40% - Accent5 5 2" xfId="1959"/>
    <cellStyle name="40% - Accent5 5 2 2" xfId="3722"/>
    <cellStyle name="40% - Accent5 5 2 3" xfId="5093"/>
    <cellStyle name="40% - Accent5 5 3" xfId="1397"/>
    <cellStyle name="40% - Accent5 5 3 2" xfId="3204"/>
    <cellStyle name="40% - Accent5 5 4" xfId="2626"/>
    <cellStyle name="40% - Accent5 5 5" xfId="4575"/>
    <cellStyle name="40% - Accent5 5 6" xfId="5545"/>
    <cellStyle name="40% - Accent5 6" xfId="313"/>
    <cellStyle name="40% - Accent5 6 2" xfId="1639"/>
    <cellStyle name="40% - Accent5 6 2 2" xfId="3446"/>
    <cellStyle name="40% - Accent5 6 3" xfId="2372"/>
    <cellStyle name="40% - Accent5 6 4" xfId="4817"/>
    <cellStyle name="40% - Accent5 7" xfId="1081"/>
    <cellStyle name="40% - Accent5 7 2" xfId="2891"/>
    <cellStyle name="40% - Accent5 8" xfId="1141"/>
    <cellStyle name="40% - Accent5 8 2" xfId="2948"/>
    <cellStyle name="40% - Accent5 9" xfId="31"/>
    <cellStyle name="40% - Accent5 9 2" xfId="2233"/>
    <cellStyle name="40% - Accent6" xfId="3996" builtinId="51" customBuiltin="1"/>
    <cellStyle name="40% - Accent6 10" xfId="4078"/>
    <cellStyle name="40% - Accent6 11" xfId="4155"/>
    <cellStyle name="40% - Accent6 12" xfId="4232"/>
    <cellStyle name="40% - Accent6 13" xfId="4306"/>
    <cellStyle name="40% - Accent6 14" xfId="5335"/>
    <cellStyle name="40% - Accent6 15" xfId="5870"/>
    <cellStyle name="40% - Accent6 2" xfId="78"/>
    <cellStyle name="40% - Accent6 2 2" xfId="476"/>
    <cellStyle name="40% - Accent6 2 2 10" xfId="4427"/>
    <cellStyle name="40% - Accent6 2 2 11" xfId="5546"/>
    <cellStyle name="40% - Accent6 2 2 2" xfId="477"/>
    <cellStyle name="40% - Accent6 2 2 2 2" xfId="478"/>
    <cellStyle name="40% - Accent6 2 2 2 2 2" xfId="924"/>
    <cellStyle name="40% - Accent6 2 2 2 2 2 2" xfId="2069"/>
    <cellStyle name="40% - Accent6 2 2 2 2 2 2 2" xfId="3832"/>
    <cellStyle name="40% - Accent6 2 2 2 2 2 2 3" xfId="5203"/>
    <cellStyle name="40% - Accent6 2 2 2 2 2 3" xfId="1507"/>
    <cellStyle name="40% - Accent6 2 2 2 2 2 3 2" xfId="3314"/>
    <cellStyle name="40% - Accent6 2 2 2 2 2 4" xfId="2736"/>
    <cellStyle name="40% - Accent6 2 2 2 2 2 5" xfId="4685"/>
    <cellStyle name="40% - Accent6 2 2 2 2 2 6" xfId="5549"/>
    <cellStyle name="40% - Accent6 2 2 2 2 3" xfId="1829"/>
    <cellStyle name="40% - Accent6 2 2 2 2 3 2" xfId="3596"/>
    <cellStyle name="40% - Accent6 2 2 2 2 3 3" xfId="4967"/>
    <cellStyle name="40% - Accent6 2 2 2 2 4" xfId="1251"/>
    <cellStyle name="40% - Accent6 2 2 2 2 4 2" xfId="3058"/>
    <cellStyle name="40% - Accent6 2 2 2 2 5" xfId="2482"/>
    <cellStyle name="40% - Accent6 2 2 2 2 6" xfId="4429"/>
    <cellStyle name="40% - Accent6 2 2 2 2 7" xfId="5548"/>
    <cellStyle name="40% - Accent6 2 2 2 3" xfId="479"/>
    <cellStyle name="40% - Accent6 2 2 2 3 2" xfId="925"/>
    <cellStyle name="40% - Accent6 2 2 2 3 2 2" xfId="2070"/>
    <cellStyle name="40% - Accent6 2 2 2 3 2 2 2" xfId="3833"/>
    <cellStyle name="40% - Accent6 2 2 2 3 2 2 3" xfId="5204"/>
    <cellStyle name="40% - Accent6 2 2 2 3 2 3" xfId="1508"/>
    <cellStyle name="40% - Accent6 2 2 2 3 2 3 2" xfId="3315"/>
    <cellStyle name="40% - Accent6 2 2 2 3 2 4" xfId="2737"/>
    <cellStyle name="40% - Accent6 2 2 2 3 2 5" xfId="4686"/>
    <cellStyle name="40% - Accent6 2 2 2 3 2 6" xfId="5551"/>
    <cellStyle name="40% - Accent6 2 2 2 3 3" xfId="1830"/>
    <cellStyle name="40% - Accent6 2 2 2 3 3 2" xfId="3597"/>
    <cellStyle name="40% - Accent6 2 2 2 3 3 3" xfId="4968"/>
    <cellStyle name="40% - Accent6 2 2 2 3 4" xfId="1252"/>
    <cellStyle name="40% - Accent6 2 2 2 3 4 2" xfId="3059"/>
    <cellStyle name="40% - Accent6 2 2 2 3 5" xfId="2483"/>
    <cellStyle name="40% - Accent6 2 2 2 3 6" xfId="4430"/>
    <cellStyle name="40% - Accent6 2 2 2 3 7" xfId="5550"/>
    <cellStyle name="40% - Accent6 2 2 2 4" xfId="923"/>
    <cellStyle name="40% - Accent6 2 2 2 4 2" xfId="2068"/>
    <cellStyle name="40% - Accent6 2 2 2 4 2 2" xfId="3831"/>
    <cellStyle name="40% - Accent6 2 2 2 4 2 3" xfId="5202"/>
    <cellStyle name="40% - Accent6 2 2 2 4 3" xfId="1506"/>
    <cellStyle name="40% - Accent6 2 2 2 4 3 2" xfId="3313"/>
    <cellStyle name="40% - Accent6 2 2 2 4 4" xfId="2735"/>
    <cellStyle name="40% - Accent6 2 2 2 4 5" xfId="4684"/>
    <cellStyle name="40% - Accent6 2 2 2 4 6" xfId="5552"/>
    <cellStyle name="40% - Accent6 2 2 2 5" xfId="1828"/>
    <cellStyle name="40% - Accent6 2 2 2 5 2" xfId="3595"/>
    <cellStyle name="40% - Accent6 2 2 2 5 3" xfId="4966"/>
    <cellStyle name="40% - Accent6 2 2 2 6" xfId="1250"/>
    <cellStyle name="40% - Accent6 2 2 2 6 2" xfId="3057"/>
    <cellStyle name="40% - Accent6 2 2 2 7" xfId="2481"/>
    <cellStyle name="40% - Accent6 2 2 2 8" xfId="4428"/>
    <cellStyle name="40% - Accent6 2 2 2 9" xfId="5547"/>
    <cellStyle name="40% - Accent6 2 2 3" xfId="480"/>
    <cellStyle name="40% - Accent6 2 2 3 2" xfId="481"/>
    <cellStyle name="40% - Accent6 2 2 3 2 2" xfId="927"/>
    <cellStyle name="40% - Accent6 2 2 3 2 2 2" xfId="2072"/>
    <cellStyle name="40% - Accent6 2 2 3 2 2 2 2" xfId="3835"/>
    <cellStyle name="40% - Accent6 2 2 3 2 2 2 3" xfId="5206"/>
    <cellStyle name="40% - Accent6 2 2 3 2 2 3" xfId="1510"/>
    <cellStyle name="40% - Accent6 2 2 3 2 2 3 2" xfId="3317"/>
    <cellStyle name="40% - Accent6 2 2 3 2 2 4" xfId="2739"/>
    <cellStyle name="40% - Accent6 2 2 3 2 2 5" xfId="4688"/>
    <cellStyle name="40% - Accent6 2 2 3 2 2 6" xfId="5555"/>
    <cellStyle name="40% - Accent6 2 2 3 2 3" xfId="1832"/>
    <cellStyle name="40% - Accent6 2 2 3 2 3 2" xfId="3599"/>
    <cellStyle name="40% - Accent6 2 2 3 2 3 3" xfId="4970"/>
    <cellStyle name="40% - Accent6 2 2 3 2 4" xfId="1254"/>
    <cellStyle name="40% - Accent6 2 2 3 2 4 2" xfId="3061"/>
    <cellStyle name="40% - Accent6 2 2 3 2 5" xfId="2485"/>
    <cellStyle name="40% - Accent6 2 2 3 2 6" xfId="4432"/>
    <cellStyle name="40% - Accent6 2 2 3 2 7" xfId="5554"/>
    <cellStyle name="40% - Accent6 2 2 3 3" xfId="482"/>
    <cellStyle name="40% - Accent6 2 2 3 3 2" xfId="928"/>
    <cellStyle name="40% - Accent6 2 2 3 3 2 2" xfId="2073"/>
    <cellStyle name="40% - Accent6 2 2 3 3 2 2 2" xfId="3836"/>
    <cellStyle name="40% - Accent6 2 2 3 3 2 2 3" xfId="5207"/>
    <cellStyle name="40% - Accent6 2 2 3 3 2 3" xfId="1511"/>
    <cellStyle name="40% - Accent6 2 2 3 3 2 3 2" xfId="3318"/>
    <cellStyle name="40% - Accent6 2 2 3 3 2 4" xfId="2740"/>
    <cellStyle name="40% - Accent6 2 2 3 3 2 5" xfId="4689"/>
    <cellStyle name="40% - Accent6 2 2 3 3 2 6" xfId="5557"/>
    <cellStyle name="40% - Accent6 2 2 3 3 3" xfId="1833"/>
    <cellStyle name="40% - Accent6 2 2 3 3 3 2" xfId="3600"/>
    <cellStyle name="40% - Accent6 2 2 3 3 3 3" xfId="4971"/>
    <cellStyle name="40% - Accent6 2 2 3 3 4" xfId="1255"/>
    <cellStyle name="40% - Accent6 2 2 3 3 4 2" xfId="3062"/>
    <cellStyle name="40% - Accent6 2 2 3 3 5" xfId="2486"/>
    <cellStyle name="40% - Accent6 2 2 3 3 6" xfId="4433"/>
    <cellStyle name="40% - Accent6 2 2 3 3 7" xfId="5556"/>
    <cellStyle name="40% - Accent6 2 2 3 4" xfId="926"/>
    <cellStyle name="40% - Accent6 2 2 3 4 2" xfId="2071"/>
    <cellStyle name="40% - Accent6 2 2 3 4 2 2" xfId="3834"/>
    <cellStyle name="40% - Accent6 2 2 3 4 2 3" xfId="5205"/>
    <cellStyle name="40% - Accent6 2 2 3 4 3" xfId="1509"/>
    <cellStyle name="40% - Accent6 2 2 3 4 3 2" xfId="3316"/>
    <cellStyle name="40% - Accent6 2 2 3 4 4" xfId="2738"/>
    <cellStyle name="40% - Accent6 2 2 3 4 5" xfId="4687"/>
    <cellStyle name="40% - Accent6 2 2 3 4 6" xfId="5558"/>
    <cellStyle name="40% - Accent6 2 2 3 5" xfId="1831"/>
    <cellStyle name="40% - Accent6 2 2 3 5 2" xfId="3598"/>
    <cellStyle name="40% - Accent6 2 2 3 5 3" xfId="4969"/>
    <cellStyle name="40% - Accent6 2 2 3 6" xfId="1253"/>
    <cellStyle name="40% - Accent6 2 2 3 6 2" xfId="3060"/>
    <cellStyle name="40% - Accent6 2 2 3 7" xfId="2484"/>
    <cellStyle name="40% - Accent6 2 2 3 8" xfId="4431"/>
    <cellStyle name="40% - Accent6 2 2 3 9" xfId="5553"/>
    <cellStyle name="40% - Accent6 2 2 4" xfId="483"/>
    <cellStyle name="40% - Accent6 2 2 4 2" xfId="929"/>
    <cellStyle name="40% - Accent6 2 2 4 2 2" xfId="2074"/>
    <cellStyle name="40% - Accent6 2 2 4 2 2 2" xfId="3837"/>
    <cellStyle name="40% - Accent6 2 2 4 2 2 3" xfId="5208"/>
    <cellStyle name="40% - Accent6 2 2 4 2 3" xfId="1512"/>
    <cellStyle name="40% - Accent6 2 2 4 2 3 2" xfId="3319"/>
    <cellStyle name="40% - Accent6 2 2 4 2 4" xfId="2741"/>
    <cellStyle name="40% - Accent6 2 2 4 2 5" xfId="4690"/>
    <cellStyle name="40% - Accent6 2 2 4 2 6" xfId="5560"/>
    <cellStyle name="40% - Accent6 2 2 4 3" xfId="1834"/>
    <cellStyle name="40% - Accent6 2 2 4 3 2" xfId="3601"/>
    <cellStyle name="40% - Accent6 2 2 4 3 3" xfId="4972"/>
    <cellStyle name="40% - Accent6 2 2 4 4" xfId="1256"/>
    <cellStyle name="40% - Accent6 2 2 4 4 2" xfId="3063"/>
    <cellStyle name="40% - Accent6 2 2 4 5" xfId="2487"/>
    <cellStyle name="40% - Accent6 2 2 4 6" xfId="4434"/>
    <cellStyle name="40% - Accent6 2 2 4 7" xfId="5559"/>
    <cellStyle name="40% - Accent6 2 2 5" xfId="484"/>
    <cellStyle name="40% - Accent6 2 2 5 2" xfId="930"/>
    <cellStyle name="40% - Accent6 2 2 5 2 2" xfId="2075"/>
    <cellStyle name="40% - Accent6 2 2 5 2 2 2" xfId="3838"/>
    <cellStyle name="40% - Accent6 2 2 5 2 2 3" xfId="5209"/>
    <cellStyle name="40% - Accent6 2 2 5 2 3" xfId="1513"/>
    <cellStyle name="40% - Accent6 2 2 5 2 3 2" xfId="3320"/>
    <cellStyle name="40% - Accent6 2 2 5 2 4" xfId="2742"/>
    <cellStyle name="40% - Accent6 2 2 5 2 5" xfId="4691"/>
    <cellStyle name="40% - Accent6 2 2 5 2 6" xfId="5562"/>
    <cellStyle name="40% - Accent6 2 2 5 3" xfId="1835"/>
    <cellStyle name="40% - Accent6 2 2 5 3 2" xfId="3602"/>
    <cellStyle name="40% - Accent6 2 2 5 3 3" xfId="4973"/>
    <cellStyle name="40% - Accent6 2 2 5 4" xfId="1257"/>
    <cellStyle name="40% - Accent6 2 2 5 4 2" xfId="3064"/>
    <cellStyle name="40% - Accent6 2 2 5 5" xfId="2488"/>
    <cellStyle name="40% - Accent6 2 2 5 6" xfId="4435"/>
    <cellStyle name="40% - Accent6 2 2 5 7" xfId="5561"/>
    <cellStyle name="40% - Accent6 2 2 6" xfId="922"/>
    <cellStyle name="40% - Accent6 2 2 6 2" xfId="2067"/>
    <cellStyle name="40% - Accent6 2 2 6 2 2" xfId="3830"/>
    <cellStyle name="40% - Accent6 2 2 6 2 3" xfId="5201"/>
    <cellStyle name="40% - Accent6 2 2 6 3" xfId="1505"/>
    <cellStyle name="40% - Accent6 2 2 6 3 2" xfId="3312"/>
    <cellStyle name="40% - Accent6 2 2 6 4" xfId="2734"/>
    <cellStyle name="40% - Accent6 2 2 6 5" xfId="4683"/>
    <cellStyle name="40% - Accent6 2 2 6 6" xfId="5563"/>
    <cellStyle name="40% - Accent6 2 2 7" xfId="1827"/>
    <cellStyle name="40% - Accent6 2 2 7 2" xfId="3594"/>
    <cellStyle name="40% - Accent6 2 2 7 3" xfId="4965"/>
    <cellStyle name="40% - Accent6 2 2 8" xfId="1249"/>
    <cellStyle name="40% - Accent6 2 2 8 2" xfId="3056"/>
    <cellStyle name="40% - Accent6 2 2 9" xfId="2480"/>
    <cellStyle name="40% - Accent6 2 3" xfId="485"/>
    <cellStyle name="40% - Accent6 2 4" xfId="486"/>
    <cellStyle name="40% - Accent6 3" xfId="232"/>
    <cellStyle name="40% - Accent6 3 2" xfId="487"/>
    <cellStyle name="40% - Accent6 3 3" xfId="2222"/>
    <cellStyle name="40% - Accent6 3 3 2" xfId="3964"/>
    <cellStyle name="40% - Accent6 3 4" xfId="2294"/>
    <cellStyle name="40% - Accent6 3 5" xfId="4060"/>
    <cellStyle name="40% - Accent6 3 6" xfId="4138"/>
    <cellStyle name="40% - Accent6 3 7" xfId="4215"/>
    <cellStyle name="40% - Accent6 3 8" xfId="4292"/>
    <cellStyle name="40% - Accent6 3 9" xfId="5956"/>
    <cellStyle name="40% - Accent6 4" xfId="488"/>
    <cellStyle name="40% - Accent6 5" xfId="816"/>
    <cellStyle name="40% - Accent6 5 2" xfId="1961"/>
    <cellStyle name="40% - Accent6 5 2 2" xfId="3724"/>
    <cellStyle name="40% - Accent6 5 2 3" xfId="5095"/>
    <cellStyle name="40% - Accent6 5 3" xfId="1399"/>
    <cellStyle name="40% - Accent6 5 3 2" xfId="3206"/>
    <cellStyle name="40% - Accent6 5 4" xfId="2628"/>
    <cellStyle name="40% - Accent6 5 5" xfId="4577"/>
    <cellStyle name="40% - Accent6 5 6" xfId="5564"/>
    <cellStyle name="40% - Accent6 6" xfId="315"/>
    <cellStyle name="40% - Accent6 6 2" xfId="1640"/>
    <cellStyle name="40% - Accent6 6 2 2" xfId="3447"/>
    <cellStyle name="40% - Accent6 6 3" xfId="2374"/>
    <cellStyle name="40% - Accent6 6 4" xfId="4818"/>
    <cellStyle name="40% - Accent6 7" xfId="1083"/>
    <cellStyle name="40% - Accent6 7 2" xfId="2893"/>
    <cellStyle name="40% - Accent6 8" xfId="1143"/>
    <cellStyle name="40% - Accent6 8 2" xfId="2950"/>
    <cellStyle name="40% - Accent6 9" xfId="34"/>
    <cellStyle name="40% - Accent6 9 2" xfId="2235"/>
    <cellStyle name="60% - Accent1 2" xfId="79"/>
    <cellStyle name="60% - Accent1 2 2" xfId="489"/>
    <cellStyle name="60% - Accent1 2 3" xfId="490"/>
    <cellStyle name="60% - Accent1 2 4" xfId="491"/>
    <cellStyle name="60% - Accent1 3" xfId="145"/>
    <cellStyle name="60% - Accent1 3 2" xfId="492"/>
    <cellStyle name="60% - Accent1 3 3" xfId="1641"/>
    <cellStyle name="60% - Accent1 4" xfId="321"/>
    <cellStyle name="60% - Accent2 2" xfId="80"/>
    <cellStyle name="60% - Accent2 2 2" xfId="493"/>
    <cellStyle name="60% - Accent2 2 3" xfId="494"/>
    <cellStyle name="60% - Accent2 2 4" xfId="495"/>
    <cellStyle name="60% - Accent2 3" xfId="146"/>
    <cellStyle name="60% - Accent2 3 2" xfId="496"/>
    <cellStyle name="60% - Accent2 3 3" xfId="1642"/>
    <cellStyle name="60% - Accent2 4" xfId="322"/>
    <cellStyle name="60% - Accent3 2" xfId="81"/>
    <cellStyle name="60% - Accent3 2 2" xfId="497"/>
    <cellStyle name="60% - Accent3 2 3" xfId="498"/>
    <cellStyle name="60% - Accent3 2 4" xfId="499"/>
    <cellStyle name="60% - Accent3 3" xfId="147"/>
    <cellStyle name="60% - Accent3 3 2" xfId="500"/>
    <cellStyle name="60% - Accent3 3 3" xfId="1643"/>
    <cellStyle name="60% - Accent3 4" xfId="323"/>
    <cellStyle name="60% - Accent4 2" xfId="82"/>
    <cellStyle name="60% - Accent4 2 2" xfId="501"/>
    <cellStyle name="60% - Accent4 2 3" xfId="502"/>
    <cellStyle name="60% - Accent4 2 4" xfId="503"/>
    <cellStyle name="60% - Accent4 3" xfId="148"/>
    <cellStyle name="60% - Accent4 4" xfId="504"/>
    <cellStyle name="60% - Accent4 5" xfId="324"/>
    <cellStyle name="60% - Accent5 2" xfId="83"/>
    <cellStyle name="60% - Accent5 2 2" xfId="505"/>
    <cellStyle name="60% - Accent5 2 3" xfId="506"/>
    <cellStyle name="60% - Accent5 2 4" xfId="507"/>
    <cellStyle name="60% - Accent5 3" xfId="149"/>
    <cellStyle name="60% - Accent5 3 2" xfId="508"/>
    <cellStyle name="60% - Accent5 3 3" xfId="1644"/>
    <cellStyle name="60% - Accent5 4" xfId="325"/>
    <cellStyle name="60% - Accent6 2" xfId="84"/>
    <cellStyle name="60% - Accent6 2 2" xfId="509"/>
    <cellStyle name="60% - Accent6 2 3" xfId="510"/>
    <cellStyle name="60% - Accent6 2 4" xfId="511"/>
    <cellStyle name="60% - Accent6 3" xfId="150"/>
    <cellStyle name="60% - Accent6 3 2" xfId="512"/>
    <cellStyle name="60% - Accent6 3 3" xfId="1645"/>
    <cellStyle name="60% - Accent6 4" xfId="326"/>
    <cellStyle name="Accent1" xfId="3979" builtinId="29" customBuiltin="1"/>
    <cellStyle name="Accent1 2" xfId="85"/>
    <cellStyle name="Accent1 2 2" xfId="513"/>
    <cellStyle name="Accent1 2 3" xfId="514"/>
    <cellStyle name="Accent1 2 4" xfId="515"/>
    <cellStyle name="Accent1 3" xfId="516"/>
    <cellStyle name="Accent1 3 2" xfId="2205"/>
    <cellStyle name="Accent1 4" xfId="17"/>
    <cellStyle name="Accent2" xfId="3982" builtinId="33" customBuiltin="1"/>
    <cellStyle name="Accent2 2" xfId="86"/>
    <cellStyle name="Accent2 2 2" xfId="517"/>
    <cellStyle name="Accent2 2 3" xfId="518"/>
    <cellStyle name="Accent2 2 4" xfId="519"/>
    <cellStyle name="Accent2 3" xfId="520"/>
    <cellStyle name="Accent2 3 2" xfId="2208"/>
    <cellStyle name="Accent2 4" xfId="20"/>
    <cellStyle name="Accent3" xfId="3985" builtinId="37" customBuiltin="1"/>
    <cellStyle name="Accent3 2" xfId="87"/>
    <cellStyle name="Accent3 2 2" xfId="521"/>
    <cellStyle name="Accent3 2 3" xfId="522"/>
    <cellStyle name="Accent3 2 4" xfId="523"/>
    <cellStyle name="Accent3 3" xfId="524"/>
    <cellStyle name="Accent3 3 2" xfId="2211"/>
    <cellStyle name="Accent3 4" xfId="23"/>
    <cellStyle name="Accent4" xfId="3988" builtinId="41" customBuiltin="1"/>
    <cellStyle name="Accent4 2" xfId="88"/>
    <cellStyle name="Accent4 2 2" xfId="525"/>
    <cellStyle name="Accent4 2 3" xfId="526"/>
    <cellStyle name="Accent4 2 4" xfId="527"/>
    <cellStyle name="Accent4 3" xfId="528"/>
    <cellStyle name="Accent4 3 2" xfId="2214"/>
    <cellStyle name="Accent4 4" xfId="26"/>
    <cellStyle name="Accent5" xfId="3991" builtinId="45" customBuiltin="1"/>
    <cellStyle name="Accent5 2" xfId="89"/>
    <cellStyle name="Accent5 2 2" xfId="529"/>
    <cellStyle name="Accent5 2 3" xfId="530"/>
    <cellStyle name="Accent5 2 4" xfId="531"/>
    <cellStyle name="Accent5 3" xfId="532"/>
    <cellStyle name="Accent5 3 2" xfId="2217"/>
    <cellStyle name="Accent5 4" xfId="29"/>
    <cellStyle name="Accent6" xfId="3994" builtinId="49" customBuiltin="1"/>
    <cellStyle name="Accent6 2" xfId="90"/>
    <cellStyle name="Accent6 2 2" xfId="533"/>
    <cellStyle name="Accent6 2 3" xfId="534"/>
    <cellStyle name="Accent6 2 4" xfId="535"/>
    <cellStyle name="Accent6 3" xfId="536"/>
    <cellStyle name="Accent6 3 2" xfId="2220"/>
    <cellStyle name="Accent6 4" xfId="32"/>
    <cellStyle name="Bad" xfId="3970" builtinId="27" customBuiltin="1"/>
    <cellStyle name="Bad 2" xfId="91"/>
    <cellStyle name="Bad 2 2" xfId="537"/>
    <cellStyle name="Bad 2 3" xfId="538"/>
    <cellStyle name="Bad 2 4" xfId="539"/>
    <cellStyle name="Bad 3" xfId="540"/>
    <cellStyle name="Bad 3 2" xfId="2195"/>
    <cellStyle name="Bad 4" xfId="8"/>
    <cellStyle name="Calculation" xfId="3973" builtinId="22" customBuiltin="1"/>
    <cellStyle name="Calculation 2" xfId="92"/>
    <cellStyle name="Calculation 2 2" xfId="541"/>
    <cellStyle name="Calculation 2 3" xfId="542"/>
    <cellStyle name="Calculation 2 4" xfId="543"/>
    <cellStyle name="Calculation 3" xfId="544"/>
    <cellStyle name="Calculation 3 2" xfId="2198"/>
    <cellStyle name="Calculation 4" xfId="11"/>
    <cellStyle name="Check Cell" xfId="3975" builtinId="23" customBuiltin="1"/>
    <cellStyle name="Check Cell 2" xfId="93"/>
    <cellStyle name="Check Cell 2 2" xfId="545"/>
    <cellStyle name="Check Cell 2 3" xfId="546"/>
    <cellStyle name="Check Cell 2 4" xfId="547"/>
    <cellStyle name="Check Cell 3" xfId="548"/>
    <cellStyle name="Check Cell 3 2" xfId="2200"/>
    <cellStyle name="Check Cell 4" xfId="13"/>
    <cellStyle name="Comma" xfId="1" builtinId="3"/>
    <cellStyle name="Comma 10" xfId="274"/>
    <cellStyle name="Comma 10 10" xfId="5924"/>
    <cellStyle name="Comma 10 11" xfId="5987"/>
    <cellStyle name="Comma 10 2" xfId="549"/>
    <cellStyle name="Comma 10 3" xfId="1047"/>
    <cellStyle name="Comma 10 4" xfId="2188"/>
    <cellStyle name="Comma 10 4 2" xfId="3951"/>
    <cellStyle name="Comma 10 5" xfId="2336"/>
    <cellStyle name="Comma 10 6" xfId="4042"/>
    <cellStyle name="Comma 10 7" xfId="4120"/>
    <cellStyle name="Comma 10 8" xfId="4197"/>
    <cellStyle name="Comma 10 9" xfId="4274"/>
    <cellStyle name="Comma 11" xfId="218"/>
    <cellStyle name="Comma 11 10" xfId="4323"/>
    <cellStyle name="Comma 11 11" xfId="5566"/>
    <cellStyle name="Comma 11 12" xfId="5991"/>
    <cellStyle name="Comma 11 2" xfId="818"/>
    <cellStyle name="Comma 11 2 2" xfId="1963"/>
    <cellStyle name="Comma 11 2 2 2" xfId="3726"/>
    <cellStyle name="Comma 11 2 2 3" xfId="5097"/>
    <cellStyle name="Comma 11 2 3" xfId="1401"/>
    <cellStyle name="Comma 11 2 3 2" xfId="3208"/>
    <cellStyle name="Comma 11 2 4" xfId="2630"/>
    <cellStyle name="Comma 11 2 5" xfId="4579"/>
    <cellStyle name="Comma 11 2 6" xfId="5567"/>
    <cellStyle name="Comma 11 3" xfId="317"/>
    <cellStyle name="Comma 11 3 2" xfId="1723"/>
    <cellStyle name="Comma 11 3 2 2" xfId="3490"/>
    <cellStyle name="Comma 11 3 3" xfId="2376"/>
    <cellStyle name="Comma 11 3 4" xfId="4861"/>
    <cellStyle name="Comma 11 4" xfId="1145"/>
    <cellStyle name="Comma 11 4 2" xfId="2952"/>
    <cellStyle name="Comma 11 5" xfId="2280"/>
    <cellStyle name="Comma 11 6" xfId="4047"/>
    <cellStyle name="Comma 11 7" xfId="4125"/>
    <cellStyle name="Comma 11 8" xfId="4202"/>
    <cellStyle name="Comma 11 9" xfId="4279"/>
    <cellStyle name="Comma 12" xfId="281"/>
    <cellStyle name="Comma 12 2" xfId="2341"/>
    <cellStyle name="Comma 12 3" xfId="5565"/>
    <cellStyle name="Comma 13" xfId="1085"/>
    <cellStyle name="Comma 14" xfId="3998"/>
    <cellStyle name="Comma 15" xfId="4064"/>
    <cellStyle name="Comma 16" xfId="4141"/>
    <cellStyle name="Comma 17" xfId="4218"/>
    <cellStyle name="Comma 18" xfId="5323"/>
    <cellStyle name="Comma 19" xfId="5856"/>
    <cellStyle name="Comma 2" xfId="39"/>
    <cellStyle name="Comma 2 2" xfId="152"/>
    <cellStyle name="Comma 2 2 2" xfId="550"/>
    <cellStyle name="Comma 2 2 3" xfId="822"/>
    <cellStyle name="Comma 2 2 3 2" xfId="1967"/>
    <cellStyle name="Comma 2 2 3 2 2" xfId="3730"/>
    <cellStyle name="Comma 2 2 3 2 3" xfId="5101"/>
    <cellStyle name="Comma 2 2 3 3" xfId="1405"/>
    <cellStyle name="Comma 2 2 3 3 2" xfId="3212"/>
    <cellStyle name="Comma 2 2 3 4" xfId="2634"/>
    <cellStyle name="Comma 2 2 3 5" xfId="4583"/>
    <cellStyle name="Comma 2 2 3 6" xfId="5568"/>
    <cellStyle name="Comma 2 2 4" xfId="329"/>
    <cellStyle name="Comma 2 2 4 2" xfId="1727"/>
    <cellStyle name="Comma 2 2 4 2 2" xfId="3494"/>
    <cellStyle name="Comma 2 2 4 3" xfId="2380"/>
    <cellStyle name="Comma 2 2 4 4" xfId="4865"/>
    <cellStyle name="Comma 2 2 4 5" xfId="5569"/>
    <cellStyle name="Comma 2 2 5" xfId="1646"/>
    <cellStyle name="Comma 2 2 6" xfId="1149"/>
    <cellStyle name="Comma 2 2 6 2" xfId="2956"/>
    <cellStyle name="Comma 2 2 7" xfId="4327"/>
    <cellStyle name="Comma 2 3" xfId="551"/>
    <cellStyle name="Comma 2 3 2" xfId="552"/>
    <cellStyle name="Comma 2 3 2 2" xfId="932"/>
    <cellStyle name="Comma 2 3 2 2 2" xfId="2077"/>
    <cellStyle name="Comma 2 3 2 2 2 2" xfId="3840"/>
    <cellStyle name="Comma 2 3 2 2 2 3" xfId="5211"/>
    <cellStyle name="Comma 2 3 2 2 3" xfId="1515"/>
    <cellStyle name="Comma 2 3 2 2 3 2" xfId="3322"/>
    <cellStyle name="Comma 2 3 2 2 4" xfId="2744"/>
    <cellStyle name="Comma 2 3 2 2 5" xfId="4693"/>
    <cellStyle name="Comma 2 3 2 2 6" xfId="5572"/>
    <cellStyle name="Comma 2 3 2 3" xfId="1837"/>
    <cellStyle name="Comma 2 3 2 3 2" xfId="3604"/>
    <cellStyle name="Comma 2 3 2 3 3" xfId="4975"/>
    <cellStyle name="Comma 2 3 2 4" xfId="1259"/>
    <cellStyle name="Comma 2 3 2 4 2" xfId="3066"/>
    <cellStyle name="Comma 2 3 2 5" xfId="2490"/>
    <cellStyle name="Comma 2 3 2 6" xfId="4437"/>
    <cellStyle name="Comma 2 3 2 7" xfId="5571"/>
    <cellStyle name="Comma 2 3 3" xfId="931"/>
    <cellStyle name="Comma 2 3 3 2" xfId="2076"/>
    <cellStyle name="Comma 2 3 3 2 2" xfId="3839"/>
    <cellStyle name="Comma 2 3 3 2 3" xfId="5210"/>
    <cellStyle name="Comma 2 3 3 3" xfId="1514"/>
    <cellStyle name="Comma 2 3 3 3 2" xfId="3321"/>
    <cellStyle name="Comma 2 3 3 4" xfId="2743"/>
    <cellStyle name="Comma 2 3 3 5" xfId="4692"/>
    <cellStyle name="Comma 2 3 3 6" xfId="5573"/>
    <cellStyle name="Comma 2 3 4" xfId="1836"/>
    <cellStyle name="Comma 2 3 4 2" xfId="3603"/>
    <cellStyle name="Comma 2 3 4 3" xfId="4974"/>
    <cellStyle name="Comma 2 3 5" xfId="1258"/>
    <cellStyle name="Comma 2 3 5 2" xfId="3065"/>
    <cellStyle name="Comma 2 3 6" xfId="2489"/>
    <cellStyle name="Comma 2 3 7" xfId="4436"/>
    <cellStyle name="Comma 2 3 8" xfId="5570"/>
    <cellStyle name="Comma 2 4" xfId="553"/>
    <cellStyle name="Comma 2 4 2" xfId="554"/>
    <cellStyle name="Comma 2 5" xfId="555"/>
    <cellStyle name="Comma 2 5 2" xfId="933"/>
    <cellStyle name="Comma 2 5 2 2" xfId="2078"/>
    <cellStyle name="Comma 2 5 2 2 2" xfId="3841"/>
    <cellStyle name="Comma 2 5 2 2 3" xfId="5212"/>
    <cellStyle name="Comma 2 5 2 3" xfId="1516"/>
    <cellStyle name="Comma 2 5 2 3 2" xfId="3323"/>
    <cellStyle name="Comma 2 5 2 4" xfId="2745"/>
    <cellStyle name="Comma 2 5 2 5" xfId="4694"/>
    <cellStyle name="Comma 2 5 2 6" xfId="5575"/>
    <cellStyle name="Comma 2 5 3" xfId="1838"/>
    <cellStyle name="Comma 2 5 3 2" xfId="3605"/>
    <cellStyle name="Comma 2 5 3 3" xfId="4976"/>
    <cellStyle name="Comma 2 5 4" xfId="1260"/>
    <cellStyle name="Comma 2 5 4 2" xfId="3067"/>
    <cellStyle name="Comma 2 5 5" xfId="2491"/>
    <cellStyle name="Comma 2 5 6" xfId="4438"/>
    <cellStyle name="Comma 2 5 7" xfId="5574"/>
    <cellStyle name="Comma 20" xfId="5993"/>
    <cellStyle name="Comma 3" xfId="94"/>
    <cellStyle name="Comma 3 2" xfId="173"/>
    <cellStyle name="Comma 3 2 2" xfId="556"/>
    <cellStyle name="Comma 3 2 2 2" xfId="934"/>
    <cellStyle name="Comma 3 2 2 2 2" xfId="2079"/>
    <cellStyle name="Comma 3 2 2 2 2 2" xfId="3842"/>
    <cellStyle name="Comma 3 2 2 2 2 3" xfId="5213"/>
    <cellStyle name="Comma 3 2 2 2 3" xfId="1517"/>
    <cellStyle name="Comma 3 2 2 2 3 2" xfId="3324"/>
    <cellStyle name="Comma 3 2 2 2 4" xfId="2746"/>
    <cellStyle name="Comma 3 2 2 2 5" xfId="4695"/>
    <cellStyle name="Comma 3 2 2 2 6" xfId="5577"/>
    <cellStyle name="Comma 3 2 2 3" xfId="1839"/>
    <cellStyle name="Comma 3 2 2 3 2" xfId="3606"/>
    <cellStyle name="Comma 3 2 2 3 3" xfId="4977"/>
    <cellStyle name="Comma 3 2 2 4" xfId="1261"/>
    <cellStyle name="Comma 3 2 2 4 2" xfId="3068"/>
    <cellStyle name="Comma 3 2 2 5" xfId="2492"/>
    <cellStyle name="Comma 3 2 2 6" xfId="4439"/>
    <cellStyle name="Comma 3 2 2 7" xfId="5576"/>
    <cellStyle name="Comma 3 2 3" xfId="557"/>
    <cellStyle name="Comma 3 2 3 2" xfId="935"/>
    <cellStyle name="Comma 3 2 3 2 2" xfId="2080"/>
    <cellStyle name="Comma 3 2 3 2 2 2" xfId="3843"/>
    <cellStyle name="Comma 3 2 3 2 2 3" xfId="5214"/>
    <cellStyle name="Comma 3 2 3 2 3" xfId="1518"/>
    <cellStyle name="Comma 3 2 3 2 3 2" xfId="3325"/>
    <cellStyle name="Comma 3 2 3 2 4" xfId="2747"/>
    <cellStyle name="Comma 3 2 3 2 5" xfId="4696"/>
    <cellStyle name="Comma 3 2 3 2 6" xfId="5579"/>
    <cellStyle name="Comma 3 2 3 3" xfId="1840"/>
    <cellStyle name="Comma 3 2 3 3 2" xfId="3607"/>
    <cellStyle name="Comma 3 2 3 3 3" xfId="4978"/>
    <cellStyle name="Comma 3 2 3 4" xfId="1262"/>
    <cellStyle name="Comma 3 2 3 4 2" xfId="3069"/>
    <cellStyle name="Comma 3 2 3 5" xfId="2493"/>
    <cellStyle name="Comma 3 2 3 6" xfId="4440"/>
    <cellStyle name="Comma 3 2 3 7" xfId="5578"/>
    <cellStyle name="Comma 3 2 4" xfId="558"/>
    <cellStyle name="Comma 3 2 4 2" xfId="936"/>
    <cellStyle name="Comma 3 2 4 2 2" xfId="2081"/>
    <cellStyle name="Comma 3 2 4 2 2 2" xfId="3844"/>
    <cellStyle name="Comma 3 2 4 2 2 3" xfId="5215"/>
    <cellStyle name="Comma 3 2 4 2 3" xfId="1519"/>
    <cellStyle name="Comma 3 2 4 2 3 2" xfId="3326"/>
    <cellStyle name="Comma 3 2 4 2 4" xfId="2748"/>
    <cellStyle name="Comma 3 2 4 2 5" xfId="4697"/>
    <cellStyle name="Comma 3 2 4 2 6" xfId="5581"/>
    <cellStyle name="Comma 3 2 4 3" xfId="1841"/>
    <cellStyle name="Comma 3 2 4 3 2" xfId="3608"/>
    <cellStyle name="Comma 3 2 4 3 3" xfId="4979"/>
    <cellStyle name="Comma 3 2 4 4" xfId="1263"/>
    <cellStyle name="Comma 3 2 4 4 2" xfId="3070"/>
    <cellStyle name="Comma 3 2 4 5" xfId="2494"/>
    <cellStyle name="Comma 3 2 4 6" xfId="4441"/>
    <cellStyle name="Comma 3 2 4 7" xfId="5580"/>
    <cellStyle name="Comma 3 2 5" xfId="330"/>
    <cellStyle name="Comma 3 2 6" xfId="1647"/>
    <cellStyle name="Comma 3 3" xfId="559"/>
    <cellStyle name="Comma 3 3 2" xfId="560"/>
    <cellStyle name="Comma 3 3 3" xfId="561"/>
    <cellStyle name="Comma 3 3 4" xfId="937"/>
    <cellStyle name="Comma 3 3 4 2" xfId="2082"/>
    <cellStyle name="Comma 3 3 4 2 2" xfId="3845"/>
    <cellStyle name="Comma 3 3 4 2 3" xfId="5216"/>
    <cellStyle name="Comma 3 3 4 3" xfId="1520"/>
    <cellStyle name="Comma 3 3 4 3 2" xfId="3327"/>
    <cellStyle name="Comma 3 3 4 4" xfId="2749"/>
    <cellStyle name="Comma 3 3 4 5" xfId="4698"/>
    <cellStyle name="Comma 3 3 4 6" xfId="5583"/>
    <cellStyle name="Comma 3 3 5" xfId="1842"/>
    <cellStyle name="Comma 3 3 5 2" xfId="3609"/>
    <cellStyle name="Comma 3 3 5 3" xfId="4980"/>
    <cellStyle name="Comma 3 3 6" xfId="1264"/>
    <cellStyle name="Comma 3 3 6 2" xfId="3071"/>
    <cellStyle name="Comma 3 3 7" xfId="2495"/>
    <cellStyle name="Comma 3 3 8" xfId="4442"/>
    <cellStyle name="Comma 3 3 9" xfId="5582"/>
    <cellStyle name="Comma 3 4" xfId="562"/>
    <cellStyle name="Comma 3 4 2" xfId="563"/>
    <cellStyle name="Comma 3 4 2 2" xfId="939"/>
    <cellStyle name="Comma 3 4 2 2 2" xfId="2084"/>
    <cellStyle name="Comma 3 4 2 2 2 2" xfId="3847"/>
    <cellStyle name="Comma 3 4 2 2 2 3" xfId="5218"/>
    <cellStyle name="Comma 3 4 2 2 3" xfId="1522"/>
    <cellStyle name="Comma 3 4 2 2 3 2" xfId="3329"/>
    <cellStyle name="Comma 3 4 2 2 4" xfId="2751"/>
    <cellStyle name="Comma 3 4 2 2 5" xfId="4700"/>
    <cellStyle name="Comma 3 4 2 2 6" xfId="5586"/>
    <cellStyle name="Comma 3 4 2 3" xfId="1844"/>
    <cellStyle name="Comma 3 4 2 3 2" xfId="3611"/>
    <cellStyle name="Comma 3 4 2 3 3" xfId="4982"/>
    <cellStyle name="Comma 3 4 2 4" xfId="1266"/>
    <cellStyle name="Comma 3 4 2 4 2" xfId="3073"/>
    <cellStyle name="Comma 3 4 2 5" xfId="2497"/>
    <cellStyle name="Comma 3 4 2 6" xfId="4444"/>
    <cellStyle name="Comma 3 4 2 7" xfId="5585"/>
    <cellStyle name="Comma 3 4 3" xfId="938"/>
    <cellStyle name="Comma 3 4 3 2" xfId="2083"/>
    <cellStyle name="Comma 3 4 3 2 2" xfId="3846"/>
    <cellStyle name="Comma 3 4 3 2 3" xfId="5217"/>
    <cellStyle name="Comma 3 4 3 3" xfId="1521"/>
    <cellStyle name="Comma 3 4 3 3 2" xfId="3328"/>
    <cellStyle name="Comma 3 4 3 4" xfId="2750"/>
    <cellStyle name="Comma 3 4 3 5" xfId="4699"/>
    <cellStyle name="Comma 3 4 3 6" xfId="5587"/>
    <cellStyle name="Comma 3 4 4" xfId="1843"/>
    <cellStyle name="Comma 3 4 4 2" xfId="3610"/>
    <cellStyle name="Comma 3 4 4 3" xfId="4981"/>
    <cellStyle name="Comma 3 4 5" xfId="1265"/>
    <cellStyle name="Comma 3 4 5 2" xfId="3072"/>
    <cellStyle name="Comma 3 4 6" xfId="2496"/>
    <cellStyle name="Comma 3 4 7" xfId="4443"/>
    <cellStyle name="Comma 3 4 8" xfId="5584"/>
    <cellStyle name="Comma 3 5" xfId="564"/>
    <cellStyle name="Comma 3 6" xfId="565"/>
    <cellStyle name="Comma 3 6 2" xfId="940"/>
    <cellStyle name="Comma 3 6 2 2" xfId="2085"/>
    <cellStyle name="Comma 3 6 2 2 2" xfId="3848"/>
    <cellStyle name="Comma 3 6 2 2 3" xfId="5219"/>
    <cellStyle name="Comma 3 6 2 3" xfId="1523"/>
    <cellStyle name="Comma 3 6 2 3 2" xfId="3330"/>
    <cellStyle name="Comma 3 6 2 4" xfId="2752"/>
    <cellStyle name="Comma 3 6 2 5" xfId="4701"/>
    <cellStyle name="Comma 3 6 2 6" xfId="5589"/>
    <cellStyle name="Comma 3 6 3" xfId="1845"/>
    <cellStyle name="Comma 3 6 3 2" xfId="3612"/>
    <cellStyle name="Comma 3 6 3 3" xfId="4983"/>
    <cellStyle name="Comma 3 6 4" xfId="1267"/>
    <cellStyle name="Comma 3 6 4 2" xfId="3074"/>
    <cellStyle name="Comma 3 6 5" xfId="2498"/>
    <cellStyle name="Comma 3 6 6" xfId="4445"/>
    <cellStyle name="Comma 3 6 7" xfId="5588"/>
    <cellStyle name="Comma 4" xfId="95"/>
    <cellStyle name="Comma 4 2" xfId="118"/>
    <cellStyle name="Comma 4 2 2" xfId="180"/>
    <cellStyle name="Comma 4 2 3" xfId="157"/>
    <cellStyle name="Comma 4 2 3 2" xfId="941"/>
    <cellStyle name="Comma 4 2 3 2 2" xfId="2086"/>
    <cellStyle name="Comma 4 2 3 2 2 2" xfId="3849"/>
    <cellStyle name="Comma 4 2 3 2 2 3" xfId="5220"/>
    <cellStyle name="Comma 4 2 3 2 3" xfId="1524"/>
    <cellStyle name="Comma 4 2 3 2 3 2" xfId="3331"/>
    <cellStyle name="Comma 4 2 3 2 4" xfId="2753"/>
    <cellStyle name="Comma 4 2 3 2 5" xfId="4702"/>
    <cellStyle name="Comma 4 2 3 2 6" xfId="5591"/>
    <cellStyle name="Comma 4 2 3 3" xfId="566"/>
    <cellStyle name="Comma 4 2 3 3 2" xfId="1846"/>
    <cellStyle name="Comma 4 2 3 3 2 2" xfId="3613"/>
    <cellStyle name="Comma 4 2 3 3 3" xfId="2499"/>
    <cellStyle name="Comma 4 2 3 3 4" xfId="4984"/>
    <cellStyle name="Comma 4 2 3 3 5" xfId="5592"/>
    <cellStyle name="Comma 4 2 3 4" xfId="1648"/>
    <cellStyle name="Comma 4 2 3 5" xfId="1268"/>
    <cellStyle name="Comma 4 2 3 5 2" xfId="3075"/>
    <cellStyle name="Comma 4 2 3 6" xfId="4446"/>
    <cellStyle name="Comma 4 3" xfId="119"/>
    <cellStyle name="Comma 4 3 2" xfId="181"/>
    <cellStyle name="Comma 4 3 3" xfId="154"/>
    <cellStyle name="Comma 4 3 3 2" xfId="942"/>
    <cellStyle name="Comma 4 3 3 2 2" xfId="2087"/>
    <cellStyle name="Comma 4 3 3 2 2 2" xfId="3850"/>
    <cellStyle name="Comma 4 3 3 2 2 3" xfId="5221"/>
    <cellStyle name="Comma 4 3 3 2 3" xfId="1525"/>
    <cellStyle name="Comma 4 3 3 2 3 2" xfId="3332"/>
    <cellStyle name="Comma 4 3 3 2 4" xfId="2754"/>
    <cellStyle name="Comma 4 3 3 2 5" xfId="4703"/>
    <cellStyle name="Comma 4 3 3 2 6" xfId="5593"/>
    <cellStyle name="Comma 4 3 3 3" xfId="567"/>
    <cellStyle name="Comma 4 3 3 3 2" xfId="1847"/>
    <cellStyle name="Comma 4 3 3 3 2 2" xfId="3614"/>
    <cellStyle name="Comma 4 3 3 3 3" xfId="2500"/>
    <cellStyle name="Comma 4 3 3 3 4" xfId="4985"/>
    <cellStyle name="Comma 4 3 3 3 5" xfId="5594"/>
    <cellStyle name="Comma 4 3 3 4" xfId="1649"/>
    <cellStyle name="Comma 4 3 3 5" xfId="1269"/>
    <cellStyle name="Comma 4 3 3 5 2" xfId="3076"/>
    <cellStyle name="Comma 4 3 3 6" xfId="4447"/>
    <cellStyle name="Comma 4 4" xfId="117"/>
    <cellStyle name="Comma 4 5" xfId="568"/>
    <cellStyle name="Comma 4 5 2" xfId="943"/>
    <cellStyle name="Comma 4 5 2 2" xfId="2088"/>
    <cellStyle name="Comma 4 5 2 2 2" xfId="3851"/>
    <cellStyle name="Comma 4 5 2 2 3" xfId="5222"/>
    <cellStyle name="Comma 4 5 2 3" xfId="1526"/>
    <cellStyle name="Comma 4 5 2 3 2" xfId="3333"/>
    <cellStyle name="Comma 4 5 2 4" xfId="2755"/>
    <cellStyle name="Comma 4 5 2 5" xfId="4704"/>
    <cellStyle name="Comma 4 5 2 6" xfId="5596"/>
    <cellStyle name="Comma 4 5 3" xfId="1848"/>
    <cellStyle name="Comma 4 5 3 2" xfId="3615"/>
    <cellStyle name="Comma 4 5 3 3" xfId="4986"/>
    <cellStyle name="Comma 4 5 4" xfId="1270"/>
    <cellStyle name="Comma 4 5 4 2" xfId="3077"/>
    <cellStyle name="Comma 4 5 5" xfId="2501"/>
    <cellStyle name="Comma 4 5 6" xfId="4448"/>
    <cellStyle name="Comma 4 5 7" xfId="5595"/>
    <cellStyle name="Comma 4 6" xfId="5590"/>
    <cellStyle name="Comma 5" xfId="66"/>
    <cellStyle name="Comma 5 10" xfId="2242"/>
    <cellStyle name="Comma 5 11" xfId="4003"/>
    <cellStyle name="Comma 5 12" xfId="4081"/>
    <cellStyle name="Comma 5 13" xfId="4158"/>
    <cellStyle name="Comma 5 14" xfId="4235"/>
    <cellStyle name="Comma 5 15" xfId="4312"/>
    <cellStyle name="Comma 5 16" xfId="5872"/>
    <cellStyle name="Comma 5 2" xfId="121"/>
    <cellStyle name="Comma 5 2 2" xfId="189"/>
    <cellStyle name="Comma 5 2 2 10" xfId="4257"/>
    <cellStyle name="Comma 5 2 2 11" xfId="5597"/>
    <cellStyle name="Comma 5 2 2 12" xfId="5921"/>
    <cellStyle name="Comma 5 2 2 2" xfId="257"/>
    <cellStyle name="Comma 5 2 2 2 2" xfId="1932"/>
    <cellStyle name="Comma 5 2 2 2 3" xfId="2319"/>
    <cellStyle name="Comma 5 2 2 2 4" xfId="5984"/>
    <cellStyle name="Comma 5 2 2 3" xfId="782"/>
    <cellStyle name="Comma 5 2 2 3 2" xfId="1650"/>
    <cellStyle name="Comma 5 2 2 3 2 2" xfId="3448"/>
    <cellStyle name="Comma 5 2 2 3 3" xfId="4819"/>
    <cellStyle name="Comma 5 2 2 4" xfId="1046"/>
    <cellStyle name="Comma 5 2 2 4 2" xfId="2858"/>
    <cellStyle name="Comma 5 2 2 5" xfId="1112"/>
    <cellStyle name="Comma 5 2 2 5 2" xfId="2921"/>
    <cellStyle name="Comma 5 2 2 6" xfId="2263"/>
    <cellStyle name="Comma 5 2 2 7" xfId="4025"/>
    <cellStyle name="Comma 5 2 2 8" xfId="4103"/>
    <cellStyle name="Comma 5 2 2 9" xfId="4180"/>
    <cellStyle name="Comma 5 2 3" xfId="205"/>
    <cellStyle name="Comma 5 2 3 2" xfId="570"/>
    <cellStyle name="Comma 5 2 3 3" xfId="1651"/>
    <cellStyle name="Comma 5 2 4" xfId="1059"/>
    <cellStyle name="Comma 5 2 4 2" xfId="2869"/>
    <cellStyle name="Comma 5 2 4 3" xfId="5932"/>
    <cellStyle name="Comma 5 2 5" xfId="5879"/>
    <cellStyle name="Comma 5 3" xfId="122"/>
    <cellStyle name="Comma 5 3 10" xfId="4086"/>
    <cellStyle name="Comma 5 3 11" xfId="4163"/>
    <cellStyle name="Comma 5 3 12" xfId="4240"/>
    <cellStyle name="Comma 5 3 13" xfId="4315"/>
    <cellStyle name="Comma 5 3 14" xfId="5598"/>
    <cellStyle name="Comma 5 3 15" xfId="5876"/>
    <cellStyle name="Comma 5 3 2" xfId="206"/>
    <cellStyle name="Comma 5 3 2 10" xfId="4268"/>
    <cellStyle name="Comma 5 3 2 11" xfId="4547"/>
    <cellStyle name="Comma 5 3 2 12" xfId="5599"/>
    <cellStyle name="Comma 5 3 2 13" xfId="5902"/>
    <cellStyle name="Comma 5 3 2 2" xfId="268"/>
    <cellStyle name="Comma 5 3 2 2 2" xfId="1042"/>
    <cellStyle name="Comma 5 3 2 2 2 2" xfId="2184"/>
    <cellStyle name="Comma 5 3 2 2 2 2 2" xfId="3947"/>
    <cellStyle name="Comma 5 3 2 2 2 3" xfId="2854"/>
    <cellStyle name="Comma 5 3 2 2 2 4" xfId="5318"/>
    <cellStyle name="Comma 5 3 2 2 3" xfId="1625"/>
    <cellStyle name="Comma 5 3 2 2 3 2" xfId="3432"/>
    <cellStyle name="Comma 5 3 2 2 4" xfId="2330"/>
    <cellStyle name="Comma 5 3 2 2 5" xfId="4803"/>
    <cellStyle name="Comma 5 3 2 2 6" xfId="5600"/>
    <cellStyle name="Comma 5 3 2 2 7" xfId="5966"/>
    <cellStyle name="Comma 5 3 2 3" xfId="783"/>
    <cellStyle name="Comma 5 3 2 3 2" xfId="1653"/>
    <cellStyle name="Comma 5 3 2 3 2 2" xfId="3450"/>
    <cellStyle name="Comma 5 3 2 3 3" xfId="2599"/>
    <cellStyle name="Comma 5 3 2 3 4" xfId="4821"/>
    <cellStyle name="Comma 5 3 2 4" xfId="1094"/>
    <cellStyle name="Comma 5 3 2 4 2" xfId="2903"/>
    <cellStyle name="Comma 5 3 2 5" xfId="1369"/>
    <cellStyle name="Comma 5 3 2 5 2" xfId="3176"/>
    <cellStyle name="Comma 5 3 2 6" xfId="2274"/>
    <cellStyle name="Comma 5 3 2 7" xfId="4036"/>
    <cellStyle name="Comma 5 3 2 8" xfId="4114"/>
    <cellStyle name="Comma 5 3 2 9" xfId="4191"/>
    <cellStyle name="Comma 5 3 3" xfId="240"/>
    <cellStyle name="Comma 5 3 3 2" xfId="571"/>
    <cellStyle name="Comma 5 3 3 3" xfId="2302"/>
    <cellStyle name="Comma 5 3 3 4" xfId="5929"/>
    <cellStyle name="Comma 5 3 4" xfId="798"/>
    <cellStyle name="Comma 5 3 4 2" xfId="1943"/>
    <cellStyle name="Comma 5 3 4 2 2" xfId="3706"/>
    <cellStyle name="Comma 5 3 4 2 3" xfId="5077"/>
    <cellStyle name="Comma 5 3 4 3" xfId="1381"/>
    <cellStyle name="Comma 5 3 4 3 2" xfId="3188"/>
    <cellStyle name="Comma 5 3 4 4" xfId="2610"/>
    <cellStyle name="Comma 5 3 4 5" xfId="4559"/>
    <cellStyle name="Comma 5 3 4 6" xfId="5601"/>
    <cellStyle name="Comma 5 3 5" xfId="296"/>
    <cellStyle name="Comma 5 3 5 2" xfId="1652"/>
    <cellStyle name="Comma 5 3 5 2 2" xfId="3449"/>
    <cellStyle name="Comma 5 3 5 3" xfId="2355"/>
    <cellStyle name="Comma 5 3 5 4" xfId="4820"/>
    <cellStyle name="Comma 5 3 6" xfId="1056"/>
    <cellStyle name="Comma 5 3 6 2" xfId="2866"/>
    <cellStyle name="Comma 5 3 7" xfId="1125"/>
    <cellStyle name="Comma 5 3 7 2" xfId="2932"/>
    <cellStyle name="Comma 5 3 8" xfId="2245"/>
    <cellStyle name="Comma 5 3 9" xfId="4008"/>
    <cellStyle name="Comma 5 4" xfId="120"/>
    <cellStyle name="Comma 5 4 2" xfId="188"/>
    <cellStyle name="Comma 5 4 2 10" xfId="4256"/>
    <cellStyle name="Comma 5 4 2 11" xfId="4822"/>
    <cellStyle name="Comma 5 4 2 12" xfId="5602"/>
    <cellStyle name="Comma 5 4 2 13" xfId="5920"/>
    <cellStyle name="Comma 5 4 2 2" xfId="256"/>
    <cellStyle name="Comma 5 4 2 2 2" xfId="2318"/>
    <cellStyle name="Comma 5 4 2 2 3" xfId="5983"/>
    <cellStyle name="Comma 5 4 2 3" xfId="284"/>
    <cellStyle name="Comma 5 4 2 3 2" xfId="2344"/>
    <cellStyle name="Comma 5 4 2 4" xfId="1111"/>
    <cellStyle name="Comma 5 4 2 4 2" xfId="2920"/>
    <cellStyle name="Comma 5 4 2 5" xfId="1654"/>
    <cellStyle name="Comma 5 4 2 5 2" xfId="3451"/>
    <cellStyle name="Comma 5 4 2 6" xfId="2262"/>
    <cellStyle name="Comma 5 4 2 7" xfId="4024"/>
    <cellStyle name="Comma 5 4 2 8" xfId="4102"/>
    <cellStyle name="Comma 5 4 2 9" xfId="4179"/>
    <cellStyle name="Comma 5 4 3" xfId="204"/>
    <cellStyle name="Comma 5 4 4" xfId="1069"/>
    <cellStyle name="Comma 5 4 4 2" xfId="2879"/>
    <cellStyle name="Comma 5 4 4 3" xfId="5942"/>
    <cellStyle name="Comma 5 4 5" xfId="5889"/>
    <cellStyle name="Comma 5 5" xfId="201"/>
    <cellStyle name="Comma 5 5 10" xfId="4265"/>
    <cellStyle name="Comma 5 5 11" xfId="4449"/>
    <cellStyle name="Comma 5 5 12" xfId="5603"/>
    <cellStyle name="Comma 5 5 13" xfId="5898"/>
    <cellStyle name="Comma 5 5 2" xfId="265"/>
    <cellStyle name="Comma 5 5 2 2" xfId="944"/>
    <cellStyle name="Comma 5 5 2 2 2" xfId="2089"/>
    <cellStyle name="Comma 5 5 2 2 2 2" xfId="3852"/>
    <cellStyle name="Comma 5 5 2 2 3" xfId="2756"/>
    <cellStyle name="Comma 5 5 2 2 4" xfId="5223"/>
    <cellStyle name="Comma 5 5 2 3" xfId="1527"/>
    <cellStyle name="Comma 5 5 2 3 2" xfId="3334"/>
    <cellStyle name="Comma 5 5 2 4" xfId="2327"/>
    <cellStyle name="Comma 5 5 2 5" xfId="4705"/>
    <cellStyle name="Comma 5 5 2 6" xfId="5604"/>
    <cellStyle name="Comma 5 5 2 7" xfId="5963"/>
    <cellStyle name="Comma 5 5 3" xfId="569"/>
    <cellStyle name="Comma 5 5 3 2" xfId="1655"/>
    <cellStyle name="Comma 5 5 3 2 2" xfId="3452"/>
    <cellStyle name="Comma 5 5 3 3" xfId="2502"/>
    <cellStyle name="Comma 5 5 3 4" xfId="4823"/>
    <cellStyle name="Comma 5 5 4" xfId="1091"/>
    <cellStyle name="Comma 5 5 4 2" xfId="2900"/>
    <cellStyle name="Comma 5 5 5" xfId="1271"/>
    <cellStyle name="Comma 5 5 5 2" xfId="3078"/>
    <cellStyle name="Comma 5 5 6" xfId="2271"/>
    <cellStyle name="Comma 5 5 7" xfId="4033"/>
    <cellStyle name="Comma 5 5 8" xfId="4111"/>
    <cellStyle name="Comma 5 5 9" xfId="4188"/>
    <cellStyle name="Comma 5 6" xfId="235"/>
    <cellStyle name="Comma 5 6 2" xfId="796"/>
    <cellStyle name="Comma 5 6 2 2" xfId="1940"/>
    <cellStyle name="Comma 5 6 2 2 2" xfId="3703"/>
    <cellStyle name="Comma 5 6 2 3" xfId="2608"/>
    <cellStyle name="Comma 5 6 2 4" xfId="5074"/>
    <cellStyle name="Comma 5 6 3" xfId="1378"/>
    <cellStyle name="Comma 5 6 3 2" xfId="3185"/>
    <cellStyle name="Comma 5 6 4" xfId="2297"/>
    <cellStyle name="Comma 5 6 5" xfId="4556"/>
    <cellStyle name="Comma 5 6 6" xfId="5605"/>
    <cellStyle name="Comma 5 6 7" xfId="5926"/>
    <cellStyle name="Comma 5 7" xfId="295"/>
    <cellStyle name="Comma 5 7 2" xfId="2354"/>
    <cellStyle name="Comma 5 8" xfId="1053"/>
    <cellStyle name="Comma 5 8 2" xfId="2863"/>
    <cellStyle name="Comma 5 9" xfId="1122"/>
    <cellStyle name="Comma 5 9 2" xfId="2929"/>
    <cellStyle name="Comma 6" xfId="64"/>
    <cellStyle name="Comma 6 2" xfId="775"/>
    <cellStyle name="Comma 6 3" xfId="572"/>
    <cellStyle name="Comma 6 3 2" xfId="945"/>
    <cellStyle name="Comma 6 3 2 2" xfId="2090"/>
    <cellStyle name="Comma 6 3 2 2 2" xfId="3853"/>
    <cellStyle name="Comma 6 3 2 2 3" xfId="5224"/>
    <cellStyle name="Comma 6 3 2 3" xfId="1528"/>
    <cellStyle name="Comma 6 3 2 3 2" xfId="3335"/>
    <cellStyle name="Comma 6 3 2 4" xfId="2757"/>
    <cellStyle name="Comma 6 3 2 5" xfId="4706"/>
    <cellStyle name="Comma 6 3 2 6" xfId="5607"/>
    <cellStyle name="Comma 6 3 3" xfId="1849"/>
    <cellStyle name="Comma 6 3 3 2" xfId="3616"/>
    <cellStyle name="Comma 6 3 3 3" xfId="4987"/>
    <cellStyle name="Comma 6 3 4" xfId="1272"/>
    <cellStyle name="Comma 6 3 4 2" xfId="3079"/>
    <cellStyle name="Comma 6 3 5" xfId="2503"/>
    <cellStyle name="Comma 6 3 6" xfId="4450"/>
    <cellStyle name="Comma 6 3 7" xfId="5606"/>
    <cellStyle name="Comma 7" xfId="43"/>
    <cellStyle name="Comma 7 2" xfId="764"/>
    <cellStyle name="Comma 7 3" xfId="573"/>
    <cellStyle name="Comma 7 3 2" xfId="946"/>
    <cellStyle name="Comma 7 3 2 2" xfId="2091"/>
    <cellStyle name="Comma 7 3 2 2 2" xfId="3854"/>
    <cellStyle name="Comma 7 3 2 2 3" xfId="5225"/>
    <cellStyle name="Comma 7 3 2 3" xfId="1529"/>
    <cellStyle name="Comma 7 3 2 3 2" xfId="3336"/>
    <cellStyle name="Comma 7 3 2 4" xfId="2758"/>
    <cellStyle name="Comma 7 3 2 5" xfId="4707"/>
    <cellStyle name="Comma 7 3 2 6" xfId="5609"/>
    <cellStyle name="Comma 7 3 3" xfId="1850"/>
    <cellStyle name="Comma 7 3 3 2" xfId="3617"/>
    <cellStyle name="Comma 7 3 3 3" xfId="4988"/>
    <cellStyle name="Comma 7 3 4" xfId="1273"/>
    <cellStyle name="Comma 7 3 4 2" xfId="3080"/>
    <cellStyle name="Comma 7 3 5" xfId="2504"/>
    <cellStyle name="Comma 7 3 6" xfId="4451"/>
    <cellStyle name="Comma 7 3 7" xfId="5608"/>
    <cellStyle name="Comma 8" xfId="177"/>
    <cellStyle name="Comma 8 2" xfId="186"/>
    <cellStyle name="Comma 8 2 10" xfId="4255"/>
    <cellStyle name="Comma 8 2 11" xfId="4708"/>
    <cellStyle name="Comma 8 2 12" xfId="5610"/>
    <cellStyle name="Comma 8 2 13" xfId="5919"/>
    <cellStyle name="Comma 8 2 2" xfId="255"/>
    <cellStyle name="Comma 8 2 2 2" xfId="1657"/>
    <cellStyle name="Comma 8 2 2 2 2" xfId="3453"/>
    <cellStyle name="Comma 8 2 2 3" xfId="2317"/>
    <cellStyle name="Comma 8 2 2 4" xfId="4824"/>
    <cellStyle name="Comma 8 2 2 5" xfId="5982"/>
    <cellStyle name="Comma 8 2 3" xfId="947"/>
    <cellStyle name="Comma 8 2 3 2" xfId="2759"/>
    <cellStyle name="Comma 8 2 4" xfId="1110"/>
    <cellStyle name="Comma 8 2 4 2" xfId="2919"/>
    <cellStyle name="Comma 8 2 5" xfId="1530"/>
    <cellStyle name="Comma 8 2 5 2" xfId="3337"/>
    <cellStyle name="Comma 8 2 6" xfId="2261"/>
    <cellStyle name="Comma 8 2 7" xfId="4023"/>
    <cellStyle name="Comma 8 2 8" xfId="4101"/>
    <cellStyle name="Comma 8 2 9" xfId="4178"/>
    <cellStyle name="Comma 8 3" xfId="213"/>
    <cellStyle name="Comma 8 4" xfId="574"/>
    <cellStyle name="Comma 8 4 2" xfId="1656"/>
    <cellStyle name="Comma 8 4 3" xfId="2505"/>
    <cellStyle name="Comma 8 4 4" xfId="5935"/>
    <cellStyle name="Comma 8 5" xfId="1062"/>
    <cellStyle name="Comma 8 5 2" xfId="2872"/>
    <cellStyle name="Comma 8 6" xfId="1274"/>
    <cellStyle name="Comma 8 6 2" xfId="3081"/>
    <cellStyle name="Comma 8 7" xfId="4452"/>
    <cellStyle name="Comma 8 8" xfId="5882"/>
    <cellStyle name="Comma 9" xfId="171"/>
    <cellStyle name="Comma 9 10" xfId="4174"/>
    <cellStyle name="Comma 9 11" xfId="4251"/>
    <cellStyle name="Comma 9 12" xfId="4453"/>
    <cellStyle name="Comma 9 13" xfId="5611"/>
    <cellStyle name="Comma 9 14" xfId="5885"/>
    <cellStyle name="Comma 9 2" xfId="212"/>
    <cellStyle name="Comma 9 2 10" xfId="4271"/>
    <cellStyle name="Comma 9 2 11" xfId="4709"/>
    <cellStyle name="Comma 9 2 12" xfId="5612"/>
    <cellStyle name="Comma 9 2 13" xfId="5913"/>
    <cellStyle name="Comma 9 2 2" xfId="271"/>
    <cellStyle name="Comma 9 2 2 2" xfId="1659"/>
    <cellStyle name="Comma 9 2 2 2 2" xfId="3455"/>
    <cellStyle name="Comma 9 2 2 3" xfId="2333"/>
    <cellStyle name="Comma 9 2 2 4" xfId="4826"/>
    <cellStyle name="Comma 9 2 2 5" xfId="5977"/>
    <cellStyle name="Comma 9 2 3" xfId="948"/>
    <cellStyle name="Comma 9 2 3 2" xfId="2760"/>
    <cellStyle name="Comma 9 2 4" xfId="1105"/>
    <cellStyle name="Comma 9 2 4 2" xfId="2914"/>
    <cellStyle name="Comma 9 2 5" xfId="1531"/>
    <cellStyle name="Comma 9 2 5 2" xfId="3338"/>
    <cellStyle name="Comma 9 2 6" xfId="2277"/>
    <cellStyle name="Comma 9 2 7" xfId="4039"/>
    <cellStyle name="Comma 9 2 8" xfId="4117"/>
    <cellStyle name="Comma 9 2 9" xfId="4194"/>
    <cellStyle name="Comma 9 3" xfId="251"/>
    <cellStyle name="Comma 9 3 2" xfId="1658"/>
    <cellStyle name="Comma 9 3 2 2" xfId="3454"/>
    <cellStyle name="Comma 9 3 3" xfId="2313"/>
    <cellStyle name="Comma 9 3 4" xfId="4825"/>
    <cellStyle name="Comma 9 3 5" xfId="5938"/>
    <cellStyle name="Comma 9 4" xfId="575"/>
    <cellStyle name="Comma 9 4 2" xfId="2506"/>
    <cellStyle name="Comma 9 5" xfId="1065"/>
    <cellStyle name="Comma 9 5 2" xfId="2875"/>
    <cellStyle name="Comma 9 6" xfId="1275"/>
    <cellStyle name="Comma 9 6 2" xfId="3082"/>
    <cellStyle name="Comma 9 7" xfId="2256"/>
    <cellStyle name="Comma 9 8" xfId="4019"/>
    <cellStyle name="Comma 9 9" xfId="4097"/>
    <cellStyle name="Comma0" xfId="576"/>
    <cellStyle name="Currency 2" xfId="42"/>
    <cellStyle name="Currency 2 2" xfId="156"/>
    <cellStyle name="Currency 2 2 2" xfId="578"/>
    <cellStyle name="Currency 2 2 2 2" xfId="950"/>
    <cellStyle name="Currency 2 2 2 2 2" xfId="2093"/>
    <cellStyle name="Currency 2 2 2 2 2 2" xfId="3856"/>
    <cellStyle name="Currency 2 2 2 2 2 3" xfId="5227"/>
    <cellStyle name="Currency 2 2 2 2 3" xfId="1533"/>
    <cellStyle name="Currency 2 2 2 2 3 2" xfId="3340"/>
    <cellStyle name="Currency 2 2 2 2 4" xfId="2762"/>
    <cellStyle name="Currency 2 2 2 2 5" xfId="4711"/>
    <cellStyle name="Currency 2 2 2 2 6" xfId="5614"/>
    <cellStyle name="Currency 2 2 2 3" xfId="1852"/>
    <cellStyle name="Currency 2 2 2 3 2" xfId="3619"/>
    <cellStyle name="Currency 2 2 2 3 3" xfId="4990"/>
    <cellStyle name="Currency 2 2 2 4" xfId="1277"/>
    <cellStyle name="Currency 2 2 2 4 2" xfId="3084"/>
    <cellStyle name="Currency 2 2 2 5" xfId="2508"/>
    <cellStyle name="Currency 2 2 2 6" xfId="4455"/>
    <cellStyle name="Currency 2 2 2 7" xfId="5613"/>
    <cellStyle name="Currency 2 2 3" xfId="949"/>
    <cellStyle name="Currency 2 2 3 2" xfId="2092"/>
    <cellStyle name="Currency 2 2 3 2 2" xfId="3855"/>
    <cellStyle name="Currency 2 2 3 2 3" xfId="5226"/>
    <cellStyle name="Currency 2 2 3 3" xfId="1532"/>
    <cellStyle name="Currency 2 2 3 3 2" xfId="3339"/>
    <cellStyle name="Currency 2 2 3 4" xfId="2761"/>
    <cellStyle name="Currency 2 2 3 5" xfId="4710"/>
    <cellStyle name="Currency 2 2 3 6" xfId="5615"/>
    <cellStyle name="Currency 2 2 4" xfId="577"/>
    <cellStyle name="Currency 2 2 4 2" xfId="1851"/>
    <cellStyle name="Currency 2 2 4 2 2" xfId="3618"/>
    <cellStyle name="Currency 2 2 4 3" xfId="2507"/>
    <cellStyle name="Currency 2 2 4 4" xfId="4989"/>
    <cellStyle name="Currency 2 2 4 5" xfId="5616"/>
    <cellStyle name="Currency 2 2 5" xfId="1660"/>
    <cellStyle name="Currency 2 2 6" xfId="1276"/>
    <cellStyle name="Currency 2 2 6 2" xfId="3083"/>
    <cellStyle name="Currency 2 2 7" xfId="4454"/>
    <cellStyle name="Currency 2 3" xfId="153"/>
    <cellStyle name="Currency 2 4" xfId="277"/>
    <cellStyle name="Currency 3" xfId="40"/>
    <cellStyle name="Currency 3 2" xfId="579"/>
    <cellStyle name="Currency 3 3" xfId="1661"/>
    <cellStyle name="Currency 4" xfId="790"/>
    <cellStyle name="Currency 4 2" xfId="1936"/>
    <cellStyle name="Currency0" xfId="580"/>
    <cellStyle name="Date" xfId="581"/>
    <cellStyle name="Date 2" xfId="582"/>
    <cellStyle name="Explanatory Text" xfId="3977" builtinId="53" customBuiltin="1"/>
    <cellStyle name="Explanatory Text 2" xfId="96"/>
    <cellStyle name="Explanatory Text 2 2" xfId="583"/>
    <cellStyle name="Explanatory Text 2 3" xfId="584"/>
    <cellStyle name="Explanatory Text 2 4" xfId="585"/>
    <cellStyle name="Explanatory Text 3" xfId="586"/>
    <cellStyle name="Explanatory Text 3 2" xfId="2203"/>
    <cellStyle name="Explanatory Text 4" xfId="15"/>
    <cellStyle name="Fixed" xfId="587"/>
    <cellStyle name="Good" xfId="3969" builtinId="26" customBuiltin="1"/>
    <cellStyle name="Good 2" xfId="97"/>
    <cellStyle name="Good 2 2" xfId="588"/>
    <cellStyle name="Good 2 3" xfId="589"/>
    <cellStyle name="Good 2 4" xfId="590"/>
    <cellStyle name="Good 3" xfId="591"/>
    <cellStyle name="Good 3 2" xfId="2194"/>
    <cellStyle name="Good 4" xfId="7"/>
    <cellStyle name="Heading 1" xfId="3965" builtinId="16" customBuiltin="1"/>
    <cellStyle name="Heading 1 2" xfId="98"/>
    <cellStyle name="Heading 1 2 2" xfId="592"/>
    <cellStyle name="Heading 1 2 3" xfId="593"/>
    <cellStyle name="Heading 1 2 4" xfId="594"/>
    <cellStyle name="Heading 1 3" xfId="595"/>
    <cellStyle name="Heading 1 3 2" xfId="2190"/>
    <cellStyle name="Heading 1 4" xfId="3"/>
    <cellStyle name="Heading 2" xfId="3966" builtinId="17" customBuiltin="1"/>
    <cellStyle name="Heading 2 2" xfId="99"/>
    <cellStyle name="Heading 2 2 2" xfId="596"/>
    <cellStyle name="Heading 2 2 3" xfId="597"/>
    <cellStyle name="Heading 2 2 4" xfId="598"/>
    <cellStyle name="Heading 2 3" xfId="599"/>
    <cellStyle name="Heading 2 3 2" xfId="2191"/>
    <cellStyle name="Heading 2 4" xfId="4"/>
    <cellStyle name="Heading 3" xfId="3967" builtinId="18" customBuiltin="1"/>
    <cellStyle name="Heading 3 2" xfId="100"/>
    <cellStyle name="Heading 3 2 2" xfId="600"/>
    <cellStyle name="Heading 3 2 3" xfId="601"/>
    <cellStyle name="Heading 3 2 4" xfId="602"/>
    <cellStyle name="Heading 3 3" xfId="603"/>
    <cellStyle name="Heading 3 3 2" xfId="2192"/>
    <cellStyle name="Heading 3 4" xfId="5"/>
    <cellStyle name="Heading 4" xfId="3968" builtinId="19" customBuiltin="1"/>
    <cellStyle name="Heading 4 2" xfId="101"/>
    <cellStyle name="Heading 4 2 2" xfId="604"/>
    <cellStyle name="Heading 4 2 3" xfId="605"/>
    <cellStyle name="Heading 4 2 4" xfId="606"/>
    <cellStyle name="Heading 4 3" xfId="607"/>
    <cellStyle name="Heading 4 3 2" xfId="2193"/>
    <cellStyle name="Heading 4 4" xfId="6"/>
    <cellStyle name="Hyperlink" xfId="2" builtinId="8"/>
    <cellStyle name="Hyperlink 2" xfId="123"/>
    <cellStyle name="Hyperlink 2 2" xfId="784"/>
    <cellStyle name="Hyperlink 2 3" xfId="608"/>
    <cellStyle name="Input" xfId="3971" builtinId="20" customBuiltin="1"/>
    <cellStyle name="Input 2" xfId="102"/>
    <cellStyle name="Input 2 2" xfId="609"/>
    <cellStyle name="Input 2 3" xfId="610"/>
    <cellStyle name="Input 2 4" xfId="611"/>
    <cellStyle name="Input 3" xfId="612"/>
    <cellStyle name="Input 3 2" xfId="2196"/>
    <cellStyle name="Input 4" xfId="9"/>
    <cellStyle name="Linked Cell" xfId="3974" builtinId="24" customBuiltin="1"/>
    <cellStyle name="Linked Cell 2" xfId="103"/>
    <cellStyle name="Linked Cell 2 2" xfId="613"/>
    <cellStyle name="Linked Cell 2 3" xfId="614"/>
    <cellStyle name="Linked Cell 2 4" xfId="615"/>
    <cellStyle name="Linked Cell 3" xfId="616"/>
    <cellStyle name="Linked Cell 3 2" xfId="2199"/>
    <cellStyle name="Linked Cell 4" xfId="12"/>
    <cellStyle name="Neutral 2" xfId="104"/>
    <cellStyle name="Neutral 2 2" xfId="617"/>
    <cellStyle name="Neutral 2 3" xfId="618"/>
    <cellStyle name="Neutral 2 4" xfId="619"/>
    <cellStyle name="Neutral 3" xfId="144"/>
    <cellStyle name="Neutral 3 2" xfId="620"/>
    <cellStyle name="Neutral 3 3" xfId="1662"/>
    <cellStyle name="Neutral 4" xfId="319"/>
    <cellStyle name="Normal" xfId="0" builtinId="0"/>
    <cellStyle name="Normal 10" xfId="41"/>
    <cellStyle name="Normal 10 2" xfId="137"/>
    <cellStyle name="Normal 10 2 2" xfId="952"/>
    <cellStyle name="Normal 10 2 2 2" xfId="2095"/>
    <cellStyle name="Normal 10 2 2 2 2" xfId="3858"/>
    <cellStyle name="Normal 10 2 2 2 3" xfId="5229"/>
    <cellStyle name="Normal 10 2 2 3" xfId="1535"/>
    <cellStyle name="Normal 10 2 2 3 2" xfId="3342"/>
    <cellStyle name="Normal 10 2 2 4" xfId="2764"/>
    <cellStyle name="Normal 10 2 2 5" xfId="4713"/>
    <cellStyle name="Normal 10 2 2 6" xfId="5617"/>
    <cellStyle name="Normal 10 2 3" xfId="622"/>
    <cellStyle name="Normal 10 2 3 2" xfId="1854"/>
    <cellStyle name="Normal 10 2 3 2 2" xfId="3621"/>
    <cellStyle name="Normal 10 2 3 3" xfId="2510"/>
    <cellStyle name="Normal 10 2 3 4" xfId="4992"/>
    <cellStyle name="Normal 10 2 3 5" xfId="5618"/>
    <cellStyle name="Normal 10 2 4" xfId="1663"/>
    <cellStyle name="Normal 10 2 5" xfId="1279"/>
    <cellStyle name="Normal 10 2 5 2" xfId="3086"/>
    <cellStyle name="Normal 10 2 6" xfId="4457"/>
    <cellStyle name="Normal 10 3" xfId="143"/>
    <cellStyle name="Normal 10 3 10" xfId="4250"/>
    <cellStyle name="Normal 10 3 11" xfId="4458"/>
    <cellStyle name="Normal 10 3 12" xfId="5619"/>
    <cellStyle name="Normal 10 3 13" xfId="5912"/>
    <cellStyle name="Normal 10 3 2" xfId="250"/>
    <cellStyle name="Normal 10 3 2 2" xfId="953"/>
    <cellStyle name="Normal 10 3 2 2 2" xfId="2096"/>
    <cellStyle name="Normal 10 3 2 2 2 2" xfId="3859"/>
    <cellStyle name="Normal 10 3 2 2 3" xfId="2765"/>
    <cellStyle name="Normal 10 3 2 2 4" xfId="5230"/>
    <cellStyle name="Normal 10 3 2 3" xfId="1536"/>
    <cellStyle name="Normal 10 3 2 3 2" xfId="3343"/>
    <cellStyle name="Normal 10 3 2 4" xfId="2312"/>
    <cellStyle name="Normal 10 3 2 5" xfId="4714"/>
    <cellStyle name="Normal 10 3 2 6" xfId="5620"/>
    <cellStyle name="Normal 10 3 2 7" xfId="5976"/>
    <cellStyle name="Normal 10 3 3" xfId="623"/>
    <cellStyle name="Normal 10 3 3 2" xfId="1664"/>
    <cellStyle name="Normal 10 3 3 2 2" xfId="3456"/>
    <cellStyle name="Normal 10 3 3 3" xfId="2511"/>
    <cellStyle name="Normal 10 3 3 4" xfId="4827"/>
    <cellStyle name="Normal 10 3 4" xfId="1104"/>
    <cellStyle name="Normal 10 3 4 2" xfId="2913"/>
    <cellStyle name="Normal 10 3 5" xfId="1280"/>
    <cellStyle name="Normal 10 3 5 2" xfId="3087"/>
    <cellStyle name="Normal 10 3 6" xfId="2255"/>
    <cellStyle name="Normal 10 3 7" xfId="4018"/>
    <cellStyle name="Normal 10 3 8" xfId="4096"/>
    <cellStyle name="Normal 10 3 9" xfId="4173"/>
    <cellStyle name="Normal 10 4" xfId="193"/>
    <cellStyle name="Normal 10 5" xfId="621"/>
    <cellStyle name="Normal 10 5 2" xfId="951"/>
    <cellStyle name="Normal 10 5 2 2" xfId="2094"/>
    <cellStyle name="Normal 10 5 2 2 2" xfId="3857"/>
    <cellStyle name="Normal 10 5 2 2 3" xfId="5228"/>
    <cellStyle name="Normal 10 5 2 3" xfId="1534"/>
    <cellStyle name="Normal 10 5 2 3 2" xfId="3341"/>
    <cellStyle name="Normal 10 5 2 4" xfId="2763"/>
    <cellStyle name="Normal 10 5 2 5" xfId="4712"/>
    <cellStyle name="Normal 10 5 2 6" xfId="5622"/>
    <cellStyle name="Normal 10 5 3" xfId="1853"/>
    <cellStyle name="Normal 10 5 3 2" xfId="3620"/>
    <cellStyle name="Normal 10 5 3 3" xfId="4991"/>
    <cellStyle name="Normal 10 5 4" xfId="1278"/>
    <cellStyle name="Normal 10 5 4 2" xfId="3085"/>
    <cellStyle name="Normal 10 5 5" xfId="2509"/>
    <cellStyle name="Normal 10 5 6" xfId="4456"/>
    <cellStyle name="Normal 10 5 7" xfId="5621"/>
    <cellStyle name="Normal 10 5 8" xfId="5934"/>
    <cellStyle name="Normal 10 6" xfId="1061"/>
    <cellStyle name="Normal 10 6 2" xfId="2871"/>
    <cellStyle name="Normal 10 7" xfId="5881"/>
    <cellStyle name="Normal 11" xfId="179"/>
    <cellStyle name="Normal 11 2" xfId="183"/>
    <cellStyle name="Normal 11 2 10" xfId="4253"/>
    <cellStyle name="Normal 11 2 11" xfId="4460"/>
    <cellStyle name="Normal 11 2 12" xfId="5623"/>
    <cellStyle name="Normal 11 2 13" xfId="5917"/>
    <cellStyle name="Normal 11 2 2" xfId="253"/>
    <cellStyle name="Normal 11 2 2 2" xfId="955"/>
    <cellStyle name="Normal 11 2 2 2 2" xfId="2098"/>
    <cellStyle name="Normal 11 2 2 2 2 2" xfId="3861"/>
    <cellStyle name="Normal 11 2 2 2 3" xfId="2767"/>
    <cellStyle name="Normal 11 2 2 2 4" xfId="5232"/>
    <cellStyle name="Normal 11 2 2 3" xfId="1538"/>
    <cellStyle name="Normal 11 2 2 3 2" xfId="3345"/>
    <cellStyle name="Normal 11 2 2 4" xfId="2315"/>
    <cellStyle name="Normal 11 2 2 5" xfId="4716"/>
    <cellStyle name="Normal 11 2 2 6" xfId="5624"/>
    <cellStyle name="Normal 11 2 2 7" xfId="5980"/>
    <cellStyle name="Normal 11 2 3" xfId="625"/>
    <cellStyle name="Normal 11 2 3 2" xfId="1666"/>
    <cellStyle name="Normal 11 2 3 2 2" xfId="3457"/>
    <cellStyle name="Normal 11 2 3 3" xfId="2513"/>
    <cellStyle name="Normal 11 2 3 4" xfId="4828"/>
    <cellStyle name="Normal 11 2 4" xfId="1108"/>
    <cellStyle name="Normal 11 2 4 2" xfId="2917"/>
    <cellStyle name="Normal 11 2 5" xfId="1282"/>
    <cellStyle name="Normal 11 2 5 2" xfId="3089"/>
    <cellStyle name="Normal 11 2 6" xfId="2259"/>
    <cellStyle name="Normal 11 2 7" xfId="4021"/>
    <cellStyle name="Normal 11 2 8" xfId="4099"/>
    <cellStyle name="Normal 11 2 9" xfId="4176"/>
    <cellStyle name="Normal 11 3" xfId="215"/>
    <cellStyle name="Normal 11 3 2" xfId="956"/>
    <cellStyle name="Normal 11 3 2 2" xfId="2099"/>
    <cellStyle name="Normal 11 3 2 2 2" xfId="3862"/>
    <cellStyle name="Normal 11 3 2 2 3" xfId="5233"/>
    <cellStyle name="Normal 11 3 2 3" xfId="1539"/>
    <cellStyle name="Normal 11 3 2 3 2" xfId="3346"/>
    <cellStyle name="Normal 11 3 2 4" xfId="2768"/>
    <cellStyle name="Normal 11 3 2 5" xfId="4717"/>
    <cellStyle name="Normal 11 3 2 6" xfId="5625"/>
    <cellStyle name="Normal 11 3 3" xfId="626"/>
    <cellStyle name="Normal 11 3 3 2" xfId="1855"/>
    <cellStyle name="Normal 11 3 3 2 2" xfId="3622"/>
    <cellStyle name="Normal 11 3 3 3" xfId="2514"/>
    <cellStyle name="Normal 11 3 3 4" xfId="4993"/>
    <cellStyle name="Normal 11 3 3 5" xfId="5626"/>
    <cellStyle name="Normal 11 3 4" xfId="1667"/>
    <cellStyle name="Normal 11 3 5" xfId="1283"/>
    <cellStyle name="Normal 11 3 5 2" xfId="3090"/>
    <cellStyle name="Normal 11 3 6" xfId="4461"/>
    <cellStyle name="Normal 11 4" xfId="954"/>
    <cellStyle name="Normal 11 4 2" xfId="2097"/>
    <cellStyle name="Normal 11 4 2 2" xfId="3860"/>
    <cellStyle name="Normal 11 4 2 3" xfId="5231"/>
    <cellStyle name="Normal 11 4 3" xfId="1537"/>
    <cellStyle name="Normal 11 4 3 2" xfId="3344"/>
    <cellStyle name="Normal 11 4 4" xfId="2766"/>
    <cellStyle name="Normal 11 4 5" xfId="4715"/>
    <cellStyle name="Normal 11 4 6" xfId="5627"/>
    <cellStyle name="Normal 11 4 7" xfId="5937"/>
    <cellStyle name="Normal 11 5" xfId="624"/>
    <cellStyle name="Normal 11 5 2" xfId="1665"/>
    <cellStyle name="Normal 11 5 3" xfId="2512"/>
    <cellStyle name="Normal 11 6" xfId="1064"/>
    <cellStyle name="Normal 11 6 2" xfId="2874"/>
    <cellStyle name="Normal 11 7" xfId="1281"/>
    <cellStyle name="Normal 11 7 2" xfId="3088"/>
    <cellStyle name="Normal 11 8" xfId="4459"/>
    <cellStyle name="Normal 11 9" xfId="5884"/>
    <cellStyle name="Normal 12" xfId="136"/>
    <cellStyle name="Normal 12 2" xfId="210"/>
    <cellStyle name="Normal 12 2 2" xfId="957"/>
    <cellStyle name="Normal 12 2 2 2" xfId="2100"/>
    <cellStyle name="Normal 12 2 2 2 2" xfId="3863"/>
    <cellStyle name="Normal 12 2 2 3" xfId="2769"/>
    <cellStyle name="Normal 12 2 2 4" xfId="5234"/>
    <cellStyle name="Normal 12 2 2 5" xfId="5628"/>
    <cellStyle name="Normal 12 2 3" xfId="1669"/>
    <cellStyle name="Normal 12 2 4" xfId="1540"/>
    <cellStyle name="Normal 12 2 4 2" xfId="3347"/>
    <cellStyle name="Normal 12 2 5" xfId="4718"/>
    <cellStyle name="Normal 12 3" xfId="627"/>
    <cellStyle name="Normal 12 3 2" xfId="1856"/>
    <cellStyle name="Normal 12 3 2 2" xfId="3623"/>
    <cellStyle name="Normal 12 3 3" xfId="2515"/>
    <cellStyle name="Normal 12 3 4" xfId="4994"/>
    <cellStyle name="Normal 12 3 5" xfId="5629"/>
    <cellStyle name="Normal 12 4" xfId="1668"/>
    <cellStyle name="Normal 12 5" xfId="1284"/>
    <cellStyle name="Normal 12 5 2" xfId="3091"/>
    <cellStyle name="Normal 12 6" xfId="4462"/>
    <cellStyle name="Normal 13" xfId="273"/>
    <cellStyle name="Normal 13 10" xfId="4463"/>
    <cellStyle name="Normal 13 11" xfId="5630"/>
    <cellStyle name="Normal 13 12" xfId="5990"/>
    <cellStyle name="Normal 13 2" xfId="958"/>
    <cellStyle name="Normal 13 2 2" xfId="2101"/>
    <cellStyle name="Normal 13 2 2 2" xfId="3864"/>
    <cellStyle name="Normal 13 2 2 3" xfId="5235"/>
    <cellStyle name="Normal 13 2 3" xfId="1541"/>
    <cellStyle name="Normal 13 2 3 2" xfId="3348"/>
    <cellStyle name="Normal 13 2 4" xfId="2770"/>
    <cellStyle name="Normal 13 2 5" xfId="4719"/>
    <cellStyle name="Normal 13 2 6" xfId="5631"/>
    <cellStyle name="Normal 13 3" xfId="628"/>
    <cellStyle name="Normal 13 3 2" xfId="1857"/>
    <cellStyle name="Normal 13 3 2 2" xfId="3624"/>
    <cellStyle name="Normal 13 3 3" xfId="2516"/>
    <cellStyle name="Normal 13 3 4" xfId="4995"/>
    <cellStyle name="Normal 13 4" xfId="1285"/>
    <cellStyle name="Normal 13 4 2" xfId="3092"/>
    <cellStyle name="Normal 13 5" xfId="2335"/>
    <cellStyle name="Normal 13 6" xfId="4041"/>
    <cellStyle name="Normal 13 7" xfId="4119"/>
    <cellStyle name="Normal 13 8" xfId="4196"/>
    <cellStyle name="Normal 13 9" xfId="4273"/>
    <cellStyle name="Normal 14" xfId="279"/>
    <cellStyle name="Normal 14 2" xfId="959"/>
    <cellStyle name="Normal 14 2 2" xfId="2102"/>
    <cellStyle name="Normal 14 2 2 2" xfId="3865"/>
    <cellStyle name="Normal 14 2 2 3" xfId="5236"/>
    <cellStyle name="Normal 14 2 3" xfId="1542"/>
    <cellStyle name="Normal 14 2 3 2" xfId="3349"/>
    <cellStyle name="Normal 14 2 4" xfId="2223"/>
    <cellStyle name="Normal 14 2 5" xfId="2771"/>
    <cellStyle name="Normal 14 2 6" xfId="4720"/>
    <cellStyle name="Normal 14 2 7" xfId="5633"/>
    <cellStyle name="Normal 14 3" xfId="629"/>
    <cellStyle name="Normal 14 3 2" xfId="1858"/>
    <cellStyle name="Normal 14 3 2 2" xfId="3625"/>
    <cellStyle name="Normal 14 3 3" xfId="2517"/>
    <cellStyle name="Normal 14 3 4" xfId="4996"/>
    <cellStyle name="Normal 14 4" xfId="1286"/>
    <cellStyle name="Normal 14 4 2" xfId="3093"/>
    <cellStyle name="Normal 14 5" xfId="4464"/>
    <cellStyle name="Normal 14 6" xfId="5632"/>
    <cellStyle name="Normal 15" xfId="217"/>
    <cellStyle name="Normal 15 10" xfId="4465"/>
    <cellStyle name="Normal 15 11" xfId="5634"/>
    <cellStyle name="Normal 15 12" xfId="5873"/>
    <cellStyle name="Normal 15 2" xfId="960"/>
    <cellStyle name="Normal 15 2 2" xfId="2103"/>
    <cellStyle name="Normal 15 2 2 2" xfId="3866"/>
    <cellStyle name="Normal 15 2 2 3" xfId="5237"/>
    <cellStyle name="Normal 15 2 3" xfId="1543"/>
    <cellStyle name="Normal 15 2 3 2" xfId="3350"/>
    <cellStyle name="Normal 15 2 4" xfId="2772"/>
    <cellStyle name="Normal 15 2 5" xfId="4721"/>
    <cellStyle name="Normal 15 2 6" xfId="5635"/>
    <cellStyle name="Normal 15 3" xfId="630"/>
    <cellStyle name="Normal 15 3 2" xfId="1859"/>
    <cellStyle name="Normal 15 3 2 2" xfId="3626"/>
    <cellStyle name="Normal 15 3 3" xfId="2518"/>
    <cellStyle name="Normal 15 3 4" xfId="4997"/>
    <cellStyle name="Normal 15 4" xfId="1287"/>
    <cellStyle name="Normal 15 4 2" xfId="3094"/>
    <cellStyle name="Normal 15 5" xfId="2279"/>
    <cellStyle name="Normal 15 6" xfId="4046"/>
    <cellStyle name="Normal 15 7" xfId="4124"/>
    <cellStyle name="Normal 15 8" xfId="4201"/>
    <cellStyle name="Normal 15 9" xfId="4278"/>
    <cellStyle name="Normal 16" xfId="280"/>
    <cellStyle name="Normal 16 2" xfId="632"/>
    <cellStyle name="Normal 16 2 2" xfId="961"/>
    <cellStyle name="Normal 16 2 2 2" xfId="2104"/>
    <cellStyle name="Normal 16 2 2 2 2" xfId="3867"/>
    <cellStyle name="Normal 16 2 2 2 3" xfId="5238"/>
    <cellStyle name="Normal 16 2 2 3" xfId="1544"/>
    <cellStyle name="Normal 16 2 2 3 2" xfId="3351"/>
    <cellStyle name="Normal 16 2 2 4" xfId="2773"/>
    <cellStyle name="Normal 16 2 2 5" xfId="4722"/>
    <cellStyle name="Normal 16 2 2 6" xfId="5637"/>
    <cellStyle name="Normal 16 2 3" xfId="1860"/>
    <cellStyle name="Normal 16 2 3 2" xfId="3627"/>
    <cellStyle name="Normal 16 2 3 3" xfId="4998"/>
    <cellStyle name="Normal 16 2 4" xfId="1288"/>
    <cellStyle name="Normal 16 2 4 2" xfId="3095"/>
    <cellStyle name="Normal 16 2 5" xfId="2519"/>
    <cellStyle name="Normal 16 2 6" xfId="4466"/>
    <cellStyle name="Normal 16 2 7" xfId="5636"/>
    <cellStyle name="Normal 16 3" xfId="631"/>
    <cellStyle name="Normal 16 4" xfId="2189"/>
    <cellStyle name="Normal 16 5" xfId="2340"/>
    <cellStyle name="Normal 17" xfId="633"/>
    <cellStyle name="Normal 18" xfId="316"/>
    <cellStyle name="Normal 18 2" xfId="817"/>
    <cellStyle name="Normal 18 2 2" xfId="1962"/>
    <cellStyle name="Normal 18 2 2 2" xfId="3725"/>
    <cellStyle name="Normal 18 2 2 3" xfId="5096"/>
    <cellStyle name="Normal 18 2 3" xfId="1400"/>
    <cellStyle name="Normal 18 2 3 2" xfId="3207"/>
    <cellStyle name="Normal 18 2 4" xfId="2629"/>
    <cellStyle name="Normal 18 2 5" xfId="4578"/>
    <cellStyle name="Normal 18 2 6" xfId="5639"/>
    <cellStyle name="Normal 18 3" xfId="1722"/>
    <cellStyle name="Normal 18 3 2" xfId="3489"/>
    <cellStyle name="Normal 18 3 3" xfId="4860"/>
    <cellStyle name="Normal 18 4" xfId="1144"/>
    <cellStyle name="Normal 18 4 2" xfId="2951"/>
    <cellStyle name="Normal 18 5" xfId="2375"/>
    <cellStyle name="Normal 18 6" xfId="4322"/>
    <cellStyle name="Normal 18 7" xfId="5638"/>
    <cellStyle name="Normal 19" xfId="289"/>
    <cellStyle name="Normal 19 2" xfId="5336"/>
    <cellStyle name="Normal 2" xfId="38"/>
    <cellStyle name="Normal 2 2" xfId="56"/>
    <cellStyle name="Normal 2 2 10" xfId="1054"/>
    <cellStyle name="Normal 2 2 10 2" xfId="2864"/>
    <cellStyle name="Normal 2 2 11" xfId="1118"/>
    <cellStyle name="Normal 2 2 11 2" xfId="2925"/>
    <cellStyle name="Normal 2 2 12" xfId="2238"/>
    <cellStyle name="Normal 2 2 13" xfId="3999"/>
    <cellStyle name="Normal 2 2 14" xfId="4065"/>
    <cellStyle name="Normal 2 2 15" xfId="4142"/>
    <cellStyle name="Normal 2 2 16" xfId="4219"/>
    <cellStyle name="Normal 2 2 17" xfId="4308"/>
    <cellStyle name="Normal 2 2 18" xfId="5847"/>
    <cellStyle name="Normal 2 2 19" xfId="5874"/>
    <cellStyle name="Normal 2 2 2" xfId="106"/>
    <cellStyle name="Normal 2 2 2 10" xfId="4004"/>
    <cellStyle name="Normal 2 2 2 11" xfId="4082"/>
    <cellStyle name="Normal 2 2 2 12" xfId="4159"/>
    <cellStyle name="Normal 2 2 2 13" xfId="4236"/>
    <cellStyle name="Normal 2 2 2 14" xfId="4313"/>
    <cellStyle name="Normal 2 2 2 15" xfId="5641"/>
    <cellStyle name="Normal 2 2 2 16" xfId="5854"/>
    <cellStyle name="Normal 2 2 2 17" xfId="5880"/>
    <cellStyle name="Normal 2 2 2 2" xfId="125"/>
    <cellStyle name="Normal 2 2 2 2 10" xfId="4010"/>
    <cellStyle name="Normal 2 2 2 2 11" xfId="4088"/>
    <cellStyle name="Normal 2 2 2 2 12" xfId="4165"/>
    <cellStyle name="Normal 2 2 2 2 13" xfId="4242"/>
    <cellStyle name="Normal 2 2 2 2 14" xfId="4317"/>
    <cellStyle name="Normal 2 2 2 2 15" xfId="5642"/>
    <cellStyle name="Normal 2 2 2 2 16" xfId="5890"/>
    <cellStyle name="Normal 2 2 2 2 2" xfId="208"/>
    <cellStyle name="Normal 2 2 2 2 2 10" xfId="4270"/>
    <cellStyle name="Normal 2 2 2 2 2 11" xfId="4469"/>
    <cellStyle name="Normal 2 2 2 2 2 12" xfId="5643"/>
    <cellStyle name="Normal 2 2 2 2 2 13" xfId="5904"/>
    <cellStyle name="Normal 2 2 2 2 2 2" xfId="270"/>
    <cellStyle name="Normal 2 2 2 2 2 2 2" xfId="964"/>
    <cellStyle name="Normal 2 2 2 2 2 2 2 2" xfId="2107"/>
    <cellStyle name="Normal 2 2 2 2 2 2 2 2 2" xfId="3870"/>
    <cellStyle name="Normal 2 2 2 2 2 2 2 3" xfId="2776"/>
    <cellStyle name="Normal 2 2 2 2 2 2 2 4" xfId="5241"/>
    <cellStyle name="Normal 2 2 2 2 2 2 3" xfId="1547"/>
    <cellStyle name="Normal 2 2 2 2 2 2 3 2" xfId="3354"/>
    <cellStyle name="Normal 2 2 2 2 2 2 4" xfId="2332"/>
    <cellStyle name="Normal 2 2 2 2 2 2 5" xfId="4725"/>
    <cellStyle name="Normal 2 2 2 2 2 2 6" xfId="5644"/>
    <cellStyle name="Normal 2 2 2 2 2 2 7" xfId="5968"/>
    <cellStyle name="Normal 2 2 2 2 2 3" xfId="635"/>
    <cellStyle name="Normal 2 2 2 2 2 3 2" xfId="1673"/>
    <cellStyle name="Normal 2 2 2 2 2 3 2 2" xfId="3461"/>
    <cellStyle name="Normal 2 2 2 2 2 3 3" xfId="2521"/>
    <cellStyle name="Normal 2 2 2 2 2 3 4" xfId="4832"/>
    <cellStyle name="Normal 2 2 2 2 2 4" xfId="1096"/>
    <cellStyle name="Normal 2 2 2 2 2 4 2" xfId="2905"/>
    <cellStyle name="Normal 2 2 2 2 2 5" xfId="1291"/>
    <cellStyle name="Normal 2 2 2 2 2 5 2" xfId="3098"/>
    <cellStyle name="Normal 2 2 2 2 2 6" xfId="2276"/>
    <cellStyle name="Normal 2 2 2 2 2 7" xfId="4038"/>
    <cellStyle name="Normal 2 2 2 2 2 8" xfId="4116"/>
    <cellStyle name="Normal 2 2 2 2 2 9" xfId="4193"/>
    <cellStyle name="Normal 2 2 2 2 3" xfId="242"/>
    <cellStyle name="Normal 2 2 2 2 3 2" xfId="965"/>
    <cellStyle name="Normal 2 2 2 2 3 2 2" xfId="2108"/>
    <cellStyle name="Normal 2 2 2 2 3 2 2 2" xfId="3871"/>
    <cellStyle name="Normal 2 2 2 2 3 2 2 3" xfId="5242"/>
    <cellStyle name="Normal 2 2 2 2 3 2 3" xfId="1548"/>
    <cellStyle name="Normal 2 2 2 2 3 2 3 2" xfId="3355"/>
    <cellStyle name="Normal 2 2 2 2 3 2 4" xfId="2777"/>
    <cellStyle name="Normal 2 2 2 2 3 2 5" xfId="4726"/>
    <cellStyle name="Normal 2 2 2 2 3 2 6" xfId="5646"/>
    <cellStyle name="Normal 2 2 2 2 3 3" xfId="636"/>
    <cellStyle name="Normal 2 2 2 2 3 3 2" xfId="1863"/>
    <cellStyle name="Normal 2 2 2 2 3 3 2 2" xfId="3630"/>
    <cellStyle name="Normal 2 2 2 2 3 3 3" xfId="2522"/>
    <cellStyle name="Normal 2 2 2 2 3 3 4" xfId="5001"/>
    <cellStyle name="Normal 2 2 2 2 3 4" xfId="1292"/>
    <cellStyle name="Normal 2 2 2 2 3 4 2" xfId="3099"/>
    <cellStyle name="Normal 2 2 2 2 3 5" xfId="2304"/>
    <cellStyle name="Normal 2 2 2 2 3 6" xfId="4470"/>
    <cellStyle name="Normal 2 2 2 2 3 7" xfId="5645"/>
    <cellStyle name="Normal 2 2 2 2 3 8" xfId="5943"/>
    <cellStyle name="Normal 2 2 2 2 4" xfId="634"/>
    <cellStyle name="Normal 2 2 2 2 4 2" xfId="963"/>
    <cellStyle name="Normal 2 2 2 2 4 2 2" xfId="2106"/>
    <cellStyle name="Normal 2 2 2 2 4 2 2 2" xfId="3869"/>
    <cellStyle name="Normal 2 2 2 2 4 2 2 3" xfId="5240"/>
    <cellStyle name="Normal 2 2 2 2 4 2 3" xfId="1546"/>
    <cellStyle name="Normal 2 2 2 2 4 2 3 2" xfId="3353"/>
    <cellStyle name="Normal 2 2 2 2 4 2 4" xfId="2775"/>
    <cellStyle name="Normal 2 2 2 2 4 2 5" xfId="4724"/>
    <cellStyle name="Normal 2 2 2 2 4 2 6" xfId="5648"/>
    <cellStyle name="Normal 2 2 2 2 4 3" xfId="1862"/>
    <cellStyle name="Normal 2 2 2 2 4 3 2" xfId="3629"/>
    <cellStyle name="Normal 2 2 2 2 4 3 3" xfId="5000"/>
    <cellStyle name="Normal 2 2 2 2 4 4" xfId="1290"/>
    <cellStyle name="Normal 2 2 2 2 4 4 2" xfId="3097"/>
    <cellStyle name="Normal 2 2 2 2 4 5" xfId="2520"/>
    <cellStyle name="Normal 2 2 2 2 4 6" xfId="4468"/>
    <cellStyle name="Normal 2 2 2 2 4 7" xfId="5647"/>
    <cellStyle name="Normal 2 2 2 2 5" xfId="800"/>
    <cellStyle name="Normal 2 2 2 2 5 2" xfId="1945"/>
    <cellStyle name="Normal 2 2 2 2 5 2 2" xfId="3708"/>
    <cellStyle name="Normal 2 2 2 2 5 2 3" xfId="5079"/>
    <cellStyle name="Normal 2 2 2 2 5 3" xfId="1383"/>
    <cellStyle name="Normal 2 2 2 2 5 3 2" xfId="3190"/>
    <cellStyle name="Normal 2 2 2 2 5 4" xfId="2612"/>
    <cellStyle name="Normal 2 2 2 2 5 5" xfId="4561"/>
    <cellStyle name="Normal 2 2 2 2 5 6" xfId="5649"/>
    <cellStyle name="Normal 2 2 2 2 6" xfId="298"/>
    <cellStyle name="Normal 2 2 2 2 6 2" xfId="1672"/>
    <cellStyle name="Normal 2 2 2 2 6 2 2" xfId="3460"/>
    <cellStyle name="Normal 2 2 2 2 6 3" xfId="2357"/>
    <cellStyle name="Normal 2 2 2 2 6 4" xfId="4831"/>
    <cellStyle name="Normal 2 2 2 2 7" xfId="1070"/>
    <cellStyle name="Normal 2 2 2 2 7 2" xfId="2880"/>
    <cellStyle name="Normal 2 2 2 2 8" xfId="1127"/>
    <cellStyle name="Normal 2 2 2 2 8 2" xfId="2934"/>
    <cellStyle name="Normal 2 2 2 2 9" xfId="2247"/>
    <cellStyle name="Normal 2 2 2 3" xfId="202"/>
    <cellStyle name="Normal 2 2 2 3 10" xfId="4266"/>
    <cellStyle name="Normal 2 2 2 3 11" xfId="4471"/>
    <cellStyle name="Normal 2 2 2 3 12" xfId="5650"/>
    <cellStyle name="Normal 2 2 2 3 13" xfId="5899"/>
    <cellStyle name="Normal 2 2 2 3 2" xfId="266"/>
    <cellStyle name="Normal 2 2 2 3 2 2" xfId="966"/>
    <cellStyle name="Normal 2 2 2 3 2 2 2" xfId="2109"/>
    <cellStyle name="Normal 2 2 2 3 2 2 2 2" xfId="3872"/>
    <cellStyle name="Normal 2 2 2 3 2 2 3" xfId="2778"/>
    <cellStyle name="Normal 2 2 2 3 2 2 4" xfId="5243"/>
    <cellStyle name="Normal 2 2 2 3 2 3" xfId="1549"/>
    <cellStyle name="Normal 2 2 2 3 2 3 2" xfId="3356"/>
    <cellStyle name="Normal 2 2 2 3 2 4" xfId="2328"/>
    <cellStyle name="Normal 2 2 2 3 2 5" xfId="4727"/>
    <cellStyle name="Normal 2 2 2 3 2 6" xfId="5651"/>
    <cellStyle name="Normal 2 2 2 3 2 7" xfId="5964"/>
    <cellStyle name="Normal 2 2 2 3 3" xfId="637"/>
    <cellStyle name="Normal 2 2 2 3 3 2" xfId="1674"/>
    <cellStyle name="Normal 2 2 2 3 3 2 2" xfId="3462"/>
    <cellStyle name="Normal 2 2 2 3 3 3" xfId="2523"/>
    <cellStyle name="Normal 2 2 2 3 3 4" xfId="4833"/>
    <cellStyle name="Normal 2 2 2 3 4" xfId="1092"/>
    <cellStyle name="Normal 2 2 2 3 4 2" xfId="2901"/>
    <cellStyle name="Normal 2 2 2 3 5" xfId="1293"/>
    <cellStyle name="Normal 2 2 2 3 5 2" xfId="3100"/>
    <cellStyle name="Normal 2 2 2 3 6" xfId="2272"/>
    <cellStyle name="Normal 2 2 2 3 7" xfId="4034"/>
    <cellStyle name="Normal 2 2 2 3 8" xfId="4112"/>
    <cellStyle name="Normal 2 2 2 3 9" xfId="4189"/>
    <cellStyle name="Normal 2 2 2 4" xfId="236"/>
    <cellStyle name="Normal 2 2 2 4 2" xfId="967"/>
    <cellStyle name="Normal 2 2 2 4 2 2" xfId="2110"/>
    <cellStyle name="Normal 2 2 2 4 2 2 2" xfId="3873"/>
    <cellStyle name="Normal 2 2 2 4 2 2 3" xfId="5244"/>
    <cellStyle name="Normal 2 2 2 4 2 3" xfId="1550"/>
    <cellStyle name="Normal 2 2 2 4 2 3 2" xfId="3357"/>
    <cellStyle name="Normal 2 2 2 4 2 4" xfId="2779"/>
    <cellStyle name="Normal 2 2 2 4 2 5" xfId="4728"/>
    <cellStyle name="Normal 2 2 2 4 2 6" xfId="5653"/>
    <cellStyle name="Normal 2 2 2 4 3" xfId="638"/>
    <cellStyle name="Normal 2 2 2 4 3 2" xfId="1864"/>
    <cellStyle name="Normal 2 2 2 4 3 2 2" xfId="3631"/>
    <cellStyle name="Normal 2 2 2 4 3 3" xfId="2524"/>
    <cellStyle name="Normal 2 2 2 4 3 4" xfId="5002"/>
    <cellStyle name="Normal 2 2 2 4 4" xfId="1294"/>
    <cellStyle name="Normal 2 2 2 4 4 2" xfId="3101"/>
    <cellStyle name="Normal 2 2 2 4 5" xfId="2298"/>
    <cellStyle name="Normal 2 2 2 4 6" xfId="4472"/>
    <cellStyle name="Normal 2 2 2 4 7" xfId="5652"/>
    <cellStyle name="Normal 2 2 2 4 8" xfId="5933"/>
    <cellStyle name="Normal 2 2 2 5" xfId="290"/>
    <cellStyle name="Normal 2 2 2 5 2" xfId="962"/>
    <cellStyle name="Normal 2 2 2 5 2 2" xfId="2105"/>
    <cellStyle name="Normal 2 2 2 5 2 2 2" xfId="3868"/>
    <cellStyle name="Normal 2 2 2 5 2 2 3" xfId="5239"/>
    <cellStyle name="Normal 2 2 2 5 2 3" xfId="1545"/>
    <cellStyle name="Normal 2 2 2 5 2 3 2" xfId="3352"/>
    <cellStyle name="Normal 2 2 2 5 2 4" xfId="2774"/>
    <cellStyle name="Normal 2 2 2 5 2 5" xfId="4723"/>
    <cellStyle name="Normal 2 2 2 5 2 6" xfId="5655"/>
    <cellStyle name="Normal 2 2 2 5 3" xfId="1861"/>
    <cellStyle name="Normal 2 2 2 5 3 2" xfId="3628"/>
    <cellStyle name="Normal 2 2 2 5 3 3" xfId="4999"/>
    <cellStyle name="Normal 2 2 2 5 4" xfId="1289"/>
    <cellStyle name="Normal 2 2 2 5 4 2" xfId="3096"/>
    <cellStyle name="Normal 2 2 2 5 5" xfId="2349"/>
    <cellStyle name="Normal 2 2 2 5 6" xfId="4467"/>
    <cellStyle name="Normal 2 2 2 5 7" xfId="5654"/>
    <cellStyle name="Normal 2 2 2 6" xfId="797"/>
    <cellStyle name="Normal 2 2 2 6 2" xfId="1941"/>
    <cellStyle name="Normal 2 2 2 6 2 2" xfId="3704"/>
    <cellStyle name="Normal 2 2 2 6 2 3" xfId="5075"/>
    <cellStyle name="Normal 2 2 2 6 3" xfId="1379"/>
    <cellStyle name="Normal 2 2 2 6 3 2" xfId="3186"/>
    <cellStyle name="Normal 2 2 2 6 4" xfId="2609"/>
    <cellStyle name="Normal 2 2 2 6 5" xfId="4557"/>
    <cellStyle name="Normal 2 2 2 6 6" xfId="5656"/>
    <cellStyle name="Normal 2 2 2 7" xfId="1060"/>
    <cellStyle name="Normal 2 2 2 7 2" xfId="1671"/>
    <cellStyle name="Normal 2 2 2 7 2 2" xfId="3459"/>
    <cellStyle name="Normal 2 2 2 7 3" xfId="2870"/>
    <cellStyle name="Normal 2 2 2 7 4" xfId="4830"/>
    <cellStyle name="Normal 2 2 2 8" xfId="1123"/>
    <cellStyle name="Normal 2 2 2 8 2" xfId="2930"/>
    <cellStyle name="Normal 2 2 2 9" xfId="2243"/>
    <cellStyle name="Normal 2 2 20" xfId="5994"/>
    <cellStyle name="Normal 2 2 3" xfId="62"/>
    <cellStyle name="Normal 2 2 3 10" xfId="4310"/>
    <cellStyle name="Normal 2 2 3 11" xfId="5657"/>
    <cellStyle name="Normal 2 2 3 12" xfId="5852"/>
    <cellStyle name="Normal 2 2 3 13" xfId="5877"/>
    <cellStyle name="Normal 2 2 3 2" xfId="126"/>
    <cellStyle name="Normal 2 2 3 2 10" xfId="4166"/>
    <cellStyle name="Normal 2 2 3 2 11" xfId="4243"/>
    <cellStyle name="Normal 2 2 3 2 12" xfId="4318"/>
    <cellStyle name="Normal 2 2 3 2 13" xfId="5658"/>
    <cellStyle name="Normal 2 2 3 2 14" xfId="5905"/>
    <cellStyle name="Normal 2 2 3 2 2" xfId="243"/>
    <cellStyle name="Normal 2 2 3 2 2 2" xfId="969"/>
    <cellStyle name="Normal 2 2 3 2 2 2 2" xfId="2112"/>
    <cellStyle name="Normal 2 2 3 2 2 2 2 2" xfId="3875"/>
    <cellStyle name="Normal 2 2 3 2 2 2 2 3" xfId="5246"/>
    <cellStyle name="Normal 2 2 3 2 2 2 3" xfId="1552"/>
    <cellStyle name="Normal 2 2 3 2 2 2 3 2" xfId="3359"/>
    <cellStyle name="Normal 2 2 3 2 2 2 4" xfId="2781"/>
    <cellStyle name="Normal 2 2 3 2 2 2 5" xfId="4730"/>
    <cellStyle name="Normal 2 2 3 2 2 2 6" xfId="5660"/>
    <cellStyle name="Normal 2 2 3 2 2 3" xfId="640"/>
    <cellStyle name="Normal 2 2 3 2 2 3 2" xfId="1866"/>
    <cellStyle name="Normal 2 2 3 2 2 3 2 2" xfId="3633"/>
    <cellStyle name="Normal 2 2 3 2 2 3 3" xfId="2526"/>
    <cellStyle name="Normal 2 2 3 2 2 3 4" xfId="5004"/>
    <cellStyle name="Normal 2 2 3 2 2 4" xfId="1296"/>
    <cellStyle name="Normal 2 2 3 2 2 4 2" xfId="3103"/>
    <cellStyle name="Normal 2 2 3 2 2 5" xfId="2305"/>
    <cellStyle name="Normal 2 2 3 2 2 6" xfId="4474"/>
    <cellStyle name="Normal 2 2 3 2 2 7" xfId="5659"/>
    <cellStyle name="Normal 2 2 3 2 2 8" xfId="5969"/>
    <cellStyle name="Normal 2 2 3 2 3" xfId="801"/>
    <cellStyle name="Normal 2 2 3 2 3 2" xfId="1946"/>
    <cellStyle name="Normal 2 2 3 2 3 2 2" xfId="3709"/>
    <cellStyle name="Normal 2 2 3 2 3 2 3" xfId="5080"/>
    <cellStyle name="Normal 2 2 3 2 3 3" xfId="1384"/>
    <cellStyle name="Normal 2 2 3 2 3 3 2" xfId="3191"/>
    <cellStyle name="Normal 2 2 3 2 3 4" xfId="2613"/>
    <cellStyle name="Normal 2 2 3 2 3 5" xfId="4562"/>
    <cellStyle name="Normal 2 2 3 2 3 6" xfId="5661"/>
    <cellStyle name="Normal 2 2 3 2 4" xfId="299"/>
    <cellStyle name="Normal 2 2 3 2 4 2" xfId="1676"/>
    <cellStyle name="Normal 2 2 3 2 4 2 2" xfId="3464"/>
    <cellStyle name="Normal 2 2 3 2 4 3" xfId="2358"/>
    <cellStyle name="Normal 2 2 3 2 4 4" xfId="4835"/>
    <cellStyle name="Normal 2 2 3 2 5" xfId="1097"/>
    <cellStyle name="Normal 2 2 3 2 5 2" xfId="2906"/>
    <cellStyle name="Normal 2 2 3 2 6" xfId="1128"/>
    <cellStyle name="Normal 2 2 3 2 6 2" xfId="2935"/>
    <cellStyle name="Normal 2 2 3 2 7" xfId="2248"/>
    <cellStyle name="Normal 2 2 3 2 8" xfId="4011"/>
    <cellStyle name="Normal 2 2 3 2 9" xfId="4089"/>
    <cellStyle name="Normal 2 2 3 3" xfId="175"/>
    <cellStyle name="Normal 2 2 3 3 10" xfId="4239"/>
    <cellStyle name="Normal 2 2 3 3 11" xfId="4475"/>
    <cellStyle name="Normal 2 2 3 3 12" xfId="5662"/>
    <cellStyle name="Normal 2 2 3 3 13" xfId="5915"/>
    <cellStyle name="Normal 2 2 3 3 2" xfId="239"/>
    <cellStyle name="Normal 2 2 3 3 2 2" xfId="970"/>
    <cellStyle name="Normal 2 2 3 3 2 2 2" xfId="2113"/>
    <cellStyle name="Normal 2 2 3 3 2 2 2 2" xfId="3876"/>
    <cellStyle name="Normal 2 2 3 3 2 2 3" xfId="2782"/>
    <cellStyle name="Normal 2 2 3 3 2 2 4" xfId="5247"/>
    <cellStyle name="Normal 2 2 3 3 2 3" xfId="1553"/>
    <cellStyle name="Normal 2 2 3 3 2 3 2" xfId="3360"/>
    <cellStyle name="Normal 2 2 3 3 2 4" xfId="2301"/>
    <cellStyle name="Normal 2 2 3 3 2 5" xfId="4731"/>
    <cellStyle name="Normal 2 2 3 3 2 6" xfId="5663"/>
    <cellStyle name="Normal 2 2 3 3 2 7" xfId="5979"/>
    <cellStyle name="Normal 2 2 3 3 3" xfId="641"/>
    <cellStyle name="Normal 2 2 3 3 3 2" xfId="1677"/>
    <cellStyle name="Normal 2 2 3 3 3 2 2" xfId="3465"/>
    <cellStyle name="Normal 2 2 3 3 3 3" xfId="2527"/>
    <cellStyle name="Normal 2 2 3 3 3 4" xfId="4836"/>
    <cellStyle name="Normal 2 2 3 3 4" xfId="1107"/>
    <cellStyle name="Normal 2 2 3 3 4 2" xfId="2916"/>
    <cellStyle name="Normal 2 2 3 3 5" xfId="1297"/>
    <cellStyle name="Normal 2 2 3 3 5 2" xfId="3104"/>
    <cellStyle name="Normal 2 2 3 3 6" xfId="2258"/>
    <cellStyle name="Normal 2 2 3 3 7" xfId="4007"/>
    <cellStyle name="Normal 2 2 3 3 8" xfId="4085"/>
    <cellStyle name="Normal 2 2 3 3 9" xfId="4162"/>
    <cellStyle name="Normal 2 2 3 4" xfId="174"/>
    <cellStyle name="Normal 2 2 3 4 2" xfId="968"/>
    <cellStyle name="Normal 2 2 3 4 2 2" xfId="2111"/>
    <cellStyle name="Normal 2 2 3 4 2 2 2" xfId="3874"/>
    <cellStyle name="Normal 2 2 3 4 2 2 3" xfId="5245"/>
    <cellStyle name="Normal 2 2 3 4 2 3" xfId="1551"/>
    <cellStyle name="Normal 2 2 3 4 2 3 2" xfId="3358"/>
    <cellStyle name="Normal 2 2 3 4 2 4" xfId="2780"/>
    <cellStyle name="Normal 2 2 3 4 2 5" xfId="4729"/>
    <cellStyle name="Normal 2 2 3 4 2 6" xfId="5664"/>
    <cellStyle name="Normal 2 2 3 4 3" xfId="639"/>
    <cellStyle name="Normal 2 2 3 4 3 2" xfId="1865"/>
    <cellStyle name="Normal 2 2 3 4 3 2 2" xfId="3632"/>
    <cellStyle name="Normal 2 2 3 4 3 3" xfId="2525"/>
    <cellStyle name="Normal 2 2 3 4 3 4" xfId="5003"/>
    <cellStyle name="Normal 2 2 3 4 3 5" xfId="5665"/>
    <cellStyle name="Normal 2 2 3 4 4" xfId="1678"/>
    <cellStyle name="Normal 2 2 3 4 5" xfId="1295"/>
    <cellStyle name="Normal 2 2 3 4 5 2" xfId="3102"/>
    <cellStyle name="Normal 2 2 3 4 6" xfId="4473"/>
    <cellStyle name="Normal 2 2 3 5" xfId="199"/>
    <cellStyle name="Normal 2 2 3 5 10" xfId="4263"/>
    <cellStyle name="Normal 2 2 3 5 11" xfId="4554"/>
    <cellStyle name="Normal 2 2 3 5 12" xfId="5666"/>
    <cellStyle name="Normal 2 2 3 5 13" xfId="5896"/>
    <cellStyle name="Normal 2 2 3 5 2" xfId="263"/>
    <cellStyle name="Normal 2 2 3 5 2 2" xfId="1679"/>
    <cellStyle name="Normal 2 2 3 5 2 2 2" xfId="3466"/>
    <cellStyle name="Normal 2 2 3 5 2 3" xfId="2325"/>
    <cellStyle name="Normal 2 2 3 5 2 4" xfId="4837"/>
    <cellStyle name="Normal 2 2 3 5 2 5" xfId="5961"/>
    <cellStyle name="Normal 2 2 3 5 3" xfId="794"/>
    <cellStyle name="Normal 2 2 3 5 3 2" xfId="2606"/>
    <cellStyle name="Normal 2 2 3 5 4" xfId="1089"/>
    <cellStyle name="Normal 2 2 3 5 4 2" xfId="2898"/>
    <cellStyle name="Normal 2 2 3 5 5" xfId="1376"/>
    <cellStyle name="Normal 2 2 3 5 5 2" xfId="3183"/>
    <cellStyle name="Normal 2 2 3 5 6" xfId="2269"/>
    <cellStyle name="Normal 2 2 3 5 7" xfId="4031"/>
    <cellStyle name="Normal 2 2 3 5 8" xfId="4109"/>
    <cellStyle name="Normal 2 2 3 5 9" xfId="4186"/>
    <cellStyle name="Normal 2 2 3 6" xfId="291"/>
    <cellStyle name="Normal 2 2 3 6 2" xfId="1675"/>
    <cellStyle name="Normal 2 2 3 6 2 2" xfId="3463"/>
    <cellStyle name="Normal 2 2 3 6 3" xfId="2350"/>
    <cellStyle name="Normal 2 2 3 6 4" xfId="4834"/>
    <cellStyle name="Normal 2 2 3 6 5" xfId="5930"/>
    <cellStyle name="Normal 2 2 3 7" xfId="1057"/>
    <cellStyle name="Normal 2 2 3 7 2" xfId="2867"/>
    <cellStyle name="Normal 2 2 3 8" xfId="1120"/>
    <cellStyle name="Normal 2 2 3 8 2" xfId="2927"/>
    <cellStyle name="Normal 2 2 3 9" xfId="2240"/>
    <cellStyle name="Normal 2 2 4" xfId="124"/>
    <cellStyle name="Normal 2 2 4 10" xfId="4164"/>
    <cellStyle name="Normal 2 2 4 11" xfId="4241"/>
    <cellStyle name="Normal 2 2 4 12" xfId="4316"/>
    <cellStyle name="Normal 2 2 4 13" xfId="5667"/>
    <cellStyle name="Normal 2 2 4 14" xfId="5850"/>
    <cellStyle name="Normal 2 2 4 15" xfId="5883"/>
    <cellStyle name="Normal 2 2 4 2" xfId="207"/>
    <cellStyle name="Normal 2 2 4 2 10" xfId="4269"/>
    <cellStyle name="Normal 2 2 4 2 11" xfId="4476"/>
    <cellStyle name="Normal 2 2 4 2 12" xfId="5668"/>
    <cellStyle name="Normal 2 2 4 2 13" xfId="5903"/>
    <cellStyle name="Normal 2 2 4 2 2" xfId="269"/>
    <cellStyle name="Normal 2 2 4 2 2 2" xfId="971"/>
    <cellStyle name="Normal 2 2 4 2 2 2 2" xfId="2114"/>
    <cellStyle name="Normal 2 2 4 2 2 2 2 2" xfId="3877"/>
    <cellStyle name="Normal 2 2 4 2 2 2 3" xfId="2783"/>
    <cellStyle name="Normal 2 2 4 2 2 2 4" xfId="5248"/>
    <cellStyle name="Normal 2 2 4 2 2 3" xfId="1554"/>
    <cellStyle name="Normal 2 2 4 2 2 3 2" xfId="3361"/>
    <cellStyle name="Normal 2 2 4 2 2 4" xfId="2331"/>
    <cellStyle name="Normal 2 2 4 2 2 5" xfId="4732"/>
    <cellStyle name="Normal 2 2 4 2 2 6" xfId="5669"/>
    <cellStyle name="Normal 2 2 4 2 2 7" xfId="5967"/>
    <cellStyle name="Normal 2 2 4 2 3" xfId="642"/>
    <cellStyle name="Normal 2 2 4 2 3 2" xfId="1681"/>
    <cellStyle name="Normal 2 2 4 2 3 2 2" xfId="3468"/>
    <cellStyle name="Normal 2 2 4 2 3 3" xfId="2528"/>
    <cellStyle name="Normal 2 2 4 2 3 4" xfId="4839"/>
    <cellStyle name="Normal 2 2 4 2 4" xfId="1095"/>
    <cellStyle name="Normal 2 2 4 2 4 2" xfId="2904"/>
    <cellStyle name="Normal 2 2 4 2 5" xfId="1298"/>
    <cellStyle name="Normal 2 2 4 2 5 2" xfId="3105"/>
    <cellStyle name="Normal 2 2 4 2 6" xfId="2275"/>
    <cellStyle name="Normal 2 2 4 2 7" xfId="4037"/>
    <cellStyle name="Normal 2 2 4 2 8" xfId="4115"/>
    <cellStyle name="Normal 2 2 4 2 9" xfId="4192"/>
    <cellStyle name="Normal 2 2 4 3" xfId="241"/>
    <cellStyle name="Normal 2 2 4 3 2" xfId="799"/>
    <cellStyle name="Normal 2 2 4 3 2 2" xfId="1944"/>
    <cellStyle name="Normal 2 2 4 3 2 2 2" xfId="3707"/>
    <cellStyle name="Normal 2 2 4 3 2 3" xfId="2611"/>
    <cellStyle name="Normal 2 2 4 3 2 4" xfId="5078"/>
    <cellStyle name="Normal 2 2 4 3 3" xfId="1382"/>
    <cellStyle name="Normal 2 2 4 3 3 2" xfId="3189"/>
    <cellStyle name="Normal 2 2 4 3 4" xfId="2303"/>
    <cellStyle name="Normal 2 2 4 3 5" xfId="4560"/>
    <cellStyle name="Normal 2 2 4 3 6" xfId="5670"/>
    <cellStyle name="Normal 2 2 4 3 7" xfId="5936"/>
    <cellStyle name="Normal 2 2 4 4" xfId="297"/>
    <cellStyle name="Normal 2 2 4 4 2" xfId="1680"/>
    <cellStyle name="Normal 2 2 4 4 2 2" xfId="3467"/>
    <cellStyle name="Normal 2 2 4 4 3" xfId="2356"/>
    <cellStyle name="Normal 2 2 4 4 4" xfId="4838"/>
    <cellStyle name="Normal 2 2 4 5" xfId="1063"/>
    <cellStyle name="Normal 2 2 4 5 2" xfId="2873"/>
    <cellStyle name="Normal 2 2 4 6" xfId="1126"/>
    <cellStyle name="Normal 2 2 4 6 2" xfId="2933"/>
    <cellStyle name="Normal 2 2 4 7" xfId="2246"/>
    <cellStyle name="Normal 2 2 4 8" xfId="4009"/>
    <cellStyle name="Normal 2 2 4 9" xfId="4087"/>
    <cellStyle name="Normal 2 2 5" xfId="191"/>
    <cellStyle name="Normal 2 2 5 10" xfId="4182"/>
    <cellStyle name="Normal 2 2 5 11" xfId="4259"/>
    <cellStyle name="Normal 2 2 5 12" xfId="4477"/>
    <cellStyle name="Normal 2 2 5 13" xfId="5671"/>
    <cellStyle name="Normal 2 2 5 14" xfId="5886"/>
    <cellStyle name="Normal 2 2 5 2" xfId="216"/>
    <cellStyle name="Normal 2 2 5 2 10" xfId="4272"/>
    <cellStyle name="Normal 2 2 5 2 11" xfId="4733"/>
    <cellStyle name="Normal 2 2 5 2 12" xfId="5672"/>
    <cellStyle name="Normal 2 2 5 2 13" xfId="5923"/>
    <cellStyle name="Normal 2 2 5 2 2" xfId="272"/>
    <cellStyle name="Normal 2 2 5 2 2 2" xfId="1683"/>
    <cellStyle name="Normal 2 2 5 2 2 2 2" xfId="3470"/>
    <cellStyle name="Normal 2 2 5 2 2 3" xfId="2334"/>
    <cellStyle name="Normal 2 2 5 2 2 4" xfId="4841"/>
    <cellStyle name="Normal 2 2 5 2 2 5" xfId="5986"/>
    <cellStyle name="Normal 2 2 5 2 3" xfId="972"/>
    <cellStyle name="Normal 2 2 5 2 3 2" xfId="2784"/>
    <cellStyle name="Normal 2 2 5 2 4" xfId="1114"/>
    <cellStyle name="Normal 2 2 5 2 4 2" xfId="2923"/>
    <cellStyle name="Normal 2 2 5 2 5" xfId="1555"/>
    <cellStyle name="Normal 2 2 5 2 5 2" xfId="3362"/>
    <cellStyle name="Normal 2 2 5 2 6" xfId="2278"/>
    <cellStyle name="Normal 2 2 5 2 7" xfId="4040"/>
    <cellStyle name="Normal 2 2 5 2 8" xfId="4118"/>
    <cellStyle name="Normal 2 2 5 2 9" xfId="4195"/>
    <cellStyle name="Normal 2 2 5 3" xfId="259"/>
    <cellStyle name="Normal 2 2 5 3 2" xfId="1682"/>
    <cellStyle name="Normal 2 2 5 3 2 2" xfId="3469"/>
    <cellStyle name="Normal 2 2 5 3 3" xfId="2321"/>
    <cellStyle name="Normal 2 2 5 3 4" xfId="4840"/>
    <cellStyle name="Normal 2 2 5 3 5" xfId="5939"/>
    <cellStyle name="Normal 2 2 5 4" xfId="643"/>
    <cellStyle name="Normal 2 2 5 4 2" xfId="2529"/>
    <cellStyle name="Normal 2 2 5 5" xfId="1066"/>
    <cellStyle name="Normal 2 2 5 5 2" xfId="2876"/>
    <cellStyle name="Normal 2 2 5 6" xfId="1299"/>
    <cellStyle name="Normal 2 2 5 6 2" xfId="3106"/>
    <cellStyle name="Normal 2 2 5 7" xfId="2265"/>
    <cellStyle name="Normal 2 2 5 8" xfId="4027"/>
    <cellStyle name="Normal 2 2 5 9" xfId="4105"/>
    <cellStyle name="Normal 2 2 6" xfId="198"/>
    <cellStyle name="Normal 2 2 6 10" xfId="4262"/>
    <cellStyle name="Normal 2 2 6 11" xfId="5673"/>
    <cellStyle name="Normal 2 2 6 12" xfId="5894"/>
    <cellStyle name="Normal 2 2 6 2" xfId="262"/>
    <cellStyle name="Normal 2 2 6 2 2" xfId="1867"/>
    <cellStyle name="Normal 2 2 6 2 3" xfId="2324"/>
    <cellStyle name="Normal 2 2 6 2 4" xfId="5959"/>
    <cellStyle name="Normal 2 2 6 3" xfId="644"/>
    <cellStyle name="Normal 2 2 6 3 2" xfId="1684"/>
    <cellStyle name="Normal 2 2 6 3 2 2" xfId="3471"/>
    <cellStyle name="Normal 2 2 6 3 3" xfId="4842"/>
    <cellStyle name="Normal 2 2 6 4" xfId="311"/>
    <cellStyle name="Normal 2 2 6 4 2" xfId="2370"/>
    <cellStyle name="Normal 2 2 6 5" xfId="1087"/>
    <cellStyle name="Normal 2 2 6 5 2" xfId="2896"/>
    <cellStyle name="Normal 2 2 6 6" xfId="2268"/>
    <cellStyle name="Normal 2 2 6 7" xfId="4030"/>
    <cellStyle name="Normal 2 2 6 8" xfId="4108"/>
    <cellStyle name="Normal 2 2 6 9" xfId="4185"/>
    <cellStyle name="Normal 2 2 7" xfId="275"/>
    <cellStyle name="Normal 2 2 7 10" xfId="4325"/>
    <cellStyle name="Normal 2 2 7 11" xfId="5674"/>
    <cellStyle name="Normal 2 2 7 12" xfId="5927"/>
    <cellStyle name="Normal 2 2 7 2" xfId="820"/>
    <cellStyle name="Normal 2 2 7 2 2" xfId="1965"/>
    <cellStyle name="Normal 2 2 7 2 2 2" xfId="3728"/>
    <cellStyle name="Normal 2 2 7 2 2 3" xfId="5099"/>
    <cellStyle name="Normal 2 2 7 2 3" xfId="1403"/>
    <cellStyle name="Normal 2 2 7 2 3 2" xfId="3210"/>
    <cellStyle name="Normal 2 2 7 2 4" xfId="2632"/>
    <cellStyle name="Normal 2 2 7 2 5" xfId="4581"/>
    <cellStyle name="Normal 2 2 7 2 6" xfId="5675"/>
    <cellStyle name="Normal 2 2 7 3" xfId="327"/>
    <cellStyle name="Normal 2 2 7 3 2" xfId="1725"/>
    <cellStyle name="Normal 2 2 7 3 2 2" xfId="3492"/>
    <cellStyle name="Normal 2 2 7 3 3" xfId="2378"/>
    <cellStyle name="Normal 2 2 7 3 4" xfId="4863"/>
    <cellStyle name="Normal 2 2 7 4" xfId="1147"/>
    <cellStyle name="Normal 2 2 7 4 2" xfId="2954"/>
    <cellStyle name="Normal 2 2 7 5" xfId="2337"/>
    <cellStyle name="Normal 2 2 7 6" xfId="4043"/>
    <cellStyle name="Normal 2 2 7 7" xfId="4121"/>
    <cellStyle name="Normal 2 2 7 8" xfId="4198"/>
    <cellStyle name="Normal 2 2 7 9" xfId="4275"/>
    <cellStyle name="Normal 2 2 8" xfId="219"/>
    <cellStyle name="Normal 2 2 8 2" xfId="792"/>
    <cellStyle name="Normal 2 2 8 2 2" xfId="1937"/>
    <cellStyle name="Normal 2 2 8 2 2 2" xfId="3700"/>
    <cellStyle name="Normal 2 2 8 2 3" xfId="2604"/>
    <cellStyle name="Normal 2 2 8 2 4" xfId="5071"/>
    <cellStyle name="Normal 2 2 8 3" xfId="1374"/>
    <cellStyle name="Normal 2 2 8 3 2" xfId="3181"/>
    <cellStyle name="Normal 2 2 8 4" xfId="2281"/>
    <cellStyle name="Normal 2 2 8 5" xfId="4552"/>
    <cellStyle name="Normal 2 2 8 6" xfId="5676"/>
    <cellStyle name="Normal 2 2 9" xfId="283"/>
    <cellStyle name="Normal 2 2 9 2" xfId="1670"/>
    <cellStyle name="Normal 2 2 9 2 2" xfId="3458"/>
    <cellStyle name="Normal 2 2 9 3" xfId="2343"/>
    <cellStyle name="Normal 2 2 9 4" xfId="4829"/>
    <cellStyle name="Normal 2 2 9 5" xfId="5640"/>
    <cellStyle name="Normal 2 3" xfId="35"/>
    <cellStyle name="Normal 2 3 2" xfId="168"/>
    <cellStyle name="Normal 2 3 2 2" xfId="974"/>
    <cellStyle name="Normal 2 3 2 2 2" xfId="2116"/>
    <cellStyle name="Normal 2 3 2 2 2 2" xfId="3879"/>
    <cellStyle name="Normal 2 3 2 2 2 3" xfId="5250"/>
    <cellStyle name="Normal 2 3 2 2 3" xfId="1557"/>
    <cellStyle name="Normal 2 3 2 2 3 2" xfId="3364"/>
    <cellStyle name="Normal 2 3 2 2 4" xfId="2786"/>
    <cellStyle name="Normal 2 3 2 2 5" xfId="4735"/>
    <cellStyle name="Normal 2 3 2 2 6" xfId="5677"/>
    <cellStyle name="Normal 2 3 2 3" xfId="646"/>
    <cellStyle name="Normal 2 3 2 3 2" xfId="1869"/>
    <cellStyle name="Normal 2 3 2 3 2 2" xfId="3635"/>
    <cellStyle name="Normal 2 3 2 3 3" xfId="2531"/>
    <cellStyle name="Normal 2 3 2 3 4" xfId="5006"/>
    <cellStyle name="Normal 2 3 2 3 5" xfId="5678"/>
    <cellStyle name="Normal 2 3 2 4" xfId="1685"/>
    <cellStyle name="Normal 2 3 2 5" xfId="1301"/>
    <cellStyle name="Normal 2 3 2 5 2" xfId="3108"/>
    <cellStyle name="Normal 2 3 2 6" xfId="4479"/>
    <cellStyle name="Normal 2 3 3" xfId="161"/>
    <cellStyle name="Normal 2 3 3 2" xfId="975"/>
    <cellStyle name="Normal 2 3 3 2 2" xfId="2117"/>
    <cellStyle name="Normal 2 3 3 2 2 2" xfId="3880"/>
    <cellStyle name="Normal 2 3 3 2 2 3" xfId="5251"/>
    <cellStyle name="Normal 2 3 3 2 3" xfId="1558"/>
    <cellStyle name="Normal 2 3 3 2 3 2" xfId="3365"/>
    <cellStyle name="Normal 2 3 3 2 4" xfId="2787"/>
    <cellStyle name="Normal 2 3 3 2 5" xfId="4736"/>
    <cellStyle name="Normal 2 3 3 2 6" xfId="5679"/>
    <cellStyle name="Normal 2 3 3 3" xfId="647"/>
    <cellStyle name="Normal 2 3 3 3 2" xfId="1870"/>
    <cellStyle name="Normal 2 3 3 3 2 2" xfId="3636"/>
    <cellStyle name="Normal 2 3 3 3 3" xfId="2532"/>
    <cellStyle name="Normal 2 3 3 3 4" xfId="5007"/>
    <cellStyle name="Normal 2 3 3 3 5" xfId="5680"/>
    <cellStyle name="Normal 2 3 3 4" xfId="1686"/>
    <cellStyle name="Normal 2 3 3 5" xfId="1302"/>
    <cellStyle name="Normal 2 3 3 5 2" xfId="3109"/>
    <cellStyle name="Normal 2 3 3 6" xfId="4480"/>
    <cellStyle name="Normal 2 3 3 7" xfId="5849"/>
    <cellStyle name="Normal 2 3 4" xfId="286"/>
    <cellStyle name="Normal 2 3 4 2" xfId="771"/>
    <cellStyle name="Normal 2 3 4 3" xfId="2346"/>
    <cellStyle name="Normal 2 3 5" xfId="645"/>
    <cellStyle name="Normal 2 3 5 2" xfId="973"/>
    <cellStyle name="Normal 2 3 5 2 2" xfId="2115"/>
    <cellStyle name="Normal 2 3 5 2 2 2" xfId="3878"/>
    <cellStyle name="Normal 2 3 5 2 2 3" xfId="5249"/>
    <cellStyle name="Normal 2 3 5 2 3" xfId="1556"/>
    <cellStyle name="Normal 2 3 5 2 3 2" xfId="3363"/>
    <cellStyle name="Normal 2 3 5 2 4" xfId="2785"/>
    <cellStyle name="Normal 2 3 5 2 5" xfId="4734"/>
    <cellStyle name="Normal 2 3 5 2 6" xfId="5682"/>
    <cellStyle name="Normal 2 3 5 3" xfId="1868"/>
    <cellStyle name="Normal 2 3 5 3 2" xfId="3634"/>
    <cellStyle name="Normal 2 3 5 3 3" xfId="5005"/>
    <cellStyle name="Normal 2 3 5 4" xfId="1300"/>
    <cellStyle name="Normal 2 3 5 4 2" xfId="3107"/>
    <cellStyle name="Normal 2 3 5 5" xfId="2530"/>
    <cellStyle name="Normal 2 3 5 6" xfId="4478"/>
    <cellStyle name="Normal 2 3 5 7" xfId="5681"/>
    <cellStyle name="Normal 2 3 6" xfId="5846"/>
    <cellStyle name="Normal 2 4" xfId="54"/>
    <cellStyle name="Normal 2 4 10" xfId="4307"/>
    <cellStyle name="Normal 2 4 11" xfId="5683"/>
    <cellStyle name="Normal 2 4 12" xfId="5845"/>
    <cellStyle name="Normal 2 4 13" xfId="5887"/>
    <cellStyle name="Normal 2 4 2" xfId="61"/>
    <cellStyle name="Normal 2 4 2 10" xfId="4079"/>
    <cellStyle name="Normal 2 4 2 11" xfId="4156"/>
    <cellStyle name="Normal 2 4 2 12" xfId="4233"/>
    <cellStyle name="Normal 2 4 2 13" xfId="4309"/>
    <cellStyle name="Normal 2 4 2 14" xfId="5684"/>
    <cellStyle name="Normal 2 4 2 15" xfId="5857"/>
    <cellStyle name="Normal 2 4 2 16" xfId="5895"/>
    <cellStyle name="Normal 2 4 2 2" xfId="128"/>
    <cellStyle name="Normal 2 4 2 2 10" xfId="4168"/>
    <cellStyle name="Normal 2 4 2 2 11" xfId="4245"/>
    <cellStyle name="Normal 2 4 2 2 12" xfId="4320"/>
    <cellStyle name="Normal 2 4 2 2 13" xfId="5685"/>
    <cellStyle name="Normal 2 4 2 2 14" xfId="5907"/>
    <cellStyle name="Normal 2 4 2 2 2" xfId="245"/>
    <cellStyle name="Normal 2 4 2 2 2 2" xfId="1044"/>
    <cellStyle name="Normal 2 4 2 2 2 2 2" xfId="2186"/>
    <cellStyle name="Normal 2 4 2 2 2 2 2 2" xfId="3949"/>
    <cellStyle name="Normal 2 4 2 2 2 2 2 3" xfId="5320"/>
    <cellStyle name="Normal 2 4 2 2 2 2 3" xfId="1627"/>
    <cellStyle name="Normal 2 4 2 2 2 2 3 2" xfId="3434"/>
    <cellStyle name="Normal 2 4 2 2 2 2 4" xfId="2856"/>
    <cellStyle name="Normal 2 4 2 2 2 2 5" xfId="4805"/>
    <cellStyle name="Normal 2 4 2 2 2 2 6" xfId="5687"/>
    <cellStyle name="Normal 2 4 2 2 2 3" xfId="786"/>
    <cellStyle name="Normal 2 4 2 2 2 3 2" xfId="1934"/>
    <cellStyle name="Normal 2 4 2 2 2 3 2 2" xfId="3698"/>
    <cellStyle name="Normal 2 4 2 2 2 3 3" xfId="2601"/>
    <cellStyle name="Normal 2 4 2 2 2 3 4" xfId="5069"/>
    <cellStyle name="Normal 2 4 2 2 2 4" xfId="1371"/>
    <cellStyle name="Normal 2 4 2 2 2 4 2" xfId="3178"/>
    <cellStyle name="Normal 2 4 2 2 2 5" xfId="2307"/>
    <cellStyle name="Normal 2 4 2 2 2 6" xfId="4549"/>
    <cellStyle name="Normal 2 4 2 2 2 7" xfId="5686"/>
    <cellStyle name="Normal 2 4 2 2 2 8" xfId="5971"/>
    <cellStyle name="Normal 2 4 2 2 3" xfId="803"/>
    <cellStyle name="Normal 2 4 2 2 3 2" xfId="1948"/>
    <cellStyle name="Normal 2 4 2 2 3 2 2" xfId="3711"/>
    <cellStyle name="Normal 2 4 2 2 3 2 3" xfId="5082"/>
    <cellStyle name="Normal 2 4 2 2 3 3" xfId="1386"/>
    <cellStyle name="Normal 2 4 2 2 3 3 2" xfId="3193"/>
    <cellStyle name="Normal 2 4 2 2 3 4" xfId="2615"/>
    <cellStyle name="Normal 2 4 2 2 3 5" xfId="4564"/>
    <cellStyle name="Normal 2 4 2 2 3 6" xfId="5688"/>
    <cellStyle name="Normal 2 4 2 2 4" xfId="301"/>
    <cellStyle name="Normal 2 4 2 2 4 2" xfId="1689"/>
    <cellStyle name="Normal 2 4 2 2 4 2 2" xfId="3474"/>
    <cellStyle name="Normal 2 4 2 2 4 3" xfId="2360"/>
    <cellStyle name="Normal 2 4 2 2 4 4" xfId="4845"/>
    <cellStyle name="Normal 2 4 2 2 5" xfId="1099"/>
    <cellStyle name="Normal 2 4 2 2 5 2" xfId="2908"/>
    <cellStyle name="Normal 2 4 2 2 6" xfId="1130"/>
    <cellStyle name="Normal 2 4 2 2 6 2" xfId="2937"/>
    <cellStyle name="Normal 2 4 2 2 7" xfId="2250"/>
    <cellStyle name="Normal 2 4 2 2 8" xfId="4013"/>
    <cellStyle name="Normal 2 4 2 2 9" xfId="4091"/>
    <cellStyle name="Normal 2 4 2 3" xfId="233"/>
    <cellStyle name="Normal 2 4 2 3 2" xfId="1040"/>
    <cellStyle name="Normal 2 4 2 3 2 2" xfId="2182"/>
    <cellStyle name="Normal 2 4 2 3 2 2 2" xfId="3945"/>
    <cellStyle name="Normal 2 4 2 3 2 2 3" xfId="5316"/>
    <cellStyle name="Normal 2 4 2 3 2 3" xfId="1623"/>
    <cellStyle name="Normal 2 4 2 3 2 3 2" xfId="3430"/>
    <cellStyle name="Normal 2 4 2 3 2 4" xfId="2852"/>
    <cellStyle name="Normal 2 4 2 3 2 5" xfId="4801"/>
    <cellStyle name="Normal 2 4 2 3 2 6" xfId="5690"/>
    <cellStyle name="Normal 2 4 2 3 3" xfId="773"/>
    <cellStyle name="Normal 2 4 2 3 3 2" xfId="1930"/>
    <cellStyle name="Normal 2 4 2 3 3 2 2" xfId="3695"/>
    <cellStyle name="Normal 2 4 2 3 3 3" xfId="2597"/>
    <cellStyle name="Normal 2 4 2 3 3 4" xfId="5066"/>
    <cellStyle name="Normal 2 4 2 3 4" xfId="1367"/>
    <cellStyle name="Normal 2 4 2 3 4 2" xfId="3174"/>
    <cellStyle name="Normal 2 4 2 3 5" xfId="2295"/>
    <cellStyle name="Normal 2 4 2 3 6" xfId="4545"/>
    <cellStyle name="Normal 2 4 2 3 7" xfId="5689"/>
    <cellStyle name="Normal 2 4 2 3 8" xfId="5960"/>
    <cellStyle name="Normal 2 4 2 4" xfId="793"/>
    <cellStyle name="Normal 2 4 2 4 2" xfId="1938"/>
    <cellStyle name="Normal 2 4 2 4 2 2" xfId="3701"/>
    <cellStyle name="Normal 2 4 2 4 2 3" xfId="5072"/>
    <cellStyle name="Normal 2 4 2 4 3" xfId="1375"/>
    <cellStyle name="Normal 2 4 2 4 3 2" xfId="3182"/>
    <cellStyle name="Normal 2 4 2 4 4" xfId="2605"/>
    <cellStyle name="Normal 2 4 2 4 5" xfId="4553"/>
    <cellStyle name="Normal 2 4 2 4 6" xfId="5691"/>
    <cellStyle name="Normal 2 4 2 5" xfId="293"/>
    <cellStyle name="Normal 2 4 2 5 2" xfId="1688"/>
    <cellStyle name="Normal 2 4 2 5 2 2" xfId="3473"/>
    <cellStyle name="Normal 2 4 2 5 3" xfId="2352"/>
    <cellStyle name="Normal 2 4 2 5 4" xfId="4844"/>
    <cellStyle name="Normal 2 4 2 6" xfId="1088"/>
    <cellStyle name="Normal 2 4 2 6 2" xfId="2897"/>
    <cellStyle name="Normal 2 4 2 7" xfId="1119"/>
    <cellStyle name="Normal 2 4 2 7 2" xfId="2926"/>
    <cellStyle name="Normal 2 4 2 8" xfId="2239"/>
    <cellStyle name="Normal 2 4 2 9" xfId="4001"/>
    <cellStyle name="Normal 2 4 3" xfId="127"/>
    <cellStyle name="Normal 2 4 3 10" xfId="4167"/>
    <cellStyle name="Normal 2 4 3 11" xfId="4244"/>
    <cellStyle name="Normal 2 4 3 12" xfId="4319"/>
    <cellStyle name="Normal 2 4 3 13" xfId="5692"/>
    <cellStyle name="Normal 2 4 3 14" xfId="5906"/>
    <cellStyle name="Normal 2 4 3 2" xfId="244"/>
    <cellStyle name="Normal 2 4 3 2 2" xfId="1043"/>
    <cellStyle name="Normal 2 4 3 2 2 2" xfId="2185"/>
    <cellStyle name="Normal 2 4 3 2 2 2 2" xfId="3948"/>
    <cellStyle name="Normal 2 4 3 2 2 2 3" xfId="5319"/>
    <cellStyle name="Normal 2 4 3 2 2 3" xfId="1626"/>
    <cellStyle name="Normal 2 4 3 2 2 3 2" xfId="3433"/>
    <cellStyle name="Normal 2 4 3 2 2 4" xfId="2855"/>
    <cellStyle name="Normal 2 4 3 2 2 5" xfId="4804"/>
    <cellStyle name="Normal 2 4 3 2 2 6" xfId="5694"/>
    <cellStyle name="Normal 2 4 3 2 3" xfId="785"/>
    <cellStyle name="Normal 2 4 3 2 3 2" xfId="1933"/>
    <cellStyle name="Normal 2 4 3 2 3 2 2" xfId="3697"/>
    <cellStyle name="Normal 2 4 3 2 3 3" xfId="2600"/>
    <cellStyle name="Normal 2 4 3 2 3 4" xfId="5068"/>
    <cellStyle name="Normal 2 4 3 2 4" xfId="1370"/>
    <cellStyle name="Normal 2 4 3 2 4 2" xfId="3177"/>
    <cellStyle name="Normal 2 4 3 2 5" xfId="2306"/>
    <cellStyle name="Normal 2 4 3 2 6" xfId="4548"/>
    <cellStyle name="Normal 2 4 3 2 7" xfId="5693"/>
    <cellStyle name="Normal 2 4 3 2 8" xfId="5970"/>
    <cellStyle name="Normal 2 4 3 3" xfId="802"/>
    <cellStyle name="Normal 2 4 3 3 2" xfId="1947"/>
    <cellStyle name="Normal 2 4 3 3 2 2" xfId="3710"/>
    <cellStyle name="Normal 2 4 3 3 2 3" xfId="5081"/>
    <cellStyle name="Normal 2 4 3 3 3" xfId="1385"/>
    <cellStyle name="Normal 2 4 3 3 3 2" xfId="3192"/>
    <cellStyle name="Normal 2 4 3 3 4" xfId="2614"/>
    <cellStyle name="Normal 2 4 3 3 5" xfId="4563"/>
    <cellStyle name="Normal 2 4 3 3 6" xfId="5695"/>
    <cellStyle name="Normal 2 4 3 4" xfId="300"/>
    <cellStyle name="Normal 2 4 3 4 2" xfId="1690"/>
    <cellStyle name="Normal 2 4 3 4 2 2" xfId="3475"/>
    <cellStyle name="Normal 2 4 3 4 3" xfId="2359"/>
    <cellStyle name="Normal 2 4 3 4 4" xfId="4846"/>
    <cellStyle name="Normal 2 4 3 5" xfId="1098"/>
    <cellStyle name="Normal 2 4 3 5 2" xfId="2907"/>
    <cellStyle name="Normal 2 4 3 6" xfId="1129"/>
    <cellStyle name="Normal 2 4 3 6 2" xfId="2936"/>
    <cellStyle name="Normal 2 4 3 7" xfId="2249"/>
    <cellStyle name="Normal 2 4 3 8" xfId="4012"/>
    <cellStyle name="Normal 2 4 3 9" xfId="4090"/>
    <cellStyle name="Normal 2 4 4" xfId="164"/>
    <cellStyle name="Normal 2 4 4 2" xfId="976"/>
    <cellStyle name="Normal 2 4 4 2 2" xfId="2118"/>
    <cellStyle name="Normal 2 4 4 2 2 2" xfId="3881"/>
    <cellStyle name="Normal 2 4 4 2 2 3" xfId="5252"/>
    <cellStyle name="Normal 2 4 4 2 3" xfId="1559"/>
    <cellStyle name="Normal 2 4 4 2 3 2" xfId="3366"/>
    <cellStyle name="Normal 2 4 4 2 4" xfId="2788"/>
    <cellStyle name="Normal 2 4 4 2 5" xfId="4737"/>
    <cellStyle name="Normal 2 4 4 2 6" xfId="5696"/>
    <cellStyle name="Normal 2 4 4 3" xfId="648"/>
    <cellStyle name="Normal 2 4 4 3 2" xfId="1871"/>
    <cellStyle name="Normal 2 4 4 3 2 2" xfId="3637"/>
    <cellStyle name="Normal 2 4 4 3 3" xfId="2533"/>
    <cellStyle name="Normal 2 4 4 3 4" xfId="5008"/>
    <cellStyle name="Normal 2 4 4 3 5" xfId="5697"/>
    <cellStyle name="Normal 2 4 4 4" xfId="1691"/>
    <cellStyle name="Normal 2 4 4 5" xfId="1303"/>
    <cellStyle name="Normal 2 4 4 5 2" xfId="3110"/>
    <cellStyle name="Normal 2 4 4 6" xfId="4481"/>
    <cellStyle name="Normal 2 4 5" xfId="197"/>
    <cellStyle name="Normal 2 4 5 10" xfId="4261"/>
    <cellStyle name="Normal 2 4 5 11" xfId="4551"/>
    <cellStyle name="Normal 2 4 5 12" xfId="5698"/>
    <cellStyle name="Normal 2 4 5 13" xfId="5893"/>
    <cellStyle name="Normal 2 4 5 2" xfId="261"/>
    <cellStyle name="Normal 2 4 5 2 2" xfId="1692"/>
    <cellStyle name="Normal 2 4 5 2 2 2" xfId="3476"/>
    <cellStyle name="Normal 2 4 5 2 3" xfId="2323"/>
    <cellStyle name="Normal 2 4 5 2 4" xfId="4847"/>
    <cellStyle name="Normal 2 4 5 2 5" xfId="5958"/>
    <cellStyle name="Normal 2 4 5 3" xfId="791"/>
    <cellStyle name="Normal 2 4 5 3 2" xfId="2603"/>
    <cellStyle name="Normal 2 4 5 4" xfId="1086"/>
    <cellStyle name="Normal 2 4 5 4 2" xfId="2895"/>
    <cellStyle name="Normal 2 4 5 5" xfId="1373"/>
    <cellStyle name="Normal 2 4 5 5 2" xfId="3180"/>
    <cellStyle name="Normal 2 4 5 6" xfId="2267"/>
    <cellStyle name="Normal 2 4 5 7" xfId="4029"/>
    <cellStyle name="Normal 2 4 5 8" xfId="4107"/>
    <cellStyle name="Normal 2 4 5 9" xfId="4184"/>
    <cellStyle name="Normal 2 4 6" xfId="282"/>
    <cellStyle name="Normal 2 4 6 2" xfId="1687"/>
    <cellStyle name="Normal 2 4 6 2 2" xfId="3472"/>
    <cellStyle name="Normal 2 4 6 3" xfId="2342"/>
    <cellStyle name="Normal 2 4 6 4" xfId="4843"/>
    <cellStyle name="Normal 2 4 6 5" xfId="5940"/>
    <cellStyle name="Normal 2 4 7" xfId="1067"/>
    <cellStyle name="Normal 2 4 7 2" xfId="2877"/>
    <cellStyle name="Normal 2 4 8" xfId="1117"/>
    <cellStyle name="Normal 2 4 8 2" xfId="2924"/>
    <cellStyle name="Normal 2 4 9" xfId="2237"/>
    <cellStyle name="Normal 2 5" xfId="48"/>
    <cellStyle name="Normal 2 5 2" xfId="105"/>
    <cellStyle name="Normal 2 5 3" xfId="133"/>
    <cellStyle name="Normal 2 5 3 10" xfId="4247"/>
    <cellStyle name="Normal 2 5 3 11" xfId="4848"/>
    <cellStyle name="Normal 2 5 3 12" xfId="5699"/>
    <cellStyle name="Normal 2 5 3 13" xfId="5909"/>
    <cellStyle name="Normal 2 5 3 2" xfId="247"/>
    <cellStyle name="Normal 2 5 3 2 2" xfId="2309"/>
    <cellStyle name="Normal 2 5 3 2 3" xfId="5973"/>
    <cellStyle name="Normal 2 5 3 3" xfId="1049"/>
    <cellStyle name="Normal 2 5 3 3 2" xfId="2860"/>
    <cellStyle name="Normal 2 5 3 4" xfId="1101"/>
    <cellStyle name="Normal 2 5 3 4 2" xfId="2910"/>
    <cellStyle name="Normal 2 5 3 5" xfId="1693"/>
    <cellStyle name="Normal 2 5 3 5 2" xfId="3477"/>
    <cellStyle name="Normal 2 5 3 6" xfId="2252"/>
    <cellStyle name="Normal 2 5 3 7" xfId="4015"/>
    <cellStyle name="Normal 2 5 3 8" xfId="4093"/>
    <cellStyle name="Normal 2 5 3 9" xfId="4170"/>
    <cellStyle name="Normal 2 5 4" xfId="176"/>
    <cellStyle name="Normal 2 5 5" xfId="195"/>
    <cellStyle name="Normal 2 5 6" xfId="285"/>
    <cellStyle name="Normal 2 5 6 2" xfId="2345"/>
    <cellStyle name="Normal 2 5 7" xfId="5853"/>
    <cellStyle name="Normal 2 6" xfId="132"/>
    <cellStyle name="Normal 2 6 2" xfId="141"/>
    <cellStyle name="Normal 2 6 3" xfId="209"/>
    <cellStyle name="Normal 2 7" xfId="288"/>
    <cellStyle name="Normal 2 7 2" xfId="2348"/>
    <cellStyle name="Normal 2 7 3" xfId="5851"/>
    <cellStyle name="Normal 2 8" xfId="5848"/>
    <cellStyle name="Normal 2 9" xfId="5844"/>
    <cellStyle name="Normal 20" xfId="1051"/>
    <cellStyle name="Normal 21" xfId="1116"/>
    <cellStyle name="Normal 22" xfId="3997"/>
    <cellStyle name="Normal 23" xfId="4063"/>
    <cellStyle name="Normal 24" xfId="4140"/>
    <cellStyle name="Normal 25" xfId="4217"/>
    <cellStyle name="Normal 26" xfId="4294"/>
    <cellStyle name="Normal 27" xfId="5322"/>
    <cellStyle name="Normal 28" xfId="5992"/>
    <cellStyle name="Normal 3" xfId="37"/>
    <cellStyle name="Normal 3 10" xfId="767"/>
    <cellStyle name="Normal 3 11" xfId="2236"/>
    <cellStyle name="Normal 3 11 2" xfId="5700"/>
    <cellStyle name="Normal 3 2" xfId="59"/>
    <cellStyle name="Normal 3 2 2" xfId="107"/>
    <cellStyle name="Normal 3 2 2 2" xfId="650"/>
    <cellStyle name="Normal 3 2 2 2 2" xfId="651"/>
    <cellStyle name="Normal 3 2 2 2 2 2" xfId="979"/>
    <cellStyle name="Normal 3 2 2 2 2 2 2" xfId="2121"/>
    <cellStyle name="Normal 3 2 2 2 2 2 2 2" xfId="3884"/>
    <cellStyle name="Normal 3 2 2 2 2 2 2 3" xfId="5255"/>
    <cellStyle name="Normal 3 2 2 2 2 2 3" xfId="1562"/>
    <cellStyle name="Normal 3 2 2 2 2 2 3 2" xfId="3369"/>
    <cellStyle name="Normal 3 2 2 2 2 2 4" xfId="2791"/>
    <cellStyle name="Normal 3 2 2 2 2 2 5" xfId="4740"/>
    <cellStyle name="Normal 3 2 2 2 2 2 6" xfId="5703"/>
    <cellStyle name="Normal 3 2 2 2 2 3" xfId="1874"/>
    <cellStyle name="Normal 3 2 2 2 2 3 2" xfId="3640"/>
    <cellStyle name="Normal 3 2 2 2 2 3 3" xfId="5011"/>
    <cellStyle name="Normal 3 2 2 2 2 4" xfId="1306"/>
    <cellStyle name="Normal 3 2 2 2 2 4 2" xfId="3113"/>
    <cellStyle name="Normal 3 2 2 2 2 5" xfId="2536"/>
    <cellStyle name="Normal 3 2 2 2 2 6" xfId="4484"/>
    <cellStyle name="Normal 3 2 2 2 2 7" xfId="5702"/>
    <cellStyle name="Normal 3 2 2 2 3" xfId="652"/>
    <cellStyle name="Normal 3 2 2 2 3 2" xfId="980"/>
    <cellStyle name="Normal 3 2 2 2 3 2 2" xfId="2122"/>
    <cellStyle name="Normal 3 2 2 2 3 2 2 2" xfId="3885"/>
    <cellStyle name="Normal 3 2 2 2 3 2 2 3" xfId="5256"/>
    <cellStyle name="Normal 3 2 2 2 3 2 3" xfId="1563"/>
    <cellStyle name="Normal 3 2 2 2 3 2 3 2" xfId="3370"/>
    <cellStyle name="Normal 3 2 2 2 3 2 4" xfId="2792"/>
    <cellStyle name="Normal 3 2 2 2 3 2 5" xfId="4741"/>
    <cellStyle name="Normal 3 2 2 2 3 2 6" xfId="5705"/>
    <cellStyle name="Normal 3 2 2 2 3 3" xfId="1875"/>
    <cellStyle name="Normal 3 2 2 2 3 3 2" xfId="3641"/>
    <cellStyle name="Normal 3 2 2 2 3 3 3" xfId="5012"/>
    <cellStyle name="Normal 3 2 2 2 3 4" xfId="1307"/>
    <cellStyle name="Normal 3 2 2 2 3 4 2" xfId="3114"/>
    <cellStyle name="Normal 3 2 2 2 3 5" xfId="2537"/>
    <cellStyle name="Normal 3 2 2 2 3 6" xfId="4485"/>
    <cellStyle name="Normal 3 2 2 2 3 7" xfId="5704"/>
    <cellStyle name="Normal 3 2 2 2 4" xfId="978"/>
    <cellStyle name="Normal 3 2 2 2 4 2" xfId="2120"/>
    <cellStyle name="Normal 3 2 2 2 4 2 2" xfId="3883"/>
    <cellStyle name="Normal 3 2 2 2 4 2 3" xfId="5254"/>
    <cellStyle name="Normal 3 2 2 2 4 3" xfId="1561"/>
    <cellStyle name="Normal 3 2 2 2 4 3 2" xfId="3368"/>
    <cellStyle name="Normal 3 2 2 2 4 4" xfId="2790"/>
    <cellStyle name="Normal 3 2 2 2 4 5" xfId="4739"/>
    <cellStyle name="Normal 3 2 2 2 4 6" xfId="5706"/>
    <cellStyle name="Normal 3 2 2 2 5" xfId="1873"/>
    <cellStyle name="Normal 3 2 2 2 5 2" xfId="3639"/>
    <cellStyle name="Normal 3 2 2 2 5 3" xfId="5010"/>
    <cellStyle name="Normal 3 2 2 2 6" xfId="1305"/>
    <cellStyle name="Normal 3 2 2 2 6 2" xfId="3112"/>
    <cellStyle name="Normal 3 2 2 2 7" xfId="2535"/>
    <cellStyle name="Normal 3 2 2 2 8" xfId="4483"/>
    <cellStyle name="Normal 3 2 2 2 9" xfId="5701"/>
    <cellStyle name="Normal 3 2 2 3" xfId="653"/>
    <cellStyle name="Normal 3 2 2 3 2" xfId="981"/>
    <cellStyle name="Normal 3 2 2 3 2 2" xfId="2123"/>
    <cellStyle name="Normal 3 2 2 3 2 2 2" xfId="3886"/>
    <cellStyle name="Normal 3 2 2 3 2 2 3" xfId="5257"/>
    <cellStyle name="Normal 3 2 2 3 2 3" xfId="1564"/>
    <cellStyle name="Normal 3 2 2 3 2 3 2" xfId="3371"/>
    <cellStyle name="Normal 3 2 2 3 2 4" xfId="2793"/>
    <cellStyle name="Normal 3 2 2 3 2 5" xfId="4742"/>
    <cellStyle name="Normal 3 2 2 3 2 6" xfId="5708"/>
    <cellStyle name="Normal 3 2 2 3 3" xfId="1876"/>
    <cellStyle name="Normal 3 2 2 3 3 2" xfId="3642"/>
    <cellStyle name="Normal 3 2 2 3 3 3" xfId="5013"/>
    <cellStyle name="Normal 3 2 2 3 4" xfId="1308"/>
    <cellStyle name="Normal 3 2 2 3 4 2" xfId="3115"/>
    <cellStyle name="Normal 3 2 2 3 5" xfId="2538"/>
    <cellStyle name="Normal 3 2 2 3 6" xfId="4486"/>
    <cellStyle name="Normal 3 2 2 3 7" xfId="5707"/>
    <cellStyle name="Normal 3 2 2 4" xfId="654"/>
    <cellStyle name="Normal 3 2 2 4 2" xfId="982"/>
    <cellStyle name="Normal 3 2 2 4 2 2" xfId="2124"/>
    <cellStyle name="Normal 3 2 2 4 2 2 2" xfId="3887"/>
    <cellStyle name="Normal 3 2 2 4 2 2 3" xfId="5258"/>
    <cellStyle name="Normal 3 2 2 4 2 3" xfId="1565"/>
    <cellStyle name="Normal 3 2 2 4 2 3 2" xfId="3372"/>
    <cellStyle name="Normal 3 2 2 4 2 4" xfId="2794"/>
    <cellStyle name="Normal 3 2 2 4 2 5" xfId="4743"/>
    <cellStyle name="Normal 3 2 2 4 2 6" xfId="5710"/>
    <cellStyle name="Normal 3 2 2 4 3" xfId="1877"/>
    <cellStyle name="Normal 3 2 2 4 3 2" xfId="3643"/>
    <cellStyle name="Normal 3 2 2 4 3 3" xfId="5014"/>
    <cellStyle name="Normal 3 2 2 4 4" xfId="1309"/>
    <cellStyle name="Normal 3 2 2 4 4 2" xfId="3116"/>
    <cellStyle name="Normal 3 2 2 4 5" xfId="2539"/>
    <cellStyle name="Normal 3 2 2 4 6" xfId="4487"/>
    <cellStyle name="Normal 3 2 2 4 7" xfId="5709"/>
    <cellStyle name="Normal 3 2 2 5" xfId="777"/>
    <cellStyle name="Normal 3 2 2 6" xfId="649"/>
    <cellStyle name="Normal 3 2 2 6 2" xfId="977"/>
    <cellStyle name="Normal 3 2 2 6 2 2" xfId="2119"/>
    <cellStyle name="Normal 3 2 2 6 2 2 2" xfId="3882"/>
    <cellStyle name="Normal 3 2 2 6 2 2 3" xfId="5253"/>
    <cellStyle name="Normal 3 2 2 6 2 3" xfId="1560"/>
    <cellStyle name="Normal 3 2 2 6 2 3 2" xfId="3367"/>
    <cellStyle name="Normal 3 2 2 6 2 4" xfId="2789"/>
    <cellStyle name="Normal 3 2 2 6 2 5" xfId="4738"/>
    <cellStyle name="Normal 3 2 2 6 2 6" xfId="5712"/>
    <cellStyle name="Normal 3 2 2 6 3" xfId="1872"/>
    <cellStyle name="Normal 3 2 2 6 3 2" xfId="3638"/>
    <cellStyle name="Normal 3 2 2 6 3 3" xfId="5009"/>
    <cellStyle name="Normal 3 2 2 6 4" xfId="1304"/>
    <cellStyle name="Normal 3 2 2 6 4 2" xfId="3111"/>
    <cellStyle name="Normal 3 2 2 6 5" xfId="2534"/>
    <cellStyle name="Normal 3 2 2 6 6" xfId="4482"/>
    <cellStyle name="Normal 3 2 2 6 7" xfId="5711"/>
    <cellStyle name="Normal 3 2 3" xfId="169"/>
    <cellStyle name="Normal 3 2 3 2" xfId="656"/>
    <cellStyle name="Normal 3 2 3 2 2" xfId="984"/>
    <cellStyle name="Normal 3 2 3 2 2 2" xfId="2126"/>
    <cellStyle name="Normal 3 2 3 2 2 2 2" xfId="3889"/>
    <cellStyle name="Normal 3 2 3 2 2 2 3" xfId="5260"/>
    <cellStyle name="Normal 3 2 3 2 2 3" xfId="1567"/>
    <cellStyle name="Normal 3 2 3 2 2 3 2" xfId="3374"/>
    <cellStyle name="Normal 3 2 3 2 2 4" xfId="2796"/>
    <cellStyle name="Normal 3 2 3 2 2 5" xfId="4745"/>
    <cellStyle name="Normal 3 2 3 2 2 6" xfId="5714"/>
    <cellStyle name="Normal 3 2 3 2 3" xfId="1879"/>
    <cellStyle name="Normal 3 2 3 2 3 2" xfId="3645"/>
    <cellStyle name="Normal 3 2 3 2 3 3" xfId="5016"/>
    <cellStyle name="Normal 3 2 3 2 4" xfId="1311"/>
    <cellStyle name="Normal 3 2 3 2 4 2" xfId="3118"/>
    <cellStyle name="Normal 3 2 3 2 5" xfId="2541"/>
    <cellStyle name="Normal 3 2 3 2 6" xfId="4489"/>
    <cellStyle name="Normal 3 2 3 2 7" xfId="5713"/>
    <cellStyle name="Normal 3 2 3 3" xfId="657"/>
    <cellStyle name="Normal 3 2 3 3 2" xfId="985"/>
    <cellStyle name="Normal 3 2 3 3 2 2" xfId="2127"/>
    <cellStyle name="Normal 3 2 3 3 2 2 2" xfId="3890"/>
    <cellStyle name="Normal 3 2 3 3 2 2 3" xfId="5261"/>
    <cellStyle name="Normal 3 2 3 3 2 3" xfId="1568"/>
    <cellStyle name="Normal 3 2 3 3 2 3 2" xfId="3375"/>
    <cellStyle name="Normal 3 2 3 3 2 4" xfId="2797"/>
    <cellStyle name="Normal 3 2 3 3 2 5" xfId="4746"/>
    <cellStyle name="Normal 3 2 3 3 2 6" xfId="5716"/>
    <cellStyle name="Normal 3 2 3 3 3" xfId="1880"/>
    <cellStyle name="Normal 3 2 3 3 3 2" xfId="3646"/>
    <cellStyle name="Normal 3 2 3 3 3 3" xfId="5017"/>
    <cellStyle name="Normal 3 2 3 3 4" xfId="1312"/>
    <cellStyle name="Normal 3 2 3 3 4 2" xfId="3119"/>
    <cellStyle name="Normal 3 2 3 3 5" xfId="2542"/>
    <cellStyle name="Normal 3 2 3 3 6" xfId="4490"/>
    <cellStyle name="Normal 3 2 3 3 7" xfId="5715"/>
    <cellStyle name="Normal 3 2 3 4" xfId="983"/>
    <cellStyle name="Normal 3 2 3 4 2" xfId="2125"/>
    <cellStyle name="Normal 3 2 3 4 2 2" xfId="3888"/>
    <cellStyle name="Normal 3 2 3 4 2 3" xfId="5259"/>
    <cellStyle name="Normal 3 2 3 4 3" xfId="1566"/>
    <cellStyle name="Normal 3 2 3 4 3 2" xfId="3373"/>
    <cellStyle name="Normal 3 2 3 4 4" xfId="2795"/>
    <cellStyle name="Normal 3 2 3 4 5" xfId="4744"/>
    <cellStyle name="Normal 3 2 3 4 6" xfId="5717"/>
    <cellStyle name="Normal 3 2 3 5" xfId="655"/>
    <cellStyle name="Normal 3 2 3 5 2" xfId="1878"/>
    <cellStyle name="Normal 3 2 3 5 2 2" xfId="3644"/>
    <cellStyle name="Normal 3 2 3 5 3" xfId="2540"/>
    <cellStyle name="Normal 3 2 3 5 4" xfId="5015"/>
    <cellStyle name="Normal 3 2 3 5 5" xfId="5718"/>
    <cellStyle name="Normal 3 2 3 6" xfId="1694"/>
    <cellStyle name="Normal 3 2 3 7" xfId="1310"/>
    <cellStyle name="Normal 3 2 3 7 2" xfId="3117"/>
    <cellStyle name="Normal 3 2 3 8" xfId="4488"/>
    <cellStyle name="Normal 3 2 4" xfId="658"/>
    <cellStyle name="Normal 3 2 4 2" xfId="659"/>
    <cellStyle name="Normal 3 2 4 2 2" xfId="987"/>
    <cellStyle name="Normal 3 2 4 2 2 2" xfId="2129"/>
    <cellStyle name="Normal 3 2 4 2 2 2 2" xfId="3892"/>
    <cellStyle name="Normal 3 2 4 2 2 2 3" xfId="5263"/>
    <cellStyle name="Normal 3 2 4 2 2 3" xfId="1570"/>
    <cellStyle name="Normal 3 2 4 2 2 3 2" xfId="3377"/>
    <cellStyle name="Normal 3 2 4 2 2 4" xfId="2799"/>
    <cellStyle name="Normal 3 2 4 2 2 5" xfId="4748"/>
    <cellStyle name="Normal 3 2 4 2 2 6" xfId="5721"/>
    <cellStyle name="Normal 3 2 4 2 3" xfId="1882"/>
    <cellStyle name="Normal 3 2 4 2 3 2" xfId="3648"/>
    <cellStyle name="Normal 3 2 4 2 3 3" xfId="5019"/>
    <cellStyle name="Normal 3 2 4 2 4" xfId="1314"/>
    <cellStyle name="Normal 3 2 4 2 4 2" xfId="3121"/>
    <cellStyle name="Normal 3 2 4 2 5" xfId="2544"/>
    <cellStyle name="Normal 3 2 4 2 6" xfId="4492"/>
    <cellStyle name="Normal 3 2 4 2 7" xfId="5720"/>
    <cellStyle name="Normal 3 2 4 3" xfId="660"/>
    <cellStyle name="Normal 3 2 4 3 2" xfId="988"/>
    <cellStyle name="Normal 3 2 4 3 2 2" xfId="2130"/>
    <cellStyle name="Normal 3 2 4 3 2 2 2" xfId="3893"/>
    <cellStyle name="Normal 3 2 4 3 2 2 3" xfId="5264"/>
    <cellStyle name="Normal 3 2 4 3 2 3" xfId="1571"/>
    <cellStyle name="Normal 3 2 4 3 2 3 2" xfId="3378"/>
    <cellStyle name="Normal 3 2 4 3 2 4" xfId="2800"/>
    <cellStyle name="Normal 3 2 4 3 2 5" xfId="4749"/>
    <cellStyle name="Normal 3 2 4 3 2 6" xfId="5723"/>
    <cellStyle name="Normal 3 2 4 3 3" xfId="1883"/>
    <cellStyle name="Normal 3 2 4 3 3 2" xfId="3649"/>
    <cellStyle name="Normal 3 2 4 3 3 3" xfId="5020"/>
    <cellStyle name="Normal 3 2 4 3 4" xfId="1315"/>
    <cellStyle name="Normal 3 2 4 3 4 2" xfId="3122"/>
    <cellStyle name="Normal 3 2 4 3 5" xfId="2545"/>
    <cellStyle name="Normal 3 2 4 3 6" xfId="4493"/>
    <cellStyle name="Normal 3 2 4 3 7" xfId="5722"/>
    <cellStyle name="Normal 3 2 4 4" xfId="986"/>
    <cellStyle name="Normal 3 2 4 4 2" xfId="2128"/>
    <cellStyle name="Normal 3 2 4 4 2 2" xfId="3891"/>
    <cellStyle name="Normal 3 2 4 4 2 3" xfId="5262"/>
    <cellStyle name="Normal 3 2 4 4 3" xfId="1569"/>
    <cellStyle name="Normal 3 2 4 4 3 2" xfId="3376"/>
    <cellStyle name="Normal 3 2 4 4 4" xfId="2798"/>
    <cellStyle name="Normal 3 2 4 4 5" xfId="4747"/>
    <cellStyle name="Normal 3 2 4 4 6" xfId="5724"/>
    <cellStyle name="Normal 3 2 4 5" xfId="1881"/>
    <cellStyle name="Normal 3 2 4 5 2" xfId="3647"/>
    <cellStyle name="Normal 3 2 4 5 3" xfId="5018"/>
    <cellStyle name="Normal 3 2 4 6" xfId="1313"/>
    <cellStyle name="Normal 3 2 4 6 2" xfId="3120"/>
    <cellStyle name="Normal 3 2 4 7" xfId="2543"/>
    <cellStyle name="Normal 3 2 4 8" xfId="4491"/>
    <cellStyle name="Normal 3 2 4 9" xfId="5719"/>
    <cellStyle name="Normal 3 2 5" xfId="661"/>
    <cellStyle name="Normal 3 2 5 2" xfId="989"/>
    <cellStyle name="Normal 3 2 5 2 2" xfId="2131"/>
    <cellStyle name="Normal 3 2 5 2 2 2" xfId="3894"/>
    <cellStyle name="Normal 3 2 5 2 2 3" xfId="5265"/>
    <cellStyle name="Normal 3 2 5 2 3" xfId="1572"/>
    <cellStyle name="Normal 3 2 5 2 3 2" xfId="3379"/>
    <cellStyle name="Normal 3 2 5 2 4" xfId="2801"/>
    <cellStyle name="Normal 3 2 5 2 5" xfId="4750"/>
    <cellStyle name="Normal 3 2 5 2 6" xfId="5726"/>
    <cellStyle name="Normal 3 2 5 3" xfId="1884"/>
    <cellStyle name="Normal 3 2 5 3 2" xfId="3650"/>
    <cellStyle name="Normal 3 2 5 3 3" xfId="5021"/>
    <cellStyle name="Normal 3 2 5 4" xfId="1316"/>
    <cellStyle name="Normal 3 2 5 4 2" xfId="3123"/>
    <cellStyle name="Normal 3 2 5 5" xfId="2546"/>
    <cellStyle name="Normal 3 2 5 6" xfId="4494"/>
    <cellStyle name="Normal 3 2 5 7" xfId="5725"/>
    <cellStyle name="Normal 3 2 6" xfId="662"/>
    <cellStyle name="Normal 3 2 6 2" xfId="990"/>
    <cellStyle name="Normal 3 2 6 2 2" xfId="2132"/>
    <cellStyle name="Normal 3 2 6 2 2 2" xfId="3895"/>
    <cellStyle name="Normal 3 2 6 2 2 3" xfId="5266"/>
    <cellStyle name="Normal 3 2 6 2 3" xfId="1573"/>
    <cellStyle name="Normal 3 2 6 2 3 2" xfId="3380"/>
    <cellStyle name="Normal 3 2 6 2 4" xfId="2802"/>
    <cellStyle name="Normal 3 2 6 2 5" xfId="4751"/>
    <cellStyle name="Normal 3 2 6 2 6" xfId="5728"/>
    <cellStyle name="Normal 3 2 6 3" xfId="1885"/>
    <cellStyle name="Normal 3 2 6 3 2" xfId="3651"/>
    <cellStyle name="Normal 3 2 6 3 3" xfId="5022"/>
    <cellStyle name="Normal 3 2 6 4" xfId="1317"/>
    <cellStyle name="Normal 3 2 6 4 2" xfId="3124"/>
    <cellStyle name="Normal 3 2 6 5" xfId="2547"/>
    <cellStyle name="Normal 3 2 6 6" xfId="4495"/>
    <cellStyle name="Normal 3 2 6 7" xfId="5727"/>
    <cellStyle name="Normal 3 2 7" xfId="663"/>
    <cellStyle name="Normal 3 2 7 2" xfId="991"/>
    <cellStyle name="Normal 3 2 7 2 2" xfId="2133"/>
    <cellStyle name="Normal 3 2 7 2 2 2" xfId="3896"/>
    <cellStyle name="Normal 3 2 7 2 2 3" xfId="5267"/>
    <cellStyle name="Normal 3 2 7 2 3" xfId="1574"/>
    <cellStyle name="Normal 3 2 7 2 3 2" xfId="3381"/>
    <cellStyle name="Normal 3 2 7 2 4" xfId="2803"/>
    <cellStyle name="Normal 3 2 7 2 5" xfId="4752"/>
    <cellStyle name="Normal 3 2 7 2 6" xfId="5730"/>
    <cellStyle name="Normal 3 2 7 3" xfId="1886"/>
    <cellStyle name="Normal 3 2 7 3 2" xfId="3652"/>
    <cellStyle name="Normal 3 2 7 3 3" xfId="5023"/>
    <cellStyle name="Normal 3 2 7 4" xfId="1318"/>
    <cellStyle name="Normal 3 2 7 4 2" xfId="3125"/>
    <cellStyle name="Normal 3 2 7 5" xfId="2548"/>
    <cellStyle name="Normal 3 2 7 6" xfId="4496"/>
    <cellStyle name="Normal 3 2 7 7" xfId="5729"/>
    <cellStyle name="Normal 3 2 8" xfId="772"/>
    <cellStyle name="Normal 3 3" xfId="55"/>
    <cellStyle name="Normal 3 3 2" xfId="115"/>
    <cellStyle name="Normal 3 3 2 2" xfId="665"/>
    <cellStyle name="Normal 3 3 2 2 2" xfId="993"/>
    <cellStyle name="Normal 3 3 2 2 2 2" xfId="2135"/>
    <cellStyle name="Normal 3 3 2 2 2 2 2" xfId="3898"/>
    <cellStyle name="Normal 3 3 2 2 2 2 3" xfId="5269"/>
    <cellStyle name="Normal 3 3 2 2 2 3" xfId="1576"/>
    <cellStyle name="Normal 3 3 2 2 2 3 2" xfId="3383"/>
    <cellStyle name="Normal 3 3 2 2 2 4" xfId="2805"/>
    <cellStyle name="Normal 3 3 2 2 2 5" xfId="4754"/>
    <cellStyle name="Normal 3 3 2 2 2 6" xfId="5732"/>
    <cellStyle name="Normal 3 3 2 2 3" xfId="1888"/>
    <cellStyle name="Normal 3 3 2 2 3 2" xfId="3654"/>
    <cellStyle name="Normal 3 3 2 2 3 3" xfId="5025"/>
    <cellStyle name="Normal 3 3 2 2 4" xfId="1320"/>
    <cellStyle name="Normal 3 3 2 2 4 2" xfId="3127"/>
    <cellStyle name="Normal 3 3 2 2 5" xfId="2550"/>
    <cellStyle name="Normal 3 3 2 2 6" xfId="4498"/>
    <cellStyle name="Normal 3 3 2 2 7" xfId="5731"/>
    <cellStyle name="Normal 3 3 2 3" xfId="666"/>
    <cellStyle name="Normal 3 3 2 3 2" xfId="994"/>
    <cellStyle name="Normal 3 3 2 3 2 2" xfId="2136"/>
    <cellStyle name="Normal 3 3 2 3 2 2 2" xfId="3899"/>
    <cellStyle name="Normal 3 3 2 3 2 2 3" xfId="5270"/>
    <cellStyle name="Normal 3 3 2 3 2 3" xfId="1577"/>
    <cellStyle name="Normal 3 3 2 3 2 3 2" xfId="3384"/>
    <cellStyle name="Normal 3 3 2 3 2 4" xfId="2806"/>
    <cellStyle name="Normal 3 3 2 3 2 5" xfId="4755"/>
    <cellStyle name="Normal 3 3 2 3 2 6" xfId="5734"/>
    <cellStyle name="Normal 3 3 2 3 3" xfId="1889"/>
    <cellStyle name="Normal 3 3 2 3 3 2" xfId="3655"/>
    <cellStyle name="Normal 3 3 2 3 3 3" xfId="5026"/>
    <cellStyle name="Normal 3 3 2 3 4" xfId="1321"/>
    <cellStyle name="Normal 3 3 2 3 4 2" xfId="3128"/>
    <cellStyle name="Normal 3 3 2 3 5" xfId="2551"/>
    <cellStyle name="Normal 3 3 2 3 6" xfId="4499"/>
    <cellStyle name="Normal 3 3 2 3 7" xfId="5733"/>
    <cellStyle name="Normal 3 3 2 4" xfId="781"/>
    <cellStyle name="Normal 3 3 2 5" xfId="664"/>
    <cellStyle name="Normal 3 3 2 5 2" xfId="992"/>
    <cellStyle name="Normal 3 3 2 5 2 2" xfId="2134"/>
    <cellStyle name="Normal 3 3 2 5 2 2 2" xfId="3897"/>
    <cellStyle name="Normal 3 3 2 5 2 2 3" xfId="5268"/>
    <cellStyle name="Normal 3 3 2 5 2 3" xfId="1575"/>
    <cellStyle name="Normal 3 3 2 5 2 3 2" xfId="3382"/>
    <cellStyle name="Normal 3 3 2 5 2 4" xfId="2804"/>
    <cellStyle name="Normal 3 3 2 5 2 5" xfId="4753"/>
    <cellStyle name="Normal 3 3 2 5 2 6" xfId="5736"/>
    <cellStyle name="Normal 3 3 2 5 3" xfId="1887"/>
    <cellStyle name="Normal 3 3 2 5 3 2" xfId="3653"/>
    <cellStyle name="Normal 3 3 2 5 3 3" xfId="5024"/>
    <cellStyle name="Normal 3 3 2 5 4" xfId="1319"/>
    <cellStyle name="Normal 3 3 2 5 4 2" xfId="3126"/>
    <cellStyle name="Normal 3 3 2 5 5" xfId="2549"/>
    <cellStyle name="Normal 3 3 2 5 6" xfId="4497"/>
    <cellStyle name="Normal 3 3 2 5 7" xfId="5735"/>
    <cellStyle name="Normal 3 3 3" xfId="165"/>
    <cellStyle name="Normal 3 3 3 2" xfId="995"/>
    <cellStyle name="Normal 3 3 3 2 2" xfId="2137"/>
    <cellStyle name="Normal 3 3 3 2 2 2" xfId="3900"/>
    <cellStyle name="Normal 3 3 3 2 2 3" xfId="5271"/>
    <cellStyle name="Normal 3 3 3 2 3" xfId="1578"/>
    <cellStyle name="Normal 3 3 3 2 3 2" xfId="3385"/>
    <cellStyle name="Normal 3 3 3 2 4" xfId="2807"/>
    <cellStyle name="Normal 3 3 3 2 5" xfId="4756"/>
    <cellStyle name="Normal 3 3 3 2 6" xfId="5737"/>
    <cellStyle name="Normal 3 3 3 3" xfId="667"/>
    <cellStyle name="Normal 3 3 3 3 2" xfId="1890"/>
    <cellStyle name="Normal 3 3 3 3 2 2" xfId="3656"/>
    <cellStyle name="Normal 3 3 3 3 3" xfId="2552"/>
    <cellStyle name="Normal 3 3 3 3 4" xfId="5027"/>
    <cellStyle name="Normal 3 3 3 3 5" xfId="5738"/>
    <cellStyle name="Normal 3 3 3 4" xfId="1695"/>
    <cellStyle name="Normal 3 3 3 5" xfId="1322"/>
    <cellStyle name="Normal 3 3 3 5 2" xfId="3129"/>
    <cellStyle name="Normal 3 3 3 6" xfId="4500"/>
    <cellStyle name="Normal 3 3 4" xfId="668"/>
    <cellStyle name="Normal 3 3 4 2" xfId="996"/>
    <cellStyle name="Normal 3 3 4 2 2" xfId="2138"/>
    <cellStyle name="Normal 3 3 4 2 2 2" xfId="3901"/>
    <cellStyle name="Normal 3 3 4 2 2 3" xfId="5272"/>
    <cellStyle name="Normal 3 3 4 2 3" xfId="1579"/>
    <cellStyle name="Normal 3 3 4 2 3 2" xfId="3386"/>
    <cellStyle name="Normal 3 3 4 2 4" xfId="2808"/>
    <cellStyle name="Normal 3 3 4 2 5" xfId="4757"/>
    <cellStyle name="Normal 3 3 4 2 6" xfId="5740"/>
    <cellStyle name="Normal 3 3 4 3" xfId="1891"/>
    <cellStyle name="Normal 3 3 4 3 2" xfId="3657"/>
    <cellStyle name="Normal 3 3 4 3 3" xfId="5028"/>
    <cellStyle name="Normal 3 3 4 4" xfId="1323"/>
    <cellStyle name="Normal 3 3 4 4 2" xfId="3130"/>
    <cellStyle name="Normal 3 3 4 5" xfId="2553"/>
    <cellStyle name="Normal 3 3 4 6" xfId="4501"/>
    <cellStyle name="Normal 3 3 4 7" xfId="5739"/>
    <cellStyle name="Normal 3 3 5" xfId="669"/>
    <cellStyle name="Normal 3 3 5 2" xfId="997"/>
    <cellStyle name="Normal 3 3 5 2 2" xfId="2139"/>
    <cellStyle name="Normal 3 3 5 2 2 2" xfId="3902"/>
    <cellStyle name="Normal 3 3 5 2 2 3" xfId="5273"/>
    <cellStyle name="Normal 3 3 5 2 3" xfId="1580"/>
    <cellStyle name="Normal 3 3 5 2 3 2" xfId="3387"/>
    <cellStyle name="Normal 3 3 5 2 4" xfId="2809"/>
    <cellStyle name="Normal 3 3 5 2 5" xfId="4758"/>
    <cellStyle name="Normal 3 3 5 2 6" xfId="5742"/>
    <cellStyle name="Normal 3 3 5 3" xfId="1892"/>
    <cellStyle name="Normal 3 3 5 3 2" xfId="3658"/>
    <cellStyle name="Normal 3 3 5 3 3" xfId="5029"/>
    <cellStyle name="Normal 3 3 5 4" xfId="1324"/>
    <cellStyle name="Normal 3 3 5 4 2" xfId="3131"/>
    <cellStyle name="Normal 3 3 5 5" xfId="2554"/>
    <cellStyle name="Normal 3 3 5 6" xfId="4502"/>
    <cellStyle name="Normal 3 3 5 7" xfId="5741"/>
    <cellStyle name="Normal 3 3 6" xfId="770"/>
    <cellStyle name="Normal 3 3 7" xfId="331"/>
    <cellStyle name="Normal 3 4" xfId="116"/>
    <cellStyle name="Normal 3 4 10" xfId="4083"/>
    <cellStyle name="Normal 3 4 11" xfId="4160"/>
    <cellStyle name="Normal 3 4 12" xfId="4237"/>
    <cellStyle name="Normal 3 4 13" xfId="4314"/>
    <cellStyle name="Normal 3 4 14" xfId="5743"/>
    <cellStyle name="Normal 3 4 15" xfId="5858"/>
    <cellStyle name="Normal 3 4 16" xfId="5995"/>
    <cellStyle name="Normal 3 4 2" xfId="142"/>
    <cellStyle name="Normal 3 4 2 2" xfId="999"/>
    <cellStyle name="Normal 3 4 2 2 2" xfId="2141"/>
    <cellStyle name="Normal 3 4 2 2 2 2" xfId="3904"/>
    <cellStyle name="Normal 3 4 2 2 2 3" xfId="5275"/>
    <cellStyle name="Normal 3 4 2 2 3" xfId="1582"/>
    <cellStyle name="Normal 3 4 2 2 3 2" xfId="3389"/>
    <cellStyle name="Normal 3 4 2 2 4" xfId="2811"/>
    <cellStyle name="Normal 3 4 2 2 5" xfId="4760"/>
    <cellStyle name="Normal 3 4 2 2 6" xfId="5744"/>
    <cellStyle name="Normal 3 4 2 3" xfId="671"/>
    <cellStyle name="Normal 3 4 2 3 2" xfId="1894"/>
    <cellStyle name="Normal 3 4 2 3 2 2" xfId="3660"/>
    <cellStyle name="Normal 3 4 2 3 3" xfId="2556"/>
    <cellStyle name="Normal 3 4 2 3 4" xfId="5031"/>
    <cellStyle name="Normal 3 4 2 3 5" xfId="5745"/>
    <cellStyle name="Normal 3 4 2 4" xfId="1697"/>
    <cellStyle name="Normal 3 4 2 5" xfId="1326"/>
    <cellStyle name="Normal 3 4 2 5 2" xfId="3133"/>
    <cellStyle name="Normal 3 4 2 6" xfId="4504"/>
    <cellStyle name="Normal 3 4 3" xfId="203"/>
    <cellStyle name="Normal 3 4 3 10" xfId="4267"/>
    <cellStyle name="Normal 3 4 3 11" xfId="4505"/>
    <cellStyle name="Normal 3 4 3 12" xfId="5746"/>
    <cellStyle name="Normal 3 4 3 13" xfId="5900"/>
    <cellStyle name="Normal 3 4 3 2" xfId="267"/>
    <cellStyle name="Normal 3 4 3 2 2" xfId="1000"/>
    <cellStyle name="Normal 3 4 3 2 2 2" xfId="2142"/>
    <cellStyle name="Normal 3 4 3 2 2 2 2" xfId="3905"/>
    <cellStyle name="Normal 3 4 3 2 2 3" xfId="2812"/>
    <cellStyle name="Normal 3 4 3 2 2 4" xfId="5276"/>
    <cellStyle name="Normal 3 4 3 2 3" xfId="1583"/>
    <cellStyle name="Normal 3 4 3 2 3 2" xfId="3390"/>
    <cellStyle name="Normal 3 4 3 2 4" xfId="2329"/>
    <cellStyle name="Normal 3 4 3 2 5" xfId="4761"/>
    <cellStyle name="Normal 3 4 3 2 6" xfId="5747"/>
    <cellStyle name="Normal 3 4 3 2 7" xfId="5965"/>
    <cellStyle name="Normal 3 4 3 3" xfId="672"/>
    <cellStyle name="Normal 3 4 3 3 2" xfId="1698"/>
    <cellStyle name="Normal 3 4 3 3 2 2" xfId="3479"/>
    <cellStyle name="Normal 3 4 3 3 3" xfId="2557"/>
    <cellStyle name="Normal 3 4 3 3 4" xfId="4850"/>
    <cellStyle name="Normal 3 4 3 4" xfId="1093"/>
    <cellStyle name="Normal 3 4 3 4 2" xfId="2902"/>
    <cellStyle name="Normal 3 4 3 5" xfId="1327"/>
    <cellStyle name="Normal 3 4 3 5 2" xfId="3134"/>
    <cellStyle name="Normal 3 4 3 6" xfId="2273"/>
    <cellStyle name="Normal 3 4 3 7" xfId="4035"/>
    <cellStyle name="Normal 3 4 3 8" xfId="4113"/>
    <cellStyle name="Normal 3 4 3 9" xfId="4190"/>
    <cellStyle name="Normal 3 4 4" xfId="237"/>
    <cellStyle name="Normal 3 4 4 2" xfId="998"/>
    <cellStyle name="Normal 3 4 4 2 2" xfId="2140"/>
    <cellStyle name="Normal 3 4 4 2 2 2" xfId="3903"/>
    <cellStyle name="Normal 3 4 4 2 2 3" xfId="5274"/>
    <cellStyle name="Normal 3 4 4 2 3" xfId="1581"/>
    <cellStyle name="Normal 3 4 4 2 3 2" xfId="3388"/>
    <cellStyle name="Normal 3 4 4 2 4" xfId="2810"/>
    <cellStyle name="Normal 3 4 4 2 5" xfId="4759"/>
    <cellStyle name="Normal 3 4 4 2 6" xfId="5749"/>
    <cellStyle name="Normal 3 4 4 3" xfId="670"/>
    <cellStyle name="Normal 3 4 4 3 2" xfId="1893"/>
    <cellStyle name="Normal 3 4 4 3 2 2" xfId="3659"/>
    <cellStyle name="Normal 3 4 4 3 3" xfId="2555"/>
    <cellStyle name="Normal 3 4 4 3 4" xfId="5030"/>
    <cellStyle name="Normal 3 4 4 4" xfId="1325"/>
    <cellStyle name="Normal 3 4 4 4 2" xfId="3132"/>
    <cellStyle name="Normal 3 4 4 5" xfId="2299"/>
    <cellStyle name="Normal 3 4 4 6" xfId="4503"/>
    <cellStyle name="Normal 3 4 4 7" xfId="5748"/>
    <cellStyle name="Normal 3 4 5" xfId="287"/>
    <cellStyle name="Normal 3 4 5 2" xfId="1942"/>
    <cellStyle name="Normal 3 4 5 2 2" xfId="3705"/>
    <cellStyle name="Normal 3 4 5 2 3" xfId="5076"/>
    <cellStyle name="Normal 3 4 5 3" xfId="1380"/>
    <cellStyle name="Normal 3 4 5 3 2" xfId="3187"/>
    <cellStyle name="Normal 3 4 5 4" xfId="2347"/>
    <cellStyle name="Normal 3 4 5 5" xfId="4558"/>
    <cellStyle name="Normal 3 4 5 6" xfId="5750"/>
    <cellStyle name="Normal 3 4 6" xfId="1696"/>
    <cellStyle name="Normal 3 4 6 2" xfId="3478"/>
    <cellStyle name="Normal 3 4 6 3" xfId="4849"/>
    <cellStyle name="Normal 3 4 7" xfId="1124"/>
    <cellStyle name="Normal 3 4 7 2" xfId="2931"/>
    <cellStyle name="Normal 3 4 8" xfId="2244"/>
    <cellStyle name="Normal 3 4 9" xfId="4005"/>
    <cellStyle name="Normal 3 5" xfId="50"/>
    <cellStyle name="Normal 3 5 2" xfId="138"/>
    <cellStyle name="Normal 3 5 2 10" xfId="4248"/>
    <cellStyle name="Normal 3 5 2 11" xfId="4507"/>
    <cellStyle name="Normal 3 5 2 12" xfId="5751"/>
    <cellStyle name="Normal 3 5 2 13" xfId="5910"/>
    <cellStyle name="Normal 3 5 2 2" xfId="248"/>
    <cellStyle name="Normal 3 5 2 2 2" xfId="1002"/>
    <cellStyle name="Normal 3 5 2 2 2 2" xfId="2144"/>
    <cellStyle name="Normal 3 5 2 2 2 2 2" xfId="3907"/>
    <cellStyle name="Normal 3 5 2 2 2 3" xfId="2814"/>
    <cellStyle name="Normal 3 5 2 2 2 4" xfId="5278"/>
    <cellStyle name="Normal 3 5 2 2 3" xfId="1585"/>
    <cellStyle name="Normal 3 5 2 2 3 2" xfId="3392"/>
    <cellStyle name="Normal 3 5 2 2 4" xfId="2310"/>
    <cellStyle name="Normal 3 5 2 2 5" xfId="4763"/>
    <cellStyle name="Normal 3 5 2 2 6" xfId="5752"/>
    <cellStyle name="Normal 3 5 2 2 7" xfId="5974"/>
    <cellStyle name="Normal 3 5 2 3" xfId="674"/>
    <cellStyle name="Normal 3 5 2 3 2" xfId="1700"/>
    <cellStyle name="Normal 3 5 2 3 2 2" xfId="3480"/>
    <cellStyle name="Normal 3 5 2 3 3" xfId="2559"/>
    <cellStyle name="Normal 3 5 2 3 4" xfId="4851"/>
    <cellStyle name="Normal 3 5 2 4" xfId="1102"/>
    <cellStyle name="Normal 3 5 2 4 2" xfId="2911"/>
    <cellStyle name="Normal 3 5 2 5" xfId="1329"/>
    <cellStyle name="Normal 3 5 2 5 2" xfId="3136"/>
    <cellStyle name="Normal 3 5 2 6" xfId="2253"/>
    <cellStyle name="Normal 3 5 2 7" xfId="4016"/>
    <cellStyle name="Normal 3 5 2 8" xfId="4094"/>
    <cellStyle name="Normal 3 5 2 9" xfId="4171"/>
    <cellStyle name="Normal 3 5 3" xfId="196"/>
    <cellStyle name="Normal 3 5 3 2" xfId="1003"/>
    <cellStyle name="Normal 3 5 3 2 2" xfId="2145"/>
    <cellStyle name="Normal 3 5 3 2 2 2" xfId="3908"/>
    <cellStyle name="Normal 3 5 3 2 2 3" xfId="5279"/>
    <cellStyle name="Normal 3 5 3 2 3" xfId="1586"/>
    <cellStyle name="Normal 3 5 3 2 3 2" xfId="3393"/>
    <cellStyle name="Normal 3 5 3 2 4" xfId="2815"/>
    <cellStyle name="Normal 3 5 3 2 5" xfId="4764"/>
    <cellStyle name="Normal 3 5 3 2 6" xfId="5753"/>
    <cellStyle name="Normal 3 5 3 3" xfId="675"/>
    <cellStyle name="Normal 3 5 3 3 2" xfId="1895"/>
    <cellStyle name="Normal 3 5 3 3 2 2" xfId="3661"/>
    <cellStyle name="Normal 3 5 3 3 3" xfId="2560"/>
    <cellStyle name="Normal 3 5 3 3 4" xfId="5032"/>
    <cellStyle name="Normal 3 5 3 3 5" xfId="5754"/>
    <cellStyle name="Normal 3 5 3 4" xfId="1701"/>
    <cellStyle name="Normal 3 5 3 5" xfId="1330"/>
    <cellStyle name="Normal 3 5 3 5 2" xfId="3137"/>
    <cellStyle name="Normal 3 5 3 6" xfId="4508"/>
    <cellStyle name="Normal 3 5 4" xfId="1001"/>
    <cellStyle name="Normal 3 5 4 2" xfId="2143"/>
    <cellStyle name="Normal 3 5 4 2 2" xfId="3906"/>
    <cellStyle name="Normal 3 5 4 2 3" xfId="5277"/>
    <cellStyle name="Normal 3 5 4 3" xfId="1584"/>
    <cellStyle name="Normal 3 5 4 3 2" xfId="3391"/>
    <cellStyle name="Normal 3 5 4 4" xfId="2813"/>
    <cellStyle name="Normal 3 5 4 5" xfId="4762"/>
    <cellStyle name="Normal 3 5 4 6" xfId="5755"/>
    <cellStyle name="Normal 3 5 4 7" xfId="5944"/>
    <cellStyle name="Normal 3 5 5" xfId="673"/>
    <cellStyle name="Normal 3 5 5 2" xfId="1699"/>
    <cellStyle name="Normal 3 5 5 3" xfId="2558"/>
    <cellStyle name="Normal 3 5 6" xfId="1071"/>
    <cellStyle name="Normal 3 5 6 2" xfId="2881"/>
    <cellStyle name="Normal 3 5 7" xfId="1328"/>
    <cellStyle name="Normal 3 5 7 2" xfId="3135"/>
    <cellStyle name="Normal 3 5 8" xfId="4506"/>
    <cellStyle name="Normal 3 5 9" xfId="5891"/>
    <cellStyle name="Normal 3 6" xfId="192"/>
    <cellStyle name="Normal 3 6 10" xfId="4260"/>
    <cellStyle name="Normal 3 6 11" xfId="4509"/>
    <cellStyle name="Normal 3 6 12" xfId="5756"/>
    <cellStyle name="Normal 3 6 13" xfId="5892"/>
    <cellStyle name="Normal 3 6 2" xfId="260"/>
    <cellStyle name="Normal 3 6 2 2" xfId="1004"/>
    <cellStyle name="Normal 3 6 2 2 2" xfId="2146"/>
    <cellStyle name="Normal 3 6 2 2 2 2" xfId="3909"/>
    <cellStyle name="Normal 3 6 2 2 3" xfId="2816"/>
    <cellStyle name="Normal 3 6 2 2 4" xfId="5280"/>
    <cellStyle name="Normal 3 6 2 3" xfId="1587"/>
    <cellStyle name="Normal 3 6 2 3 2" xfId="3394"/>
    <cellStyle name="Normal 3 6 2 4" xfId="2322"/>
    <cellStyle name="Normal 3 6 2 5" xfId="4765"/>
    <cellStyle name="Normal 3 6 2 6" xfId="5757"/>
    <cellStyle name="Normal 3 6 2 7" xfId="5957"/>
    <cellStyle name="Normal 3 6 3" xfId="676"/>
    <cellStyle name="Normal 3 6 3 2" xfId="1702"/>
    <cellStyle name="Normal 3 6 3 2 2" xfId="3481"/>
    <cellStyle name="Normal 3 6 3 3" xfId="2561"/>
    <cellStyle name="Normal 3 6 3 4" xfId="4852"/>
    <cellStyle name="Normal 3 6 4" xfId="1084"/>
    <cellStyle name="Normal 3 6 4 2" xfId="2894"/>
    <cellStyle name="Normal 3 6 5" xfId="1331"/>
    <cellStyle name="Normal 3 6 5 2" xfId="3138"/>
    <cellStyle name="Normal 3 6 6" xfId="2266"/>
    <cellStyle name="Normal 3 6 7" xfId="4028"/>
    <cellStyle name="Normal 3 6 8" xfId="4106"/>
    <cellStyle name="Normal 3 6 9" xfId="4183"/>
    <cellStyle name="Normal 3 7" xfId="677"/>
    <cellStyle name="Normal 3 7 2" xfId="1005"/>
    <cellStyle name="Normal 3 7 2 2" xfId="2147"/>
    <cellStyle name="Normal 3 7 2 2 2" xfId="3910"/>
    <cellStyle name="Normal 3 7 2 2 3" xfId="5281"/>
    <cellStyle name="Normal 3 7 2 3" xfId="1588"/>
    <cellStyle name="Normal 3 7 2 3 2" xfId="3395"/>
    <cellStyle name="Normal 3 7 2 4" xfId="2817"/>
    <cellStyle name="Normal 3 7 2 5" xfId="4766"/>
    <cellStyle name="Normal 3 7 2 6" xfId="5759"/>
    <cellStyle name="Normal 3 7 3" xfId="1896"/>
    <cellStyle name="Normal 3 7 3 2" xfId="3662"/>
    <cellStyle name="Normal 3 7 3 3" xfId="5033"/>
    <cellStyle name="Normal 3 7 4" xfId="1332"/>
    <cellStyle name="Normal 3 7 4 2" xfId="3139"/>
    <cellStyle name="Normal 3 7 5" xfId="2562"/>
    <cellStyle name="Normal 3 7 6" xfId="4510"/>
    <cellStyle name="Normal 3 7 7" xfId="5758"/>
    <cellStyle name="Normal 3 8" xfId="678"/>
    <cellStyle name="Normal 3 9" xfId="679"/>
    <cellStyle name="Normal 3 9 2" xfId="1006"/>
    <cellStyle name="Normal 3 9 2 2" xfId="2148"/>
    <cellStyle name="Normal 3 9 2 2 2" xfId="3911"/>
    <cellStyle name="Normal 3 9 2 2 3" xfId="5282"/>
    <cellStyle name="Normal 3 9 2 3" xfId="1589"/>
    <cellStyle name="Normal 3 9 2 3 2" xfId="3396"/>
    <cellStyle name="Normal 3 9 2 4" xfId="2818"/>
    <cellStyle name="Normal 3 9 2 5" xfId="4767"/>
    <cellStyle name="Normal 3 9 2 6" xfId="5761"/>
    <cellStyle name="Normal 3 9 3" xfId="1897"/>
    <cellStyle name="Normal 3 9 3 2" xfId="3663"/>
    <cellStyle name="Normal 3 9 3 3" xfId="5034"/>
    <cellStyle name="Normal 3 9 4" xfId="1333"/>
    <cellStyle name="Normal 3 9 4 2" xfId="3140"/>
    <cellStyle name="Normal 3 9 5" xfId="2563"/>
    <cellStyle name="Normal 3 9 6" xfId="4511"/>
    <cellStyle name="Normal 3 9 7" xfId="5760"/>
    <cellStyle name="Normal 4" xfId="45"/>
    <cellStyle name="Normal 4 2" xfId="51"/>
    <cellStyle name="Normal 4 2 2" xfId="681"/>
    <cellStyle name="Normal 4 2 3" xfId="768"/>
    <cellStyle name="Normal 4 2 4" xfId="680"/>
    <cellStyle name="Normal 4 3" xfId="108"/>
    <cellStyle name="Normal 4 4" xfId="187"/>
    <cellStyle name="Normal 4 5" xfId="5762"/>
    <cellStyle name="Normal 5" xfId="57"/>
    <cellStyle name="Normal 5 2" xfId="52"/>
    <cellStyle name="Normal 5 2 2" xfId="162"/>
    <cellStyle name="Normal 5 2 2 2" xfId="683"/>
    <cellStyle name="Normal 5 2 2 3" xfId="1703"/>
    <cellStyle name="Normal 5 2 3" xfId="158"/>
    <cellStyle name="Normal 5 2 3 2" xfId="685"/>
    <cellStyle name="Normal 5 2 3 3" xfId="684"/>
    <cellStyle name="Normal 5 2 3 4" xfId="1704"/>
    <cellStyle name="Normal 5 2 4" xfId="686"/>
    <cellStyle name="Normal 5 2 5" xfId="769"/>
    <cellStyle name="Normal 5 2 6" xfId="682"/>
    <cellStyle name="Normal 5 3" xfId="109"/>
    <cellStyle name="Normal 5 3 2" xfId="778"/>
    <cellStyle name="Normal 5 3 3" xfId="687"/>
    <cellStyle name="Normal 5 3 4" xfId="5855"/>
    <cellStyle name="Normal 5 4" xfId="166"/>
    <cellStyle name="Normal 5 5" xfId="151"/>
    <cellStyle name="Normal 6" xfId="53"/>
    <cellStyle name="Normal 6 2" xfId="60"/>
    <cellStyle name="Normal 6 3" xfId="134"/>
    <cellStyle name="Normal 7" xfId="46"/>
    <cellStyle name="Normal 7 2" xfId="65"/>
    <cellStyle name="Normal 7 2 10" xfId="2241"/>
    <cellStyle name="Normal 7 2 11" xfId="4002"/>
    <cellStyle name="Normal 7 2 12" xfId="4080"/>
    <cellStyle name="Normal 7 2 13" xfId="4157"/>
    <cellStyle name="Normal 7 2 14" xfId="4234"/>
    <cellStyle name="Normal 7 2 15" xfId="4311"/>
    <cellStyle name="Normal 7 2 16" xfId="5763"/>
    <cellStyle name="Normal 7 2 17" xfId="5878"/>
    <cellStyle name="Normal 7 2 2" xfId="129"/>
    <cellStyle name="Normal 7 2 2 10" xfId="4092"/>
    <cellStyle name="Normal 7 2 2 11" xfId="4169"/>
    <cellStyle name="Normal 7 2 2 12" xfId="4246"/>
    <cellStyle name="Normal 7 2 2 13" xfId="4321"/>
    <cellStyle name="Normal 7 2 2 14" xfId="5764"/>
    <cellStyle name="Normal 7 2 2 15" xfId="5908"/>
    <cellStyle name="Normal 7 2 2 2" xfId="246"/>
    <cellStyle name="Normal 7 2 2 2 2" xfId="1045"/>
    <cellStyle name="Normal 7 2 2 2 2 2" xfId="2187"/>
    <cellStyle name="Normal 7 2 2 2 2 2 2" xfId="3950"/>
    <cellStyle name="Normal 7 2 2 2 2 2 3" xfId="5321"/>
    <cellStyle name="Normal 7 2 2 2 2 3" xfId="1628"/>
    <cellStyle name="Normal 7 2 2 2 2 3 2" xfId="3435"/>
    <cellStyle name="Normal 7 2 2 2 2 4" xfId="2857"/>
    <cellStyle name="Normal 7 2 2 2 2 5" xfId="4806"/>
    <cellStyle name="Normal 7 2 2 2 2 6" xfId="5766"/>
    <cellStyle name="Normal 7 2 2 2 3" xfId="787"/>
    <cellStyle name="Normal 7 2 2 2 3 2" xfId="1935"/>
    <cellStyle name="Normal 7 2 2 2 3 2 2" xfId="3699"/>
    <cellStyle name="Normal 7 2 2 2 3 3" xfId="2602"/>
    <cellStyle name="Normal 7 2 2 2 3 4" xfId="5070"/>
    <cellStyle name="Normal 7 2 2 2 4" xfId="1372"/>
    <cellStyle name="Normal 7 2 2 2 4 2" xfId="3179"/>
    <cellStyle name="Normal 7 2 2 2 5" xfId="2308"/>
    <cellStyle name="Normal 7 2 2 2 6" xfId="4550"/>
    <cellStyle name="Normal 7 2 2 2 7" xfId="5765"/>
    <cellStyle name="Normal 7 2 2 2 8" xfId="5972"/>
    <cellStyle name="Normal 7 2 2 3" xfId="690"/>
    <cellStyle name="Normal 7 2 2 4" xfId="804"/>
    <cellStyle name="Normal 7 2 2 4 2" xfId="1949"/>
    <cellStyle name="Normal 7 2 2 4 2 2" xfId="3712"/>
    <cellStyle name="Normal 7 2 2 4 2 3" xfId="5083"/>
    <cellStyle name="Normal 7 2 2 4 3" xfId="1387"/>
    <cellStyle name="Normal 7 2 2 4 3 2" xfId="3194"/>
    <cellStyle name="Normal 7 2 2 4 4" xfId="2616"/>
    <cellStyle name="Normal 7 2 2 4 5" xfId="4565"/>
    <cellStyle name="Normal 7 2 2 4 6" xfId="5767"/>
    <cellStyle name="Normal 7 2 2 5" xfId="302"/>
    <cellStyle name="Normal 7 2 2 5 2" xfId="1706"/>
    <cellStyle name="Normal 7 2 2 5 2 2" xfId="3483"/>
    <cellStyle name="Normal 7 2 2 5 3" xfId="2361"/>
    <cellStyle name="Normal 7 2 2 5 4" xfId="4854"/>
    <cellStyle name="Normal 7 2 2 6" xfId="1100"/>
    <cellStyle name="Normal 7 2 2 6 2" xfId="2909"/>
    <cellStyle name="Normal 7 2 2 7" xfId="1131"/>
    <cellStyle name="Normal 7 2 2 7 2" xfId="2938"/>
    <cellStyle name="Normal 7 2 2 8" xfId="2251"/>
    <cellStyle name="Normal 7 2 2 9" xfId="4014"/>
    <cellStyle name="Normal 7 2 3" xfId="200"/>
    <cellStyle name="Normal 7 2 3 10" xfId="4264"/>
    <cellStyle name="Normal 7 2 3 11" xfId="5768"/>
    <cellStyle name="Normal 7 2 3 12" xfId="5897"/>
    <cellStyle name="Normal 7 2 3 2" xfId="264"/>
    <cellStyle name="Normal 7 2 3 2 2" xfId="1898"/>
    <cellStyle name="Normal 7 2 3 2 3" xfId="2326"/>
    <cellStyle name="Normal 7 2 3 2 4" xfId="5962"/>
    <cellStyle name="Normal 7 2 3 3" xfId="691"/>
    <cellStyle name="Normal 7 2 3 3 2" xfId="1707"/>
    <cellStyle name="Normal 7 2 3 3 2 2" xfId="3484"/>
    <cellStyle name="Normal 7 2 3 3 3" xfId="4855"/>
    <cellStyle name="Normal 7 2 3 4" xfId="1050"/>
    <cellStyle name="Normal 7 2 3 4 2" xfId="2861"/>
    <cellStyle name="Normal 7 2 3 5" xfId="1090"/>
    <cellStyle name="Normal 7 2 3 5 2" xfId="2899"/>
    <cellStyle name="Normal 7 2 3 6" xfId="2270"/>
    <cellStyle name="Normal 7 2 3 7" xfId="4032"/>
    <cellStyle name="Normal 7 2 3 8" xfId="4110"/>
    <cellStyle name="Normal 7 2 3 9" xfId="4187"/>
    <cellStyle name="Normal 7 2 4" xfId="234"/>
    <cellStyle name="Normal 7 2 4 2" xfId="1041"/>
    <cellStyle name="Normal 7 2 4 2 2" xfId="2183"/>
    <cellStyle name="Normal 7 2 4 2 2 2" xfId="3946"/>
    <cellStyle name="Normal 7 2 4 2 2 3" xfId="5317"/>
    <cellStyle name="Normal 7 2 4 2 3" xfId="1624"/>
    <cellStyle name="Normal 7 2 4 2 3 2" xfId="3431"/>
    <cellStyle name="Normal 7 2 4 2 4" xfId="2853"/>
    <cellStyle name="Normal 7 2 4 2 5" xfId="4802"/>
    <cellStyle name="Normal 7 2 4 2 6" xfId="5770"/>
    <cellStyle name="Normal 7 2 4 3" xfId="776"/>
    <cellStyle name="Normal 7 2 4 3 2" xfId="1931"/>
    <cellStyle name="Normal 7 2 4 3 2 2" xfId="3696"/>
    <cellStyle name="Normal 7 2 4 3 3" xfId="2598"/>
    <cellStyle name="Normal 7 2 4 3 4" xfId="5067"/>
    <cellStyle name="Normal 7 2 4 4" xfId="1368"/>
    <cellStyle name="Normal 7 2 4 4 2" xfId="3175"/>
    <cellStyle name="Normal 7 2 4 5" xfId="2296"/>
    <cellStyle name="Normal 7 2 4 6" xfId="4546"/>
    <cellStyle name="Normal 7 2 4 7" xfId="5769"/>
    <cellStyle name="Normal 7 2 4 8" xfId="5931"/>
    <cellStyle name="Normal 7 2 5" xfId="689"/>
    <cellStyle name="Normal 7 2 6" xfId="795"/>
    <cellStyle name="Normal 7 2 6 2" xfId="1939"/>
    <cellStyle name="Normal 7 2 6 2 2" xfId="3702"/>
    <cellStyle name="Normal 7 2 6 2 3" xfId="5073"/>
    <cellStyle name="Normal 7 2 6 3" xfId="1377"/>
    <cellStyle name="Normal 7 2 6 3 2" xfId="3184"/>
    <cellStyle name="Normal 7 2 6 4" xfId="2607"/>
    <cellStyle name="Normal 7 2 6 5" xfId="4555"/>
    <cellStyle name="Normal 7 2 6 6" xfId="5771"/>
    <cellStyle name="Normal 7 2 7" xfId="294"/>
    <cellStyle name="Normal 7 2 7 2" xfId="1705"/>
    <cellStyle name="Normal 7 2 7 2 2" xfId="3482"/>
    <cellStyle name="Normal 7 2 7 3" xfId="2353"/>
    <cellStyle name="Normal 7 2 7 4" xfId="4853"/>
    <cellStyle name="Normal 7 2 8" xfId="1058"/>
    <cellStyle name="Normal 7 2 8 2" xfId="2868"/>
    <cellStyle name="Normal 7 2 9" xfId="1121"/>
    <cellStyle name="Normal 7 2 9 2" xfId="2928"/>
    <cellStyle name="Normal 7 3" xfId="178"/>
    <cellStyle name="Normal 7 3 2" xfId="185"/>
    <cellStyle name="Normal 7 3 2 10" xfId="4254"/>
    <cellStyle name="Normal 7 3 2 11" xfId="4856"/>
    <cellStyle name="Normal 7 3 2 12" xfId="5772"/>
    <cellStyle name="Normal 7 3 2 13" xfId="5918"/>
    <cellStyle name="Normal 7 3 2 2" xfId="254"/>
    <cellStyle name="Normal 7 3 2 2 2" xfId="2316"/>
    <cellStyle name="Normal 7 3 2 2 3" xfId="5981"/>
    <cellStyle name="Normal 7 3 2 3" xfId="292"/>
    <cellStyle name="Normal 7 3 2 3 2" xfId="2351"/>
    <cellStyle name="Normal 7 3 2 4" xfId="1109"/>
    <cellStyle name="Normal 7 3 2 4 2" xfId="2918"/>
    <cellStyle name="Normal 7 3 2 5" xfId="1709"/>
    <cellStyle name="Normal 7 3 2 5 2" xfId="3485"/>
    <cellStyle name="Normal 7 3 2 6" xfId="2260"/>
    <cellStyle name="Normal 7 3 2 7" xfId="4022"/>
    <cellStyle name="Normal 7 3 2 8" xfId="4100"/>
    <cellStyle name="Normal 7 3 2 9" xfId="4177"/>
    <cellStyle name="Normal 7 3 3" xfId="214"/>
    <cellStyle name="Normal 7 3 4" xfId="692"/>
    <cellStyle name="Normal 7 3 4 2" xfId="5928"/>
    <cellStyle name="Normal 7 3 5" xfId="1055"/>
    <cellStyle name="Normal 7 3 5 2" xfId="1708"/>
    <cellStyle name="Normal 7 3 5 3" xfId="2865"/>
    <cellStyle name="Normal 7 3 6" xfId="5875"/>
    <cellStyle name="Normal 7 4" xfId="160"/>
    <cellStyle name="Normal 7 4 2" xfId="190"/>
    <cellStyle name="Normal 7 4 2 10" xfId="4258"/>
    <cellStyle name="Normal 7 4 2 11" xfId="4857"/>
    <cellStyle name="Normal 7 4 2 12" xfId="5773"/>
    <cellStyle name="Normal 7 4 2 13" xfId="5922"/>
    <cellStyle name="Normal 7 4 2 2" xfId="258"/>
    <cellStyle name="Normal 7 4 2 2 2" xfId="2320"/>
    <cellStyle name="Normal 7 4 2 2 3" xfId="5985"/>
    <cellStyle name="Normal 7 4 2 3" xfId="1048"/>
    <cellStyle name="Normal 7 4 2 3 2" xfId="2859"/>
    <cellStyle name="Normal 7 4 2 4" xfId="1113"/>
    <cellStyle name="Normal 7 4 2 4 2" xfId="2922"/>
    <cellStyle name="Normal 7 4 2 5" xfId="1711"/>
    <cellStyle name="Normal 7 4 2 5 2" xfId="3486"/>
    <cellStyle name="Normal 7 4 2 6" xfId="2264"/>
    <cellStyle name="Normal 7 4 2 7" xfId="4026"/>
    <cellStyle name="Normal 7 4 2 8" xfId="4104"/>
    <cellStyle name="Normal 7 4 2 9" xfId="4181"/>
    <cellStyle name="Normal 7 4 3" xfId="211"/>
    <cellStyle name="Normal 7 4 4" xfId="766"/>
    <cellStyle name="Normal 7 4 4 2" xfId="5941"/>
    <cellStyle name="Normal 7 4 5" xfId="1068"/>
    <cellStyle name="Normal 7 4 5 2" xfId="1710"/>
    <cellStyle name="Normal 7 4 5 3" xfId="2878"/>
    <cellStyle name="Normal 7 4 6" xfId="5888"/>
    <cellStyle name="Normal 7 5" xfId="194"/>
    <cellStyle name="Normal 7 5 2" xfId="688"/>
    <cellStyle name="Normal 7 5 3" xfId="1712"/>
    <cellStyle name="Normal 7 6" xfId="1052"/>
    <cellStyle name="Normal 7 6 2" xfId="2862"/>
    <cellStyle name="Normal 7 6 3" xfId="5925"/>
    <cellStyle name="Normal 7 7" xfId="5871"/>
    <cellStyle name="Normal 8" xfId="63"/>
    <cellStyle name="Normal 8 2" xfId="170"/>
    <cellStyle name="Normal 8 2 2" xfId="695"/>
    <cellStyle name="Normal 8 2 3" xfId="1008"/>
    <cellStyle name="Normal 8 2 3 2" xfId="2150"/>
    <cellStyle name="Normal 8 2 3 2 2" xfId="3913"/>
    <cellStyle name="Normal 8 2 3 2 3" xfId="5284"/>
    <cellStyle name="Normal 8 2 3 3" xfId="1591"/>
    <cellStyle name="Normal 8 2 3 3 2" xfId="3398"/>
    <cellStyle name="Normal 8 2 3 4" xfId="2820"/>
    <cellStyle name="Normal 8 2 3 5" xfId="4769"/>
    <cellStyle name="Normal 8 2 3 6" xfId="5774"/>
    <cellStyle name="Normal 8 2 4" xfId="694"/>
    <cellStyle name="Normal 8 2 4 2" xfId="1900"/>
    <cellStyle name="Normal 8 2 4 2 2" xfId="3665"/>
    <cellStyle name="Normal 8 2 4 3" xfId="2565"/>
    <cellStyle name="Normal 8 2 4 4" xfId="5036"/>
    <cellStyle name="Normal 8 2 4 5" xfId="5775"/>
    <cellStyle name="Normal 8 2 5" xfId="1713"/>
    <cellStyle name="Normal 8 2 6" xfId="1335"/>
    <cellStyle name="Normal 8 2 6 2" xfId="3142"/>
    <cellStyle name="Normal 8 2 7" xfId="4513"/>
    <cellStyle name="Normal 8 3" xfId="163"/>
    <cellStyle name="Normal 8 3 2" xfId="1009"/>
    <cellStyle name="Normal 8 3 2 2" xfId="2151"/>
    <cellStyle name="Normal 8 3 2 2 2" xfId="3914"/>
    <cellStyle name="Normal 8 3 2 2 3" xfId="5285"/>
    <cellStyle name="Normal 8 3 2 3" xfId="1592"/>
    <cellStyle name="Normal 8 3 2 3 2" xfId="3399"/>
    <cellStyle name="Normal 8 3 2 4" xfId="2821"/>
    <cellStyle name="Normal 8 3 2 5" xfId="4770"/>
    <cellStyle name="Normal 8 3 2 6" xfId="5776"/>
    <cellStyle name="Normal 8 3 3" xfId="696"/>
    <cellStyle name="Normal 8 3 3 2" xfId="1901"/>
    <cellStyle name="Normal 8 3 3 2 2" xfId="3666"/>
    <cellStyle name="Normal 8 3 3 3" xfId="2566"/>
    <cellStyle name="Normal 8 3 3 4" xfId="5037"/>
    <cellStyle name="Normal 8 3 3 5" xfId="5777"/>
    <cellStyle name="Normal 8 3 4" xfId="1714"/>
    <cellStyle name="Normal 8 3 5" xfId="1336"/>
    <cellStyle name="Normal 8 3 5 2" xfId="3143"/>
    <cellStyle name="Normal 8 3 6" xfId="4514"/>
    <cellStyle name="Normal 8 4" xfId="697"/>
    <cellStyle name="Normal 8 5" xfId="774"/>
    <cellStyle name="Normal 8 6" xfId="693"/>
    <cellStyle name="Normal 8 6 2" xfId="1007"/>
    <cellStyle name="Normal 8 6 2 2" xfId="2149"/>
    <cellStyle name="Normal 8 6 2 2 2" xfId="3912"/>
    <cellStyle name="Normal 8 6 2 2 3" xfId="5283"/>
    <cellStyle name="Normal 8 6 2 3" xfId="1590"/>
    <cellStyle name="Normal 8 6 2 3 2" xfId="3397"/>
    <cellStyle name="Normal 8 6 2 4" xfId="2819"/>
    <cellStyle name="Normal 8 6 2 5" xfId="4768"/>
    <cellStyle name="Normal 8 6 2 6" xfId="5779"/>
    <cellStyle name="Normal 8 6 3" xfId="1899"/>
    <cellStyle name="Normal 8 6 3 2" xfId="3664"/>
    <cellStyle name="Normal 8 6 3 3" xfId="5035"/>
    <cellStyle name="Normal 8 6 4" xfId="1334"/>
    <cellStyle name="Normal 8 6 4 2" xfId="3141"/>
    <cellStyle name="Normal 8 6 5" xfId="2564"/>
    <cellStyle name="Normal 8 6 6" xfId="4512"/>
    <cellStyle name="Normal 8 6 7" xfId="5778"/>
    <cellStyle name="Normal 9" xfId="36"/>
    <cellStyle name="Normal 9 2" xfId="135"/>
    <cellStyle name="Normal 9 2 2" xfId="700"/>
    <cellStyle name="Normal 9 2 2 2" xfId="1010"/>
    <cellStyle name="Normal 9 2 2 2 2" xfId="2152"/>
    <cellStyle name="Normal 9 2 2 2 2 2" xfId="3915"/>
    <cellStyle name="Normal 9 2 2 2 2 3" xfId="5286"/>
    <cellStyle name="Normal 9 2 2 2 3" xfId="1593"/>
    <cellStyle name="Normal 9 2 2 2 3 2" xfId="3400"/>
    <cellStyle name="Normal 9 2 2 2 4" xfId="2822"/>
    <cellStyle name="Normal 9 2 2 2 5" xfId="4771"/>
    <cellStyle name="Normal 9 2 2 2 6" xfId="5781"/>
    <cellStyle name="Normal 9 2 2 3" xfId="1902"/>
    <cellStyle name="Normal 9 2 2 3 2" xfId="3667"/>
    <cellStyle name="Normal 9 2 2 3 3" xfId="5038"/>
    <cellStyle name="Normal 9 2 2 4" xfId="1337"/>
    <cellStyle name="Normal 9 2 2 4 2" xfId="3144"/>
    <cellStyle name="Normal 9 2 2 5" xfId="2567"/>
    <cellStyle name="Normal 9 2 2 6" xfId="4515"/>
    <cellStyle name="Normal 9 2 2 7" xfId="5780"/>
    <cellStyle name="Normal 9 2 3" xfId="699"/>
    <cellStyle name="Normal 9 2 4" xfId="1715"/>
    <cellStyle name="Normal 9 3" xfId="182"/>
    <cellStyle name="Normal 9 3 2" xfId="1011"/>
    <cellStyle name="Normal 9 3 2 2" xfId="2153"/>
    <cellStyle name="Normal 9 3 2 2 2" xfId="3916"/>
    <cellStyle name="Normal 9 3 2 2 3" xfId="5287"/>
    <cellStyle name="Normal 9 3 2 3" xfId="1594"/>
    <cellStyle name="Normal 9 3 2 3 2" xfId="3401"/>
    <cellStyle name="Normal 9 3 2 4" xfId="2823"/>
    <cellStyle name="Normal 9 3 2 5" xfId="4772"/>
    <cellStyle name="Normal 9 3 2 6" xfId="5782"/>
    <cellStyle name="Normal 9 3 3" xfId="701"/>
    <cellStyle name="Normal 9 3 3 2" xfId="1903"/>
    <cellStyle name="Normal 9 3 3 2 2" xfId="3668"/>
    <cellStyle name="Normal 9 3 3 3" xfId="2568"/>
    <cellStyle name="Normal 9 3 3 4" xfId="5039"/>
    <cellStyle name="Normal 9 3 3 5" xfId="5783"/>
    <cellStyle name="Normal 9 3 4" xfId="1716"/>
    <cellStyle name="Normal 9 3 5" xfId="1338"/>
    <cellStyle name="Normal 9 3 5 2" xfId="3145"/>
    <cellStyle name="Normal 9 3 6" xfId="4516"/>
    <cellStyle name="Normal 9 4" xfId="780"/>
    <cellStyle name="Normal 9 5" xfId="698"/>
    <cellStyle name="Note 2" xfId="110"/>
    <cellStyle name="Note 2 2" xfId="702"/>
    <cellStyle name="Note 2 3" xfId="703"/>
    <cellStyle name="Note 2 3 2" xfId="704"/>
    <cellStyle name="Note 2 4" xfId="705"/>
    <cellStyle name="Note 3" xfId="140"/>
    <cellStyle name="Note 3 10" xfId="4017"/>
    <cellStyle name="Note 3 11" xfId="4095"/>
    <cellStyle name="Note 3 12" xfId="4172"/>
    <cellStyle name="Note 3 13" xfId="4249"/>
    <cellStyle name="Note 3 14" xfId="4517"/>
    <cellStyle name="Note 3 15" xfId="5784"/>
    <cellStyle name="Note 3 16" xfId="5911"/>
    <cellStyle name="Note 3 2" xfId="249"/>
    <cellStyle name="Note 3 2 10" xfId="5975"/>
    <cellStyle name="Note 3 2 2" xfId="708"/>
    <cellStyle name="Note 3 2 2 2" xfId="1014"/>
    <cellStyle name="Note 3 2 2 2 2" xfId="2156"/>
    <cellStyle name="Note 3 2 2 2 2 2" xfId="3919"/>
    <cellStyle name="Note 3 2 2 2 2 3" xfId="5290"/>
    <cellStyle name="Note 3 2 2 2 3" xfId="1597"/>
    <cellStyle name="Note 3 2 2 2 3 2" xfId="3404"/>
    <cellStyle name="Note 3 2 2 2 4" xfId="2826"/>
    <cellStyle name="Note 3 2 2 2 5" xfId="4775"/>
    <cellStyle name="Note 3 2 2 2 6" xfId="5787"/>
    <cellStyle name="Note 3 2 2 3" xfId="1905"/>
    <cellStyle name="Note 3 2 2 3 2" xfId="3670"/>
    <cellStyle name="Note 3 2 2 3 3" xfId="5041"/>
    <cellStyle name="Note 3 2 2 4" xfId="1341"/>
    <cellStyle name="Note 3 2 2 4 2" xfId="3148"/>
    <cellStyle name="Note 3 2 2 5" xfId="2571"/>
    <cellStyle name="Note 3 2 2 6" xfId="4519"/>
    <cellStyle name="Note 3 2 2 7" xfId="5786"/>
    <cellStyle name="Note 3 2 3" xfId="709"/>
    <cellStyle name="Note 3 2 3 2" xfId="1015"/>
    <cellStyle name="Note 3 2 3 2 2" xfId="2157"/>
    <cellStyle name="Note 3 2 3 2 2 2" xfId="3920"/>
    <cellStyle name="Note 3 2 3 2 2 3" xfId="5291"/>
    <cellStyle name="Note 3 2 3 2 3" xfId="1598"/>
    <cellStyle name="Note 3 2 3 2 3 2" xfId="3405"/>
    <cellStyle name="Note 3 2 3 2 4" xfId="2827"/>
    <cellStyle name="Note 3 2 3 2 5" xfId="4776"/>
    <cellStyle name="Note 3 2 3 2 6" xfId="5789"/>
    <cellStyle name="Note 3 2 3 3" xfId="1906"/>
    <cellStyle name="Note 3 2 3 3 2" xfId="3671"/>
    <cellStyle name="Note 3 2 3 3 3" xfId="5042"/>
    <cellStyle name="Note 3 2 3 4" xfId="1342"/>
    <cellStyle name="Note 3 2 3 4 2" xfId="3149"/>
    <cellStyle name="Note 3 2 3 5" xfId="2572"/>
    <cellStyle name="Note 3 2 3 6" xfId="4520"/>
    <cellStyle name="Note 3 2 3 7" xfId="5788"/>
    <cellStyle name="Note 3 2 4" xfId="1013"/>
    <cellStyle name="Note 3 2 4 2" xfId="2155"/>
    <cellStyle name="Note 3 2 4 2 2" xfId="3918"/>
    <cellStyle name="Note 3 2 4 2 3" xfId="5289"/>
    <cellStyle name="Note 3 2 4 3" xfId="1596"/>
    <cellStyle name="Note 3 2 4 3 2" xfId="3403"/>
    <cellStyle name="Note 3 2 4 4" xfId="2825"/>
    <cellStyle name="Note 3 2 4 5" xfId="4774"/>
    <cellStyle name="Note 3 2 4 6" xfId="5790"/>
    <cellStyle name="Note 3 2 5" xfId="707"/>
    <cellStyle name="Note 3 2 5 2" xfId="1904"/>
    <cellStyle name="Note 3 2 5 2 2" xfId="3669"/>
    <cellStyle name="Note 3 2 5 3" xfId="2570"/>
    <cellStyle name="Note 3 2 5 4" xfId="5040"/>
    <cellStyle name="Note 3 2 6" xfId="1340"/>
    <cellStyle name="Note 3 2 6 2" xfId="3147"/>
    <cellStyle name="Note 3 2 7" xfId="2311"/>
    <cellStyle name="Note 3 2 8" xfId="4518"/>
    <cellStyle name="Note 3 2 9" xfId="5785"/>
    <cellStyle name="Note 3 3" xfId="710"/>
    <cellStyle name="Note 3 3 2" xfId="1016"/>
    <cellStyle name="Note 3 3 2 2" xfId="2158"/>
    <cellStyle name="Note 3 3 2 2 2" xfId="3921"/>
    <cellStyle name="Note 3 3 2 2 3" xfId="5292"/>
    <cellStyle name="Note 3 3 2 3" xfId="1599"/>
    <cellStyle name="Note 3 3 2 3 2" xfId="3406"/>
    <cellStyle name="Note 3 3 2 4" xfId="2828"/>
    <cellStyle name="Note 3 3 2 5" xfId="4777"/>
    <cellStyle name="Note 3 3 2 6" xfId="5792"/>
    <cellStyle name="Note 3 3 3" xfId="1907"/>
    <cellStyle name="Note 3 3 3 2" xfId="3672"/>
    <cellStyle name="Note 3 3 3 3" xfId="5043"/>
    <cellStyle name="Note 3 3 4" xfId="1343"/>
    <cellStyle name="Note 3 3 4 2" xfId="3150"/>
    <cellStyle name="Note 3 3 5" xfId="2573"/>
    <cellStyle name="Note 3 3 6" xfId="4521"/>
    <cellStyle name="Note 3 3 7" xfId="5791"/>
    <cellStyle name="Note 3 4" xfId="711"/>
    <cellStyle name="Note 3 4 2" xfId="1017"/>
    <cellStyle name="Note 3 4 2 2" xfId="2159"/>
    <cellStyle name="Note 3 4 2 2 2" xfId="3922"/>
    <cellStyle name="Note 3 4 2 2 3" xfId="5293"/>
    <cellStyle name="Note 3 4 2 3" xfId="1600"/>
    <cellStyle name="Note 3 4 2 3 2" xfId="3407"/>
    <cellStyle name="Note 3 4 2 4" xfId="2829"/>
    <cellStyle name="Note 3 4 2 5" xfId="4778"/>
    <cellStyle name="Note 3 4 2 6" xfId="5794"/>
    <cellStyle name="Note 3 4 3" xfId="1908"/>
    <cellStyle name="Note 3 4 3 2" xfId="3673"/>
    <cellStyle name="Note 3 4 3 3" xfId="5044"/>
    <cellStyle name="Note 3 4 4" xfId="1344"/>
    <cellStyle name="Note 3 4 4 2" xfId="3151"/>
    <cellStyle name="Note 3 4 5" xfId="2574"/>
    <cellStyle name="Note 3 4 6" xfId="4522"/>
    <cellStyle name="Note 3 4 7" xfId="5793"/>
    <cellStyle name="Note 3 5" xfId="1012"/>
    <cellStyle name="Note 3 5 2" xfId="2154"/>
    <cellStyle name="Note 3 5 2 2" xfId="3917"/>
    <cellStyle name="Note 3 5 2 3" xfId="5288"/>
    <cellStyle name="Note 3 5 3" xfId="1595"/>
    <cellStyle name="Note 3 5 3 2" xfId="3402"/>
    <cellStyle name="Note 3 5 4" xfId="2824"/>
    <cellStyle name="Note 3 5 5" xfId="4773"/>
    <cellStyle name="Note 3 5 6" xfId="5795"/>
    <cellStyle name="Note 3 6" xfId="706"/>
    <cellStyle name="Note 3 6 2" xfId="1717"/>
    <cellStyle name="Note 3 6 2 2" xfId="3487"/>
    <cellStyle name="Note 3 6 3" xfId="2569"/>
    <cellStyle name="Note 3 6 4" xfId="4858"/>
    <cellStyle name="Note 3 7" xfId="1103"/>
    <cellStyle name="Note 3 7 2" xfId="2912"/>
    <cellStyle name="Note 3 8" xfId="1339"/>
    <cellStyle name="Note 3 8 2" xfId="3146"/>
    <cellStyle name="Note 3 9" xfId="2254"/>
    <cellStyle name="Note 4" xfId="276"/>
    <cellStyle name="Note 4 10" xfId="4324"/>
    <cellStyle name="Note 4 11" xfId="5796"/>
    <cellStyle name="Note 4 12" xfId="5989"/>
    <cellStyle name="Note 4 2" xfId="819"/>
    <cellStyle name="Note 4 2 2" xfId="1964"/>
    <cellStyle name="Note 4 2 2 2" xfId="3727"/>
    <cellStyle name="Note 4 2 2 3" xfId="5098"/>
    <cellStyle name="Note 4 2 3" xfId="1402"/>
    <cellStyle name="Note 4 2 3 2" xfId="3209"/>
    <cellStyle name="Note 4 2 4" xfId="2631"/>
    <cellStyle name="Note 4 2 5" xfId="4580"/>
    <cellStyle name="Note 4 2 6" xfId="5797"/>
    <cellStyle name="Note 4 3" xfId="320"/>
    <cellStyle name="Note 4 3 2" xfId="1724"/>
    <cellStyle name="Note 4 3 2 2" xfId="3491"/>
    <cellStyle name="Note 4 3 3" xfId="2377"/>
    <cellStyle name="Note 4 3 4" xfId="4862"/>
    <cellStyle name="Note 4 4" xfId="1146"/>
    <cellStyle name="Note 4 4 2" xfId="2953"/>
    <cellStyle name="Note 4 5" xfId="2338"/>
    <cellStyle name="Note 4 6" xfId="4044"/>
    <cellStyle name="Note 4 7" xfId="4122"/>
    <cellStyle name="Note 4 8" xfId="4199"/>
    <cellStyle name="Note 4 9" xfId="4276"/>
    <cellStyle name="Note 5" xfId="220"/>
    <cellStyle name="Note 5 2" xfId="2202"/>
    <cellStyle name="Note 5 2 2" xfId="3952"/>
    <cellStyle name="Note 5 3" xfId="2282"/>
    <cellStyle name="Note 5 4" xfId="4048"/>
    <cellStyle name="Note 5 5" xfId="4126"/>
    <cellStyle name="Note 5 6" xfId="4203"/>
    <cellStyle name="Note 5 7" xfId="4280"/>
    <cellStyle name="Note 5 8" xfId="5916"/>
    <cellStyle name="Note 6" xfId="4000"/>
    <cellStyle name="Note 7" xfId="4066"/>
    <cellStyle name="Note 8" xfId="4143"/>
    <cellStyle name="Note 9" xfId="4220"/>
    <cellStyle name="Output" xfId="3972" builtinId="21" customBuiltin="1"/>
    <cellStyle name="Output 2" xfId="111"/>
    <cellStyle name="Output 2 2" xfId="712"/>
    <cellStyle name="Output 2 3" xfId="713"/>
    <cellStyle name="Output 2 4" xfId="714"/>
    <cellStyle name="Output 3" xfId="715"/>
    <cellStyle name="Output 3 2" xfId="2197"/>
    <cellStyle name="Output 4" xfId="10"/>
    <cellStyle name="Percent 10" xfId="328"/>
    <cellStyle name="Percent 10 2" xfId="821"/>
    <cellStyle name="Percent 10 2 2" xfId="1966"/>
    <cellStyle name="Percent 10 2 2 2" xfId="3729"/>
    <cellStyle name="Percent 10 2 2 3" xfId="5100"/>
    <cellStyle name="Percent 10 2 3" xfId="1404"/>
    <cellStyle name="Percent 10 2 3 2" xfId="3211"/>
    <cellStyle name="Percent 10 2 4" xfId="2633"/>
    <cellStyle name="Percent 10 2 5" xfId="4582"/>
    <cellStyle name="Percent 10 2 6" xfId="5799"/>
    <cellStyle name="Percent 10 3" xfId="1726"/>
    <cellStyle name="Percent 10 3 2" xfId="3493"/>
    <cellStyle name="Percent 10 3 3" xfId="4864"/>
    <cellStyle name="Percent 10 4" xfId="1148"/>
    <cellStyle name="Percent 10 4 2" xfId="2955"/>
    <cellStyle name="Percent 10 5" xfId="2379"/>
    <cellStyle name="Percent 10 6" xfId="4326"/>
    <cellStyle name="Percent 10 7" xfId="5798"/>
    <cellStyle name="Percent 11" xfId="4006"/>
    <cellStyle name="Percent 12" xfId="4084"/>
    <cellStyle name="Percent 13" xfId="4161"/>
    <cellStyle name="Percent 14" xfId="4238"/>
    <cellStyle name="Percent 2" xfId="49"/>
    <cellStyle name="Percent 2 2" xfId="159"/>
    <cellStyle name="Percent 2 2 2" xfId="717"/>
    <cellStyle name="Percent 2 2 2 2" xfId="718"/>
    <cellStyle name="Percent 2 2 2 3" xfId="1019"/>
    <cellStyle name="Percent 2 2 2 3 2" xfId="2161"/>
    <cellStyle name="Percent 2 2 2 3 2 2" xfId="3924"/>
    <cellStyle name="Percent 2 2 2 3 2 3" xfId="5295"/>
    <cellStyle name="Percent 2 2 2 3 3" xfId="1602"/>
    <cellStyle name="Percent 2 2 2 3 3 2" xfId="3409"/>
    <cellStyle name="Percent 2 2 2 3 4" xfId="2831"/>
    <cellStyle name="Percent 2 2 2 3 5" xfId="4780"/>
    <cellStyle name="Percent 2 2 2 3 6" xfId="5801"/>
    <cellStyle name="Percent 2 2 2 4" xfId="1910"/>
    <cellStyle name="Percent 2 2 2 4 2" xfId="3675"/>
    <cellStyle name="Percent 2 2 2 4 3" xfId="5046"/>
    <cellStyle name="Percent 2 2 2 5" xfId="1346"/>
    <cellStyle name="Percent 2 2 2 5 2" xfId="3153"/>
    <cellStyle name="Percent 2 2 2 6" xfId="2576"/>
    <cellStyle name="Percent 2 2 2 7" xfId="4524"/>
    <cellStyle name="Percent 2 2 2 8" xfId="5800"/>
    <cellStyle name="Percent 2 2 3" xfId="719"/>
    <cellStyle name="Percent 2 2 3 2" xfId="1020"/>
    <cellStyle name="Percent 2 2 3 2 2" xfId="2162"/>
    <cellStyle name="Percent 2 2 3 2 2 2" xfId="3925"/>
    <cellStyle name="Percent 2 2 3 2 2 3" xfId="5296"/>
    <cellStyle name="Percent 2 2 3 2 3" xfId="1603"/>
    <cellStyle name="Percent 2 2 3 2 3 2" xfId="3410"/>
    <cellStyle name="Percent 2 2 3 2 4" xfId="2832"/>
    <cellStyle name="Percent 2 2 3 2 5" xfId="4781"/>
    <cellStyle name="Percent 2 2 3 2 6" xfId="5803"/>
    <cellStyle name="Percent 2 2 3 3" xfId="1911"/>
    <cellStyle name="Percent 2 2 3 3 2" xfId="3676"/>
    <cellStyle name="Percent 2 2 3 3 3" xfId="5047"/>
    <cellStyle name="Percent 2 2 3 4" xfId="1347"/>
    <cellStyle name="Percent 2 2 3 4 2" xfId="3154"/>
    <cellStyle name="Percent 2 2 3 5" xfId="2577"/>
    <cellStyle name="Percent 2 2 3 6" xfId="4525"/>
    <cellStyle name="Percent 2 2 3 7" xfId="5802"/>
    <cellStyle name="Percent 2 2 4" xfId="720"/>
    <cellStyle name="Percent 2 2 5" xfId="1018"/>
    <cellStyle name="Percent 2 2 5 2" xfId="2160"/>
    <cellStyle name="Percent 2 2 5 2 2" xfId="3923"/>
    <cellStyle name="Percent 2 2 5 2 3" xfId="5294"/>
    <cellStyle name="Percent 2 2 5 3" xfId="1601"/>
    <cellStyle name="Percent 2 2 5 3 2" xfId="3408"/>
    <cellStyle name="Percent 2 2 5 4" xfId="2830"/>
    <cellStyle name="Percent 2 2 5 5" xfId="4779"/>
    <cellStyle name="Percent 2 2 5 6" xfId="5804"/>
    <cellStyle name="Percent 2 2 6" xfId="716"/>
    <cellStyle name="Percent 2 2 6 2" xfId="1909"/>
    <cellStyle name="Percent 2 2 6 2 2" xfId="3674"/>
    <cellStyle name="Percent 2 2 6 3" xfId="2575"/>
    <cellStyle name="Percent 2 2 6 4" xfId="5045"/>
    <cellStyle name="Percent 2 2 6 5" xfId="5805"/>
    <cellStyle name="Percent 2 2 7" xfId="1345"/>
    <cellStyle name="Percent 2 2 7 2" xfId="3152"/>
    <cellStyle name="Percent 2 2 8" xfId="4523"/>
    <cellStyle name="Percent 2 3" xfId="155"/>
    <cellStyle name="Percent 2 3 2" xfId="722"/>
    <cellStyle name="Percent 2 3 3" xfId="721"/>
    <cellStyle name="Percent 2 3 4" xfId="1718"/>
    <cellStyle name="Percent 2 4" xfId="723"/>
    <cellStyle name="Percent 2 5" xfId="724"/>
    <cellStyle name="Percent 2 5 2" xfId="1021"/>
    <cellStyle name="Percent 2 5 2 2" xfId="2163"/>
    <cellStyle name="Percent 2 5 2 2 2" xfId="3926"/>
    <cellStyle name="Percent 2 5 2 2 3" xfId="5297"/>
    <cellStyle name="Percent 2 5 2 3" xfId="1604"/>
    <cellStyle name="Percent 2 5 2 3 2" xfId="3411"/>
    <cellStyle name="Percent 2 5 2 4" xfId="2833"/>
    <cellStyle name="Percent 2 5 2 5" xfId="4782"/>
    <cellStyle name="Percent 2 5 2 6" xfId="5807"/>
    <cellStyle name="Percent 2 5 3" xfId="1912"/>
    <cellStyle name="Percent 2 5 3 2" xfId="3677"/>
    <cellStyle name="Percent 2 5 3 3" xfId="5048"/>
    <cellStyle name="Percent 2 5 4" xfId="1348"/>
    <cellStyle name="Percent 2 5 4 2" xfId="3155"/>
    <cellStyle name="Percent 2 5 5" xfId="2578"/>
    <cellStyle name="Percent 2 5 6" xfId="4526"/>
    <cellStyle name="Percent 2 5 7" xfId="5806"/>
    <cellStyle name="Percent 3" xfId="58"/>
    <cellStyle name="Percent 3 2" xfId="112"/>
    <cellStyle name="Percent 3 2 2" xfId="131"/>
    <cellStyle name="Percent 3 2 2 2" xfId="789"/>
    <cellStyle name="Percent 3 2 2 3" xfId="726"/>
    <cellStyle name="Percent 3 2 2 3 2" xfId="1023"/>
    <cellStyle name="Percent 3 2 2 3 2 2" xfId="2165"/>
    <cellStyle name="Percent 3 2 2 3 2 2 2" xfId="3928"/>
    <cellStyle name="Percent 3 2 2 3 2 2 3" xfId="5299"/>
    <cellStyle name="Percent 3 2 2 3 2 3" xfId="1606"/>
    <cellStyle name="Percent 3 2 2 3 2 3 2" xfId="3413"/>
    <cellStyle name="Percent 3 2 2 3 2 4" xfId="2835"/>
    <cellStyle name="Percent 3 2 2 3 2 5" xfId="4784"/>
    <cellStyle name="Percent 3 2 2 3 2 6" xfId="5809"/>
    <cellStyle name="Percent 3 2 2 3 3" xfId="1914"/>
    <cellStyle name="Percent 3 2 2 3 3 2" xfId="3679"/>
    <cellStyle name="Percent 3 2 2 3 3 3" xfId="5050"/>
    <cellStyle name="Percent 3 2 2 3 4" xfId="1350"/>
    <cellStyle name="Percent 3 2 2 3 4 2" xfId="3157"/>
    <cellStyle name="Percent 3 2 2 3 5" xfId="2580"/>
    <cellStyle name="Percent 3 2 2 3 6" xfId="4528"/>
    <cellStyle name="Percent 3 2 2 3 7" xfId="5808"/>
    <cellStyle name="Percent 3 2 3" xfId="130"/>
    <cellStyle name="Percent 3 2 3 2" xfId="788"/>
    <cellStyle name="Percent 3 2 3 3" xfId="727"/>
    <cellStyle name="Percent 3 2 3 3 2" xfId="1024"/>
    <cellStyle name="Percent 3 2 3 3 2 2" xfId="2166"/>
    <cellStyle name="Percent 3 2 3 3 2 2 2" xfId="3929"/>
    <cellStyle name="Percent 3 2 3 3 2 2 3" xfId="5300"/>
    <cellStyle name="Percent 3 2 3 3 2 3" xfId="1607"/>
    <cellStyle name="Percent 3 2 3 3 2 3 2" xfId="3414"/>
    <cellStyle name="Percent 3 2 3 3 2 4" xfId="2836"/>
    <cellStyle name="Percent 3 2 3 3 2 5" xfId="4785"/>
    <cellStyle name="Percent 3 2 3 3 2 6" xfId="5811"/>
    <cellStyle name="Percent 3 2 3 3 3" xfId="1915"/>
    <cellStyle name="Percent 3 2 3 3 3 2" xfId="3680"/>
    <cellStyle name="Percent 3 2 3 3 3 3" xfId="5051"/>
    <cellStyle name="Percent 3 2 3 3 4" xfId="1351"/>
    <cellStyle name="Percent 3 2 3 3 4 2" xfId="3158"/>
    <cellStyle name="Percent 3 2 3 3 5" xfId="2581"/>
    <cellStyle name="Percent 3 2 3 3 6" xfId="4529"/>
    <cellStyle name="Percent 3 2 3 3 7" xfId="5810"/>
    <cellStyle name="Percent 3 2 4" xfId="779"/>
    <cellStyle name="Percent 3 2 5" xfId="725"/>
    <cellStyle name="Percent 3 2 5 2" xfId="1022"/>
    <cellStyle name="Percent 3 2 5 2 2" xfId="2164"/>
    <cellStyle name="Percent 3 2 5 2 2 2" xfId="3927"/>
    <cellStyle name="Percent 3 2 5 2 2 3" xfId="5298"/>
    <cellStyle name="Percent 3 2 5 2 3" xfId="1605"/>
    <cellStyle name="Percent 3 2 5 2 3 2" xfId="3412"/>
    <cellStyle name="Percent 3 2 5 2 4" xfId="2834"/>
    <cellStyle name="Percent 3 2 5 2 5" xfId="4783"/>
    <cellStyle name="Percent 3 2 5 2 6" xfId="5813"/>
    <cellStyle name="Percent 3 2 5 3" xfId="1913"/>
    <cellStyle name="Percent 3 2 5 3 2" xfId="3678"/>
    <cellStyle name="Percent 3 2 5 3 3" xfId="5049"/>
    <cellStyle name="Percent 3 2 5 4" xfId="1349"/>
    <cellStyle name="Percent 3 2 5 4 2" xfId="3156"/>
    <cellStyle name="Percent 3 2 5 5" xfId="2579"/>
    <cellStyle name="Percent 3 2 5 6" xfId="4527"/>
    <cellStyle name="Percent 3 2 5 7" xfId="5812"/>
    <cellStyle name="Percent 3 3" xfId="167"/>
    <cellStyle name="Percent 3 3 2" xfId="1025"/>
    <cellStyle name="Percent 3 3 2 2" xfId="2167"/>
    <cellStyle name="Percent 3 3 2 2 2" xfId="3930"/>
    <cellStyle name="Percent 3 3 2 2 3" xfId="5301"/>
    <cellStyle name="Percent 3 3 2 3" xfId="1608"/>
    <cellStyle name="Percent 3 3 2 3 2" xfId="3415"/>
    <cellStyle name="Percent 3 3 2 4" xfId="2837"/>
    <cellStyle name="Percent 3 3 2 5" xfId="4786"/>
    <cellStyle name="Percent 3 3 2 6" xfId="5814"/>
    <cellStyle name="Percent 3 3 3" xfId="728"/>
    <cellStyle name="Percent 3 3 3 2" xfId="1916"/>
    <cellStyle name="Percent 3 3 3 2 2" xfId="3681"/>
    <cellStyle name="Percent 3 3 3 3" xfId="2582"/>
    <cellStyle name="Percent 3 3 3 4" xfId="5052"/>
    <cellStyle name="Percent 3 3 3 5" xfId="5815"/>
    <cellStyle name="Percent 3 3 4" xfId="1719"/>
    <cellStyle name="Percent 3 3 5" xfId="1352"/>
    <cellStyle name="Percent 3 3 5 2" xfId="3159"/>
    <cellStyle name="Percent 3 3 6" xfId="4530"/>
    <cellStyle name="Percent 3 4" xfId="729"/>
    <cellStyle name="Percent 3 4 2" xfId="1026"/>
    <cellStyle name="Percent 3 4 2 2" xfId="2168"/>
    <cellStyle name="Percent 3 4 2 2 2" xfId="3931"/>
    <cellStyle name="Percent 3 4 2 2 3" xfId="5302"/>
    <cellStyle name="Percent 3 4 2 3" xfId="1609"/>
    <cellStyle name="Percent 3 4 2 3 2" xfId="3416"/>
    <cellStyle name="Percent 3 4 2 4" xfId="2838"/>
    <cellStyle name="Percent 3 4 2 5" xfId="4787"/>
    <cellStyle name="Percent 3 4 2 6" xfId="5817"/>
    <cellStyle name="Percent 3 4 3" xfId="1917"/>
    <cellStyle name="Percent 3 4 3 2" xfId="3682"/>
    <cellStyle name="Percent 3 4 3 3" xfId="5053"/>
    <cellStyle name="Percent 3 4 4" xfId="1353"/>
    <cellStyle name="Percent 3 4 4 2" xfId="3160"/>
    <cellStyle name="Percent 3 4 5" xfId="2583"/>
    <cellStyle name="Percent 3 4 6" xfId="4531"/>
    <cellStyle name="Percent 3 4 7" xfId="5816"/>
    <cellStyle name="Percent 3 5" xfId="730"/>
    <cellStyle name="Percent 3 6" xfId="731"/>
    <cellStyle name="Percent 3 6 2" xfId="1027"/>
    <cellStyle name="Percent 3 6 2 2" xfId="2169"/>
    <cellStyle name="Percent 3 6 2 2 2" xfId="3932"/>
    <cellStyle name="Percent 3 6 2 2 3" xfId="5303"/>
    <cellStyle name="Percent 3 6 2 3" xfId="1610"/>
    <cellStyle name="Percent 3 6 2 3 2" xfId="3417"/>
    <cellStyle name="Percent 3 6 2 4" xfId="2839"/>
    <cellStyle name="Percent 3 6 2 5" xfId="4788"/>
    <cellStyle name="Percent 3 6 2 6" xfId="5819"/>
    <cellStyle name="Percent 3 6 3" xfId="1918"/>
    <cellStyle name="Percent 3 6 3 2" xfId="3683"/>
    <cellStyle name="Percent 3 6 3 3" xfId="5054"/>
    <cellStyle name="Percent 3 6 4" xfId="1354"/>
    <cellStyle name="Percent 3 6 4 2" xfId="3161"/>
    <cellStyle name="Percent 3 6 5" xfId="2584"/>
    <cellStyle name="Percent 3 6 6" xfId="4532"/>
    <cellStyle name="Percent 3 6 7" xfId="5818"/>
    <cellStyle name="Percent 4" xfId="47"/>
    <cellStyle name="Percent 4 2" xfId="733"/>
    <cellStyle name="Percent 4 2 2" xfId="734"/>
    <cellStyle name="Percent 4 2 3" xfId="1029"/>
    <cellStyle name="Percent 4 2 3 2" xfId="2171"/>
    <cellStyle name="Percent 4 2 3 2 2" xfId="3934"/>
    <cellStyle name="Percent 4 2 3 2 3" xfId="5305"/>
    <cellStyle name="Percent 4 2 3 3" xfId="1612"/>
    <cellStyle name="Percent 4 2 3 3 2" xfId="3419"/>
    <cellStyle name="Percent 4 2 3 4" xfId="2841"/>
    <cellStyle name="Percent 4 2 3 5" xfId="4790"/>
    <cellStyle name="Percent 4 2 3 6" xfId="5821"/>
    <cellStyle name="Percent 4 2 4" xfId="1920"/>
    <cellStyle name="Percent 4 2 4 2" xfId="3685"/>
    <cellStyle name="Percent 4 2 4 3" xfId="5056"/>
    <cellStyle name="Percent 4 2 5" xfId="1356"/>
    <cellStyle name="Percent 4 2 5 2" xfId="3163"/>
    <cellStyle name="Percent 4 2 6" xfId="2586"/>
    <cellStyle name="Percent 4 2 7" xfId="4534"/>
    <cellStyle name="Percent 4 2 8" xfId="5820"/>
    <cellStyle name="Percent 4 3" xfId="735"/>
    <cellStyle name="Percent 4 3 2" xfId="1030"/>
    <cellStyle name="Percent 4 3 2 2" xfId="2172"/>
    <cellStyle name="Percent 4 3 2 2 2" xfId="3935"/>
    <cellStyle name="Percent 4 3 2 2 3" xfId="5306"/>
    <cellStyle name="Percent 4 3 2 3" xfId="1613"/>
    <cellStyle name="Percent 4 3 2 3 2" xfId="3420"/>
    <cellStyle name="Percent 4 3 2 4" xfId="2842"/>
    <cellStyle name="Percent 4 3 2 5" xfId="4791"/>
    <cellStyle name="Percent 4 3 2 6" xfId="5823"/>
    <cellStyle name="Percent 4 3 3" xfId="1921"/>
    <cellStyle name="Percent 4 3 3 2" xfId="3686"/>
    <cellStyle name="Percent 4 3 3 3" xfId="5057"/>
    <cellStyle name="Percent 4 3 4" xfId="1357"/>
    <cellStyle name="Percent 4 3 4 2" xfId="3164"/>
    <cellStyle name="Percent 4 3 5" xfId="2587"/>
    <cellStyle name="Percent 4 3 6" xfId="4535"/>
    <cellStyle name="Percent 4 3 7" xfId="5822"/>
    <cellStyle name="Percent 4 4" xfId="732"/>
    <cellStyle name="Percent 4 4 2" xfId="1028"/>
    <cellStyle name="Percent 4 4 2 2" xfId="2170"/>
    <cellStyle name="Percent 4 4 2 2 2" xfId="3933"/>
    <cellStyle name="Percent 4 4 2 2 3" xfId="5304"/>
    <cellStyle name="Percent 4 4 2 3" xfId="1611"/>
    <cellStyle name="Percent 4 4 2 3 2" xfId="3418"/>
    <cellStyle name="Percent 4 4 2 4" xfId="2840"/>
    <cellStyle name="Percent 4 4 2 5" xfId="4789"/>
    <cellStyle name="Percent 4 4 2 6" xfId="5825"/>
    <cellStyle name="Percent 4 4 3" xfId="1919"/>
    <cellStyle name="Percent 4 4 3 2" xfId="3684"/>
    <cellStyle name="Percent 4 4 3 3" xfId="5055"/>
    <cellStyle name="Percent 4 4 4" xfId="1355"/>
    <cellStyle name="Percent 4 4 4 2" xfId="3162"/>
    <cellStyle name="Percent 4 4 5" xfId="2585"/>
    <cellStyle name="Percent 4 4 6" xfId="4533"/>
    <cellStyle name="Percent 4 4 7" xfId="5824"/>
    <cellStyle name="Percent 5" xfId="44"/>
    <cellStyle name="Percent 5 2" xfId="737"/>
    <cellStyle name="Percent 5 2 2" xfId="1032"/>
    <cellStyle name="Percent 5 2 2 2" xfId="2174"/>
    <cellStyle name="Percent 5 2 2 2 2" xfId="3937"/>
    <cellStyle name="Percent 5 2 2 2 3" xfId="5308"/>
    <cellStyle name="Percent 5 2 2 3" xfId="1615"/>
    <cellStyle name="Percent 5 2 2 3 2" xfId="3422"/>
    <cellStyle name="Percent 5 2 2 4" xfId="2844"/>
    <cellStyle name="Percent 5 2 2 5" xfId="4793"/>
    <cellStyle name="Percent 5 2 2 6" xfId="5827"/>
    <cellStyle name="Percent 5 2 3" xfId="1923"/>
    <cellStyle name="Percent 5 2 3 2" xfId="3688"/>
    <cellStyle name="Percent 5 2 3 3" xfId="5059"/>
    <cellStyle name="Percent 5 2 4" xfId="1359"/>
    <cellStyle name="Percent 5 2 4 2" xfId="3166"/>
    <cellStyle name="Percent 5 2 5" xfId="2589"/>
    <cellStyle name="Percent 5 2 6" xfId="4537"/>
    <cellStyle name="Percent 5 2 7" xfId="5826"/>
    <cellStyle name="Percent 5 3" xfId="738"/>
    <cellStyle name="Percent 5 3 2" xfId="1033"/>
    <cellStyle name="Percent 5 3 2 2" xfId="2175"/>
    <cellStyle name="Percent 5 3 2 2 2" xfId="3938"/>
    <cellStyle name="Percent 5 3 2 2 3" xfId="5309"/>
    <cellStyle name="Percent 5 3 2 3" xfId="1616"/>
    <cellStyle name="Percent 5 3 2 3 2" xfId="3423"/>
    <cellStyle name="Percent 5 3 2 4" xfId="2845"/>
    <cellStyle name="Percent 5 3 2 5" xfId="4794"/>
    <cellStyle name="Percent 5 3 2 6" xfId="5829"/>
    <cellStyle name="Percent 5 3 3" xfId="1924"/>
    <cellStyle name="Percent 5 3 3 2" xfId="3689"/>
    <cellStyle name="Percent 5 3 3 3" xfId="5060"/>
    <cellStyle name="Percent 5 3 4" xfId="1360"/>
    <cellStyle name="Percent 5 3 4 2" xfId="3167"/>
    <cellStyle name="Percent 5 3 5" xfId="2590"/>
    <cellStyle name="Percent 5 3 6" xfId="4538"/>
    <cellStyle name="Percent 5 3 7" xfId="5828"/>
    <cellStyle name="Percent 5 4" xfId="765"/>
    <cellStyle name="Percent 5 5" xfId="736"/>
    <cellStyle name="Percent 5 5 2" xfId="1031"/>
    <cellStyle name="Percent 5 5 2 2" xfId="2173"/>
    <cellStyle name="Percent 5 5 2 2 2" xfId="3936"/>
    <cellStyle name="Percent 5 5 2 2 3" xfId="5307"/>
    <cellStyle name="Percent 5 5 2 3" xfId="1614"/>
    <cellStyle name="Percent 5 5 2 3 2" xfId="3421"/>
    <cellStyle name="Percent 5 5 2 4" xfId="2843"/>
    <cellStyle name="Percent 5 5 2 5" xfId="4792"/>
    <cellStyle name="Percent 5 5 2 6" xfId="5831"/>
    <cellStyle name="Percent 5 5 3" xfId="1922"/>
    <cellStyle name="Percent 5 5 3 2" xfId="3687"/>
    <cellStyle name="Percent 5 5 3 3" xfId="5058"/>
    <cellStyle name="Percent 5 5 4" xfId="1358"/>
    <cellStyle name="Percent 5 5 4 2" xfId="3165"/>
    <cellStyle name="Percent 5 5 5" xfId="2588"/>
    <cellStyle name="Percent 5 5 6" xfId="4536"/>
    <cellStyle name="Percent 5 5 7" xfId="5830"/>
    <cellStyle name="Percent 6" xfId="184"/>
    <cellStyle name="Percent 6 2" xfId="740"/>
    <cellStyle name="Percent 6 2 2" xfId="1035"/>
    <cellStyle name="Percent 6 2 2 2" xfId="2177"/>
    <cellStyle name="Percent 6 2 2 2 2" xfId="3940"/>
    <cellStyle name="Percent 6 2 2 2 3" xfId="5311"/>
    <cellStyle name="Percent 6 2 2 3" xfId="1618"/>
    <cellStyle name="Percent 6 2 2 3 2" xfId="3425"/>
    <cellStyle name="Percent 6 2 2 4" xfId="2847"/>
    <cellStyle name="Percent 6 2 2 5" xfId="4796"/>
    <cellStyle name="Percent 6 2 2 6" xfId="5833"/>
    <cellStyle name="Percent 6 2 3" xfId="1926"/>
    <cellStyle name="Percent 6 2 3 2" xfId="3691"/>
    <cellStyle name="Percent 6 2 3 3" xfId="5062"/>
    <cellStyle name="Percent 6 2 4" xfId="1362"/>
    <cellStyle name="Percent 6 2 4 2" xfId="3169"/>
    <cellStyle name="Percent 6 2 5" xfId="2592"/>
    <cellStyle name="Percent 6 2 6" xfId="4540"/>
    <cellStyle name="Percent 6 2 7" xfId="5832"/>
    <cellStyle name="Percent 6 3" xfId="741"/>
    <cellStyle name="Percent 6 3 2" xfId="1036"/>
    <cellStyle name="Percent 6 3 2 2" xfId="2178"/>
    <cellStyle name="Percent 6 3 2 2 2" xfId="3941"/>
    <cellStyle name="Percent 6 3 2 2 3" xfId="5312"/>
    <cellStyle name="Percent 6 3 2 3" xfId="1619"/>
    <cellStyle name="Percent 6 3 2 3 2" xfId="3426"/>
    <cellStyle name="Percent 6 3 2 4" xfId="2848"/>
    <cellStyle name="Percent 6 3 2 5" xfId="4797"/>
    <cellStyle name="Percent 6 3 2 6" xfId="5835"/>
    <cellStyle name="Percent 6 3 3" xfId="1927"/>
    <cellStyle name="Percent 6 3 3 2" xfId="3692"/>
    <cellStyle name="Percent 6 3 3 3" xfId="5063"/>
    <cellStyle name="Percent 6 3 4" xfId="1363"/>
    <cellStyle name="Percent 6 3 4 2" xfId="3170"/>
    <cellStyle name="Percent 6 3 5" xfId="2593"/>
    <cellStyle name="Percent 6 3 6" xfId="4541"/>
    <cellStyle name="Percent 6 3 7" xfId="5834"/>
    <cellStyle name="Percent 6 4" xfId="1034"/>
    <cellStyle name="Percent 6 4 2" xfId="2176"/>
    <cellStyle name="Percent 6 4 2 2" xfId="3939"/>
    <cellStyle name="Percent 6 4 2 3" xfId="5310"/>
    <cellStyle name="Percent 6 4 3" xfId="1617"/>
    <cellStyle name="Percent 6 4 3 2" xfId="3424"/>
    <cellStyle name="Percent 6 4 4" xfId="2846"/>
    <cellStyle name="Percent 6 4 5" xfId="4795"/>
    <cellStyle name="Percent 6 4 6" xfId="5836"/>
    <cellStyle name="Percent 6 5" xfId="739"/>
    <cellStyle name="Percent 6 5 2" xfId="1925"/>
    <cellStyle name="Percent 6 5 2 2" xfId="3690"/>
    <cellStyle name="Percent 6 5 3" xfId="2591"/>
    <cellStyle name="Percent 6 5 4" xfId="5061"/>
    <cellStyle name="Percent 6 5 5" xfId="5837"/>
    <cellStyle name="Percent 6 6" xfId="1720"/>
    <cellStyle name="Percent 6 7" xfId="1361"/>
    <cellStyle name="Percent 6 7 2" xfId="3168"/>
    <cellStyle name="Percent 6 8" xfId="4539"/>
    <cellStyle name="Percent 7" xfId="172"/>
    <cellStyle name="Percent 7 10" xfId="4175"/>
    <cellStyle name="Percent 7 11" xfId="4252"/>
    <cellStyle name="Percent 7 12" xfId="4542"/>
    <cellStyle name="Percent 7 13" xfId="5838"/>
    <cellStyle name="Percent 7 14" xfId="5914"/>
    <cellStyle name="Percent 7 2" xfId="252"/>
    <cellStyle name="Percent 7 2 2" xfId="743"/>
    <cellStyle name="Percent 7 2 3" xfId="2314"/>
    <cellStyle name="Percent 7 2 4" xfId="5978"/>
    <cellStyle name="Percent 7 3" xfId="1037"/>
    <cellStyle name="Percent 7 3 2" xfId="2179"/>
    <cellStyle name="Percent 7 3 2 2" xfId="3942"/>
    <cellStyle name="Percent 7 3 2 3" xfId="5313"/>
    <cellStyle name="Percent 7 3 3" xfId="1620"/>
    <cellStyle name="Percent 7 3 3 2" xfId="3427"/>
    <cellStyle name="Percent 7 3 4" xfId="2849"/>
    <cellStyle name="Percent 7 3 5" xfId="4798"/>
    <cellStyle name="Percent 7 3 6" xfId="5839"/>
    <cellStyle name="Percent 7 4" xfId="742"/>
    <cellStyle name="Percent 7 4 2" xfId="1721"/>
    <cellStyle name="Percent 7 4 2 2" xfId="3488"/>
    <cellStyle name="Percent 7 4 3" xfId="2594"/>
    <cellStyle name="Percent 7 4 4" xfId="4859"/>
    <cellStyle name="Percent 7 5" xfId="1106"/>
    <cellStyle name="Percent 7 5 2" xfId="2915"/>
    <cellStyle name="Percent 7 6" xfId="1364"/>
    <cellStyle name="Percent 7 6 2" xfId="3171"/>
    <cellStyle name="Percent 7 7" xfId="2257"/>
    <cellStyle name="Percent 7 8" xfId="4020"/>
    <cellStyle name="Percent 7 9" xfId="4098"/>
    <cellStyle name="Percent 8" xfId="278"/>
    <cellStyle name="Percent 8 10" xfId="4277"/>
    <cellStyle name="Percent 8 11" xfId="4543"/>
    <cellStyle name="Percent 8 12" xfId="5988"/>
    <cellStyle name="Percent 8 2" xfId="1038"/>
    <cellStyle name="Percent 8 2 2" xfId="2180"/>
    <cellStyle name="Percent 8 2 2 2" xfId="3943"/>
    <cellStyle name="Percent 8 2 2 3" xfId="5314"/>
    <cellStyle name="Percent 8 2 3" xfId="1621"/>
    <cellStyle name="Percent 8 2 3 2" xfId="3428"/>
    <cellStyle name="Percent 8 2 4" xfId="2850"/>
    <cellStyle name="Percent 8 2 5" xfId="4799"/>
    <cellStyle name="Percent 8 2 6" xfId="5840"/>
    <cellStyle name="Percent 8 3" xfId="744"/>
    <cellStyle name="Percent 8 3 2" xfId="1928"/>
    <cellStyle name="Percent 8 3 2 2" xfId="3693"/>
    <cellStyle name="Percent 8 3 3" xfId="2595"/>
    <cellStyle name="Percent 8 3 4" xfId="5064"/>
    <cellStyle name="Percent 8 3 5" xfId="5841"/>
    <cellStyle name="Percent 8 4" xfId="1115"/>
    <cellStyle name="Percent 8 5" xfId="1365"/>
    <cellStyle name="Percent 8 5 2" xfId="3172"/>
    <cellStyle name="Percent 8 6" xfId="2339"/>
    <cellStyle name="Percent 8 7" xfId="4045"/>
    <cellStyle name="Percent 8 8" xfId="4123"/>
    <cellStyle name="Percent 8 9" xfId="4200"/>
    <cellStyle name="Percent 9" xfId="238"/>
    <cellStyle name="Percent 9 10" xfId="4544"/>
    <cellStyle name="Percent 9 11" xfId="5842"/>
    <cellStyle name="Percent 9 12" xfId="5901"/>
    <cellStyle name="Percent 9 2" xfId="1039"/>
    <cellStyle name="Percent 9 2 2" xfId="2181"/>
    <cellStyle name="Percent 9 2 2 2" xfId="3944"/>
    <cellStyle name="Percent 9 2 2 3" xfId="5315"/>
    <cellStyle name="Percent 9 2 3" xfId="1622"/>
    <cellStyle name="Percent 9 2 3 2" xfId="3429"/>
    <cellStyle name="Percent 9 2 4" xfId="2851"/>
    <cellStyle name="Percent 9 2 5" xfId="4800"/>
    <cellStyle name="Percent 9 2 6" xfId="5843"/>
    <cellStyle name="Percent 9 3" xfId="745"/>
    <cellStyle name="Percent 9 3 2" xfId="1929"/>
    <cellStyle name="Percent 9 3 2 2" xfId="3694"/>
    <cellStyle name="Percent 9 3 3" xfId="2596"/>
    <cellStyle name="Percent 9 3 4" xfId="5065"/>
    <cellStyle name="Percent 9 4" xfId="1366"/>
    <cellStyle name="Percent 9 4 2" xfId="3173"/>
    <cellStyle name="Percent 9 5" xfId="2300"/>
    <cellStyle name="Percent 9 6" xfId="4061"/>
    <cellStyle name="Percent 9 7" xfId="4139"/>
    <cellStyle name="Percent 9 8" xfId="4216"/>
    <cellStyle name="Percent 9 9" xfId="4293"/>
    <cellStyle name="Section Header" xfId="746"/>
    <cellStyle name="Section Total Label" xfId="747"/>
    <cellStyle name="Section Total Pct" xfId="748"/>
    <cellStyle name="Single Line Title" xfId="749"/>
    <cellStyle name="Sub-Section Header" xfId="750"/>
    <cellStyle name="Tab Hdr Right" xfId="751"/>
    <cellStyle name="Title" xfId="4062" builtinId="15" customBuiltin="1"/>
    <cellStyle name="Title 2" xfId="139"/>
    <cellStyle name="Title 2 2" xfId="752"/>
    <cellStyle name="Title 3" xfId="332"/>
    <cellStyle name="Title 3 2" xfId="754"/>
    <cellStyle name="Title 3 3" xfId="755"/>
    <cellStyle name="Title 3 4" xfId="753"/>
    <cellStyle name="Title 4" xfId="318"/>
    <cellStyle name="Total" xfId="3978" builtinId="25" customBuiltin="1"/>
    <cellStyle name="Total 2" xfId="113"/>
    <cellStyle name="Total 2 2" xfId="756"/>
    <cellStyle name="Total 2 3" xfId="757"/>
    <cellStyle name="Total 2 4" xfId="758"/>
    <cellStyle name="Total 3" xfId="759"/>
    <cellStyle name="Total 3 2" xfId="2204"/>
    <cellStyle name="Total 4" xfId="16"/>
    <cellStyle name="Warning Text" xfId="3976" builtinId="11" customBuiltin="1"/>
    <cellStyle name="Warning Text 2" xfId="114"/>
    <cellStyle name="Warning Text 2 2" xfId="760"/>
    <cellStyle name="Warning Text 2 3" xfId="761"/>
    <cellStyle name="Warning Text 2 4" xfId="762"/>
    <cellStyle name="Warning Text 3" xfId="763"/>
    <cellStyle name="Warning Text 3 2" xfId="2201"/>
    <cellStyle name="Warning Text 4" xfId="14"/>
  </cellStyles>
  <dxfs count="0"/>
  <tableStyles count="1" defaultTableStyle="TableStyleMedium9" defaultPivotStyle="PivotStyleLight16">
    <tableStyle name="PivotTable Style 1" table="0" count="0"/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.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hyperlink" Target="mailto:randall.huyck@doh.wa.gov" TargetMode="External"/><Relationship Id="rId1" Type="http://schemas.openxmlformats.org/officeDocument/2006/relationships/hyperlink" Target="mailto:randall.huyck@doh.wa.gov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 codeName="Sheet1">
    <pageSetUpPr autoPageBreaks="0" fitToPage="1"/>
  </sheetPr>
  <dimension ref="A1:CF719"/>
  <sheetViews>
    <sheetView showGridLines="0" tabSelected="1" zoomScale="75" zoomScaleNormal="75" workbookViewId="0"/>
  </sheetViews>
  <sheetFormatPr defaultColWidth="11.75" defaultRowHeight="12.6" customHeight="1" x14ac:dyDescent="0.25"/>
  <cols>
    <col min="1" max="1" width="29.58203125" style="180" customWidth="1"/>
    <col min="2" max="2" width="15.58203125" style="180" customWidth="1"/>
    <col min="3" max="3" width="14.75" style="180" customWidth="1"/>
    <col min="4" max="4" width="13.25" style="180" customWidth="1"/>
    <col min="5" max="16384" width="11.75" style="180"/>
  </cols>
  <sheetData>
    <row r="1" spans="1:6" ht="12.75" customHeight="1" x14ac:dyDescent="0.25">
      <c r="A1" s="226" t="s">
        <v>1232</v>
      </c>
      <c r="B1" s="227"/>
      <c r="C1" s="227"/>
      <c r="D1" s="227"/>
      <c r="E1" s="227"/>
      <c r="F1" s="227"/>
    </row>
    <row r="2" spans="1:6" ht="12.75" customHeight="1" x14ac:dyDescent="0.25">
      <c r="A2" s="227" t="s">
        <v>1233</v>
      </c>
      <c r="B2" s="227"/>
      <c r="C2" s="228"/>
      <c r="D2" s="227"/>
      <c r="E2" s="227"/>
      <c r="F2" s="227"/>
    </row>
    <row r="3" spans="1:6" ht="12.75" customHeight="1" x14ac:dyDescent="0.25">
      <c r="A3" s="197"/>
      <c r="C3" s="229"/>
    </row>
    <row r="4" spans="1:6" ht="12.75" customHeight="1" x14ac:dyDescent="0.25">
      <c r="C4" s="229"/>
    </row>
    <row r="5" spans="1:6" ht="12.75" customHeight="1" x14ac:dyDescent="0.25">
      <c r="A5" s="197" t="s">
        <v>1259</v>
      </c>
      <c r="C5" s="229"/>
    </row>
    <row r="6" spans="1:6" ht="12.75" customHeight="1" x14ac:dyDescent="0.25">
      <c r="A6" s="197" t="s">
        <v>0</v>
      </c>
      <c r="C6" s="229"/>
    </row>
    <row r="7" spans="1:6" ht="12.75" customHeight="1" x14ac:dyDescent="0.25">
      <c r="A7" s="197" t="s">
        <v>1</v>
      </c>
      <c r="C7" s="229"/>
    </row>
    <row r="8" spans="1:6" ht="12.75" customHeight="1" x14ac:dyDescent="0.25">
      <c r="C8" s="229"/>
    </row>
    <row r="9" spans="1:6" ht="12.75" customHeight="1" x14ac:dyDescent="0.25">
      <c r="C9" s="229"/>
    </row>
    <row r="10" spans="1:6" ht="12.75" customHeight="1" x14ac:dyDescent="0.25">
      <c r="A10" s="196" t="s">
        <v>1228</v>
      </c>
      <c r="C10" s="229"/>
    </row>
    <row r="11" spans="1:6" ht="12.75" customHeight="1" x14ac:dyDescent="0.25">
      <c r="A11" s="196" t="s">
        <v>1231</v>
      </c>
      <c r="C11" s="229"/>
    </row>
    <row r="12" spans="1:6" ht="12.75" customHeight="1" x14ac:dyDescent="0.25">
      <c r="C12" s="229"/>
    </row>
    <row r="13" spans="1:6" ht="12.75" customHeight="1" x14ac:dyDescent="0.25">
      <c r="C13" s="229"/>
    </row>
    <row r="14" spans="1:6" ht="12.75" customHeight="1" x14ac:dyDescent="0.25">
      <c r="A14" s="197" t="s">
        <v>2</v>
      </c>
      <c r="C14" s="229"/>
    </row>
    <row r="15" spans="1:6" ht="12.75" customHeight="1" x14ac:dyDescent="0.25">
      <c r="A15" s="197"/>
      <c r="C15" s="229"/>
    </row>
    <row r="16" spans="1:6" ht="12.75" customHeight="1" x14ac:dyDescent="0.25">
      <c r="A16" s="180" t="s">
        <v>1265</v>
      </c>
      <c r="C16" s="229"/>
      <c r="F16" s="275" t="s">
        <v>1260</v>
      </c>
    </row>
    <row r="17" spans="1:6" ht="12.75" customHeight="1" x14ac:dyDescent="0.25">
      <c r="A17" s="180" t="s">
        <v>1230</v>
      </c>
      <c r="C17" s="275" t="s">
        <v>1260</v>
      </c>
    </row>
    <row r="18" spans="1:6" ht="12.75" customHeight="1" x14ac:dyDescent="0.25">
      <c r="A18" s="221"/>
      <c r="C18" s="229"/>
    </row>
    <row r="19" spans="1:6" ht="12.75" customHeight="1" x14ac:dyDescent="0.25">
      <c r="C19" s="229"/>
    </row>
    <row r="20" spans="1:6" ht="12.75" customHeight="1" x14ac:dyDescent="0.25">
      <c r="A20" s="267" t="s">
        <v>1234</v>
      </c>
      <c r="B20" s="267"/>
      <c r="C20" s="276"/>
      <c r="D20" s="267"/>
      <c r="E20" s="267"/>
      <c r="F20" s="267"/>
    </row>
    <row r="21" spans="1:6" ht="22.5" customHeight="1" x14ac:dyDescent="0.25">
      <c r="A21" s="197"/>
      <c r="C21" s="229"/>
    </row>
    <row r="22" spans="1:6" ht="12.6" customHeight="1" x14ac:dyDescent="0.25">
      <c r="A22" s="233" t="s">
        <v>1256</v>
      </c>
      <c r="B22" s="234"/>
      <c r="C22" s="235"/>
      <c r="D22" s="233"/>
      <c r="E22" s="233"/>
    </row>
    <row r="23" spans="1:6" ht="12.6" customHeight="1" x14ac:dyDescent="0.25">
      <c r="B23" s="197"/>
      <c r="C23" s="229"/>
    </row>
    <row r="24" spans="1:6" ht="12.6" customHeight="1" x14ac:dyDescent="0.25">
      <c r="A24" s="236" t="s">
        <v>3</v>
      </c>
      <c r="C24" s="229"/>
    </row>
    <row r="25" spans="1:6" ht="12.6" customHeight="1" x14ac:dyDescent="0.25">
      <c r="A25" s="196" t="s">
        <v>1235</v>
      </c>
      <c r="C25" s="229"/>
    </row>
    <row r="26" spans="1:6" ht="12.6" customHeight="1" x14ac:dyDescent="0.25">
      <c r="A26" s="197" t="s">
        <v>4</v>
      </c>
      <c r="C26" s="229"/>
    </row>
    <row r="27" spans="1:6" ht="12.6" customHeight="1" x14ac:dyDescent="0.25">
      <c r="A27" s="196" t="s">
        <v>1236</v>
      </c>
      <c r="C27" s="229"/>
    </row>
    <row r="28" spans="1:6" ht="12.6" customHeight="1" x14ac:dyDescent="0.25">
      <c r="A28" s="197" t="s">
        <v>5</v>
      </c>
      <c r="C28" s="229"/>
    </row>
    <row r="29" spans="1:6" ht="12.6" customHeight="1" x14ac:dyDescent="0.25">
      <c r="A29" s="196"/>
      <c r="C29" s="229"/>
    </row>
    <row r="30" spans="1:6" ht="12.6" customHeight="1" x14ac:dyDescent="0.25">
      <c r="A30" s="180" t="s">
        <v>6</v>
      </c>
      <c r="C30" s="229"/>
    </row>
    <row r="31" spans="1:6" ht="12.6" customHeight="1" x14ac:dyDescent="0.25">
      <c r="A31" s="197" t="s">
        <v>7</v>
      </c>
      <c r="C31" s="229"/>
    </row>
    <row r="32" spans="1:6" ht="12.6" customHeight="1" x14ac:dyDescent="0.25">
      <c r="A32" s="197" t="s">
        <v>8</v>
      </c>
      <c r="C32" s="229"/>
    </row>
    <row r="33" spans="1:83" ht="12.6" customHeight="1" x14ac:dyDescent="0.25">
      <c r="A33" s="196" t="s">
        <v>1237</v>
      </c>
      <c r="C33" s="229"/>
    </row>
    <row r="34" spans="1:83" ht="12.6" customHeight="1" x14ac:dyDescent="0.25">
      <c r="A34" s="197" t="s">
        <v>9</v>
      </c>
      <c r="C34" s="229"/>
    </row>
    <row r="35" spans="1:83" ht="12.6" customHeight="1" x14ac:dyDescent="0.25">
      <c r="A35" s="197"/>
      <c r="C35" s="229"/>
    </row>
    <row r="36" spans="1:83" ht="12.6" customHeight="1" x14ac:dyDescent="0.25">
      <c r="A36" s="196" t="s">
        <v>1238</v>
      </c>
      <c r="C36" s="229"/>
    </row>
    <row r="37" spans="1:83" ht="12.6" customHeight="1" x14ac:dyDescent="0.25">
      <c r="A37" s="197" t="s">
        <v>1229</v>
      </c>
      <c r="C37" s="229"/>
    </row>
    <row r="38" spans="1:83" ht="12" customHeight="1" x14ac:dyDescent="0.25">
      <c r="A38" s="196"/>
      <c r="C38" s="229"/>
    </row>
    <row r="39" spans="1:83" ht="12.6" customHeight="1" x14ac:dyDescent="0.25">
      <c r="A39" s="197"/>
      <c r="C39" s="229"/>
    </row>
    <row r="40" spans="1:83" ht="12" customHeight="1" x14ac:dyDescent="0.25">
      <c r="A40" s="197"/>
      <c r="C40" s="229"/>
    </row>
    <row r="41" spans="1:83" ht="12" customHeight="1" x14ac:dyDescent="0.25">
      <c r="A41" s="197"/>
      <c r="C41" s="237"/>
      <c r="D41" s="238"/>
      <c r="E41" s="237"/>
      <c r="F41" s="237"/>
      <c r="G41" s="237"/>
      <c r="H41" s="237"/>
      <c r="I41" s="237"/>
      <c r="J41" s="237"/>
      <c r="K41" s="237"/>
      <c r="L41" s="237"/>
      <c r="M41" s="237"/>
      <c r="N41" s="237"/>
      <c r="O41" s="237"/>
      <c r="P41" s="237"/>
      <c r="Q41" s="237"/>
      <c r="R41" s="237"/>
      <c r="S41" s="237"/>
      <c r="T41" s="237"/>
      <c r="U41" s="237"/>
      <c r="V41" s="237"/>
      <c r="W41" s="237"/>
      <c r="X41" s="237"/>
      <c r="Y41" s="237"/>
      <c r="Z41" s="237"/>
      <c r="AA41" s="237"/>
      <c r="AB41" s="237"/>
      <c r="AC41" s="237"/>
      <c r="AD41" s="237"/>
      <c r="AE41" s="237"/>
      <c r="AF41" s="237"/>
      <c r="AG41" s="237"/>
      <c r="AH41" s="237"/>
      <c r="AI41" s="237"/>
      <c r="AJ41" s="237"/>
      <c r="AK41" s="237"/>
      <c r="AL41" s="237"/>
      <c r="AM41" s="237"/>
      <c r="AN41" s="237"/>
      <c r="AO41" s="237"/>
      <c r="AP41" s="237"/>
      <c r="AQ41" s="237"/>
      <c r="AR41" s="237"/>
      <c r="AS41" s="237"/>
      <c r="AT41" s="237"/>
      <c r="AU41" s="237"/>
      <c r="AV41" s="237"/>
      <c r="AW41" s="237"/>
      <c r="AX41" s="237"/>
      <c r="AY41" s="237"/>
      <c r="AZ41" s="237"/>
      <c r="BA41" s="237"/>
      <c r="BB41" s="237"/>
      <c r="BC41" s="237"/>
      <c r="BD41" s="237"/>
      <c r="BE41" s="237"/>
      <c r="BF41" s="237"/>
      <c r="BG41" s="237"/>
      <c r="BH41" s="237"/>
      <c r="BI41" s="237"/>
      <c r="BJ41" s="237"/>
      <c r="BK41" s="237"/>
      <c r="BL41" s="237"/>
      <c r="BM41" s="237"/>
      <c r="BN41" s="237"/>
      <c r="BO41" s="237"/>
      <c r="BP41" s="237"/>
      <c r="BQ41" s="237"/>
      <c r="BR41" s="237"/>
      <c r="BS41" s="237"/>
      <c r="BT41" s="237"/>
      <c r="BU41" s="237"/>
      <c r="BV41" s="237"/>
      <c r="BW41" s="237"/>
      <c r="BX41" s="237"/>
      <c r="BY41" s="237"/>
      <c r="BZ41" s="237"/>
      <c r="CA41" s="237"/>
      <c r="CB41" s="237"/>
      <c r="CC41" s="237"/>
    </row>
    <row r="42" spans="1:83" ht="12" customHeight="1" x14ac:dyDescent="0.25">
      <c r="A42" s="197"/>
      <c r="C42" s="237"/>
      <c r="D42" s="238"/>
      <c r="E42" s="237"/>
      <c r="F42" s="237"/>
      <c r="G42" s="237"/>
      <c r="H42" s="237"/>
      <c r="I42" s="237"/>
      <c r="J42" s="237"/>
      <c r="K42" s="237"/>
      <c r="L42" s="237"/>
      <c r="M42" s="237"/>
      <c r="N42" s="237"/>
      <c r="O42" s="237"/>
      <c r="P42" s="237"/>
      <c r="Q42" s="237"/>
      <c r="R42" s="237"/>
      <c r="S42" s="237"/>
      <c r="T42" s="237"/>
      <c r="U42" s="237"/>
      <c r="V42" s="237"/>
      <c r="W42" s="237"/>
      <c r="X42" s="237"/>
      <c r="Y42" s="237"/>
      <c r="Z42" s="237"/>
      <c r="AA42" s="237"/>
      <c r="AB42" s="237"/>
      <c r="AC42" s="237"/>
      <c r="AD42" s="237"/>
      <c r="AE42" s="237"/>
      <c r="AF42" s="237"/>
      <c r="AG42" s="237"/>
      <c r="AH42" s="237"/>
      <c r="AI42" s="237"/>
      <c r="AJ42" s="237"/>
      <c r="AK42" s="237"/>
      <c r="AL42" s="237"/>
      <c r="AM42" s="237"/>
      <c r="AN42" s="237"/>
      <c r="AO42" s="237"/>
      <c r="AP42" s="237"/>
      <c r="AQ42" s="237"/>
      <c r="AR42" s="237"/>
      <c r="AS42" s="237"/>
      <c r="AT42" s="237"/>
      <c r="AU42" s="237"/>
      <c r="AV42" s="237"/>
      <c r="AW42" s="237"/>
      <c r="AX42" s="237"/>
      <c r="AY42" s="237"/>
      <c r="AZ42" s="237"/>
      <c r="BA42" s="237"/>
      <c r="BB42" s="237"/>
      <c r="BC42" s="237"/>
      <c r="BD42" s="237"/>
      <c r="BE42" s="237"/>
      <c r="BF42" s="237"/>
      <c r="BG42" s="237"/>
      <c r="BH42" s="237"/>
      <c r="BI42" s="237"/>
      <c r="BJ42" s="237"/>
      <c r="BK42" s="237"/>
      <c r="BL42" s="237"/>
      <c r="BM42" s="237"/>
      <c r="BN42" s="237"/>
      <c r="BO42" s="237"/>
      <c r="BP42" s="237"/>
      <c r="BQ42" s="237"/>
      <c r="BR42" s="237"/>
      <c r="BS42" s="237"/>
      <c r="BT42" s="237"/>
      <c r="BU42" s="237"/>
      <c r="BV42" s="237"/>
      <c r="BW42" s="237"/>
      <c r="BX42" s="237"/>
      <c r="BY42" s="237"/>
      <c r="BZ42" s="237"/>
      <c r="CA42" s="237"/>
      <c r="CB42" s="237"/>
      <c r="CC42" s="237"/>
      <c r="CD42" s="239"/>
    </row>
    <row r="43" spans="1:83" ht="12" customHeight="1" x14ac:dyDescent="0.25">
      <c r="A43" s="197"/>
      <c r="C43" s="229"/>
      <c r="F43" s="181"/>
    </row>
    <row r="44" spans="1:83" ht="12" customHeight="1" x14ac:dyDescent="0.25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25">
      <c r="A45" s="175"/>
      <c r="B45" s="240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1194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" customHeight="1" x14ac:dyDescent="0.25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" customHeight="1" x14ac:dyDescent="0.25">
      <c r="A47" s="175" t="s">
        <v>204</v>
      </c>
      <c r="B47" s="183">
        <v>0</v>
      </c>
      <c r="C47" s="298">
        <v>0</v>
      </c>
      <c r="D47" s="298">
        <v>0</v>
      </c>
      <c r="E47" s="298">
        <v>0</v>
      </c>
      <c r="F47" s="298">
        <v>0</v>
      </c>
      <c r="G47" s="298">
        <v>0</v>
      </c>
      <c r="H47" s="298">
        <v>0</v>
      </c>
      <c r="I47" s="298">
        <v>0</v>
      </c>
      <c r="J47" s="298">
        <v>0</v>
      </c>
      <c r="K47" s="298">
        <v>0</v>
      </c>
      <c r="L47" s="298">
        <v>0</v>
      </c>
      <c r="M47" s="298">
        <v>0</v>
      </c>
      <c r="N47" s="298">
        <v>0</v>
      </c>
      <c r="O47" s="298">
        <v>0</v>
      </c>
      <c r="P47" s="298">
        <v>0</v>
      </c>
      <c r="Q47" s="298">
        <v>0</v>
      </c>
      <c r="R47" s="298">
        <v>0</v>
      </c>
      <c r="S47" s="298">
        <v>0</v>
      </c>
      <c r="T47" s="298">
        <v>0</v>
      </c>
      <c r="U47" s="298">
        <v>0</v>
      </c>
      <c r="V47" s="298">
        <v>0</v>
      </c>
      <c r="W47" s="298">
        <v>0</v>
      </c>
      <c r="X47" s="298">
        <v>0</v>
      </c>
      <c r="Y47" s="298">
        <v>0</v>
      </c>
      <c r="Z47" s="298">
        <v>0</v>
      </c>
      <c r="AA47" s="298">
        <v>0</v>
      </c>
      <c r="AB47" s="298">
        <v>0</v>
      </c>
      <c r="AC47" s="298">
        <v>0</v>
      </c>
      <c r="AD47" s="298">
        <v>0</v>
      </c>
      <c r="AE47" s="298">
        <v>0</v>
      </c>
      <c r="AF47" s="298">
        <v>0</v>
      </c>
      <c r="AG47" s="298">
        <v>0</v>
      </c>
      <c r="AH47" s="298">
        <v>0</v>
      </c>
      <c r="AI47" s="298">
        <v>0</v>
      </c>
      <c r="AJ47" s="298">
        <v>0</v>
      </c>
      <c r="AK47" s="298">
        <v>0</v>
      </c>
      <c r="AL47" s="298">
        <v>0</v>
      </c>
      <c r="AM47" s="298">
        <v>0</v>
      </c>
      <c r="AN47" s="298">
        <v>0</v>
      </c>
      <c r="AO47" s="298">
        <v>0</v>
      </c>
      <c r="AP47" s="298">
        <v>0</v>
      </c>
      <c r="AQ47" s="298">
        <v>0</v>
      </c>
      <c r="AR47" s="298">
        <v>0</v>
      </c>
      <c r="AS47" s="298">
        <v>0</v>
      </c>
      <c r="AT47" s="298">
        <v>0</v>
      </c>
      <c r="AU47" s="298">
        <v>0</v>
      </c>
      <c r="AV47" s="298">
        <v>0</v>
      </c>
      <c r="AW47" s="298">
        <v>0</v>
      </c>
      <c r="AX47" s="298">
        <v>0</v>
      </c>
      <c r="AY47" s="298">
        <v>0</v>
      </c>
      <c r="AZ47" s="298">
        <v>0</v>
      </c>
      <c r="BA47" s="298">
        <v>0</v>
      </c>
      <c r="BB47" s="298">
        <v>0</v>
      </c>
      <c r="BC47" s="298">
        <v>0</v>
      </c>
      <c r="BD47" s="298">
        <v>0</v>
      </c>
      <c r="BE47" s="298">
        <v>0</v>
      </c>
      <c r="BF47" s="298">
        <v>0</v>
      </c>
      <c r="BG47" s="298">
        <v>0</v>
      </c>
      <c r="BH47" s="298">
        <v>0</v>
      </c>
      <c r="BI47" s="298">
        <v>0</v>
      </c>
      <c r="BJ47" s="298">
        <v>0</v>
      </c>
      <c r="BK47" s="298">
        <v>0</v>
      </c>
      <c r="BL47" s="298">
        <v>0</v>
      </c>
      <c r="BM47" s="298">
        <v>0</v>
      </c>
      <c r="BN47" s="298">
        <v>0</v>
      </c>
      <c r="BO47" s="298">
        <v>0</v>
      </c>
      <c r="BP47" s="298">
        <v>0</v>
      </c>
      <c r="BQ47" s="298">
        <v>0</v>
      </c>
      <c r="BR47" s="298">
        <v>0</v>
      </c>
      <c r="BS47" s="298">
        <v>0</v>
      </c>
      <c r="BT47" s="298">
        <v>0</v>
      </c>
      <c r="BU47" s="298">
        <v>0</v>
      </c>
      <c r="BV47" s="298">
        <v>0</v>
      </c>
      <c r="BW47" s="298">
        <v>0</v>
      </c>
      <c r="BX47" s="298">
        <v>0</v>
      </c>
      <c r="BY47" s="298">
        <v>0</v>
      </c>
      <c r="BZ47" s="298">
        <v>0</v>
      </c>
      <c r="CA47" s="298">
        <v>0</v>
      </c>
      <c r="CB47" s="298">
        <v>0</v>
      </c>
      <c r="CC47" s="298">
        <v>0</v>
      </c>
      <c r="CD47" s="193"/>
      <c r="CE47" s="193">
        <f>SUM(C47:CC47)</f>
        <v>0</v>
      </c>
    </row>
    <row r="48" spans="1:83" ht="12.6" customHeight="1" x14ac:dyDescent="0.25">
      <c r="A48" s="175" t="s">
        <v>205</v>
      </c>
      <c r="B48" s="183">
        <v>3483072</v>
      </c>
      <c r="C48" s="241">
        <f>ROUND(((B48/CE61)*C61),0)</f>
        <v>0</v>
      </c>
      <c r="D48" s="241">
        <f>ROUND(((B48/CE61)*D61),0)</f>
        <v>0</v>
      </c>
      <c r="E48" s="193">
        <f>ROUND(((B48/CE61)*E61),0)</f>
        <v>153474</v>
      </c>
      <c r="F48" s="193">
        <f>ROUND(((B48/CE61)*F61),0)</f>
        <v>0</v>
      </c>
      <c r="G48" s="193">
        <f>ROUND(((B48/CE61)*G61),0)</f>
        <v>0</v>
      </c>
      <c r="H48" s="193">
        <f>ROUND(((B48/CE61)*H61),0)</f>
        <v>0</v>
      </c>
      <c r="I48" s="193">
        <f>ROUND(((B48/CE61)*I61),0)</f>
        <v>36484</v>
      </c>
      <c r="J48" s="193">
        <f>ROUND(((B48/CE61)*J61),0)</f>
        <v>81</v>
      </c>
      <c r="K48" s="193">
        <f>ROUND(((B48/CE61)*K61),0)</f>
        <v>0</v>
      </c>
      <c r="L48" s="193">
        <f>ROUND(((B48/CE61)*L61),0)</f>
        <v>438497</v>
      </c>
      <c r="M48" s="193">
        <f>ROUND(((B48/CE61)*M61),0)</f>
        <v>0</v>
      </c>
      <c r="N48" s="193">
        <f>ROUND(((B48/CE61)*N61),0)</f>
        <v>0</v>
      </c>
      <c r="O48" s="193">
        <f>ROUND(((B48/CE61)*O61),0)</f>
        <v>70576</v>
      </c>
      <c r="P48" s="193">
        <f>ROUND(((B48/CE61)*P61),0)</f>
        <v>103830</v>
      </c>
      <c r="Q48" s="193">
        <f>ROUND(((B48/CE61)*Q61),0)</f>
        <v>43806</v>
      </c>
      <c r="R48" s="193">
        <f>ROUND(((B48/CE61)*R61),0)</f>
        <v>84123</v>
      </c>
      <c r="S48" s="193">
        <f>ROUND(((B48/CE61)*S61),0)</f>
        <v>50750</v>
      </c>
      <c r="T48" s="193">
        <f>ROUND(((B48/CE61)*T61),0)</f>
        <v>0</v>
      </c>
      <c r="U48" s="193">
        <f>ROUND(((B48/CE61)*U61),0)</f>
        <v>117731</v>
      </c>
      <c r="V48" s="193">
        <f>ROUND(((B48/CE61)*V61),0)</f>
        <v>0</v>
      </c>
      <c r="W48" s="193">
        <f>ROUND(((B48/CE61)*W61),0)</f>
        <v>0</v>
      </c>
      <c r="X48" s="193">
        <f>ROUND(((B48/CE61)*X61),0)</f>
        <v>0</v>
      </c>
      <c r="Y48" s="193">
        <f>ROUND(((B48/CE61)*Y61),0)</f>
        <v>103509</v>
      </c>
      <c r="Z48" s="193">
        <f>ROUND(((B48/CE61)*Z61),0)</f>
        <v>0</v>
      </c>
      <c r="AA48" s="193">
        <f>ROUND(((B48/CE61)*AA61),0)</f>
        <v>0</v>
      </c>
      <c r="AB48" s="193">
        <f>ROUND(((B48/CE61)*AB61),0)</f>
        <v>41662</v>
      </c>
      <c r="AC48" s="193">
        <f>ROUND(((B48/CE61)*AC61),0)</f>
        <v>14168</v>
      </c>
      <c r="AD48" s="193">
        <f>ROUND(((B48/CE61)*AD61),0)</f>
        <v>0</v>
      </c>
      <c r="AE48" s="193">
        <f>ROUND(((B48/CE61)*AE61),0)</f>
        <v>74755</v>
      </c>
      <c r="AF48" s="193">
        <f>ROUND(((B48/CE61)*AF61),0)</f>
        <v>0</v>
      </c>
      <c r="AG48" s="193">
        <f>ROUND(((B48/CE61)*AG61),0)</f>
        <v>353091</v>
      </c>
      <c r="AH48" s="193">
        <f>ROUND(((B48/CE61)*AH61),0)</f>
        <v>85608</v>
      </c>
      <c r="AI48" s="193">
        <f>ROUND(((B48/CE61)*AI61),0)</f>
        <v>0</v>
      </c>
      <c r="AJ48" s="193">
        <f>ROUND(((B48/CE61)*AJ61),0)</f>
        <v>825160</v>
      </c>
      <c r="AK48" s="193">
        <f>ROUND(((B48/CE61)*AK61),0)</f>
        <v>20435</v>
      </c>
      <c r="AL48" s="193">
        <f>ROUND(((B48/CE61)*AL61),0)</f>
        <v>0</v>
      </c>
      <c r="AM48" s="193">
        <f>ROUND(((B48/CE61)*AM61),0)</f>
        <v>0</v>
      </c>
      <c r="AN48" s="193">
        <f>ROUND(((B48/CE61)*AN61),0)</f>
        <v>0</v>
      </c>
      <c r="AO48" s="193">
        <f>ROUND(((B48/CE61)*AO61),0)</f>
        <v>0</v>
      </c>
      <c r="AP48" s="193">
        <f>ROUND(((B48/CE61)*AP61),0)</f>
        <v>0</v>
      </c>
      <c r="AQ48" s="193">
        <f>ROUND(((B48/CE61)*AQ61),0)</f>
        <v>0</v>
      </c>
      <c r="AR48" s="193">
        <f>ROUND(((B48/CE61)*AR61),0)</f>
        <v>-450</v>
      </c>
      <c r="AS48" s="193">
        <f>ROUND(((B48/CE61)*AS61),0)</f>
        <v>0</v>
      </c>
      <c r="AT48" s="193">
        <f>ROUND(((B48/CE61)*AT61),0)</f>
        <v>0</v>
      </c>
      <c r="AU48" s="193">
        <f>ROUND(((B48/CE61)*AU61),0)</f>
        <v>0</v>
      </c>
      <c r="AV48" s="193">
        <f>ROUND(((B48/CE61)*AV61),0)</f>
        <v>0</v>
      </c>
      <c r="AW48" s="193">
        <f>ROUND(((B48/CE61)*AW61),0)</f>
        <v>0</v>
      </c>
      <c r="AX48" s="193">
        <f>ROUND(((B48/CE61)*AX61),0)</f>
        <v>0</v>
      </c>
      <c r="AY48" s="193">
        <f>ROUND(((B48/CE61)*AY61),0)</f>
        <v>68682</v>
      </c>
      <c r="AZ48" s="193">
        <f>ROUND(((B48/CE61)*AZ61),0)</f>
        <v>0</v>
      </c>
      <c r="BA48" s="193">
        <f>ROUND(((B48/CE61)*BA61),0)</f>
        <v>3149</v>
      </c>
      <c r="BB48" s="193">
        <f>ROUND(((B48/CE61)*BB61),0)</f>
        <v>13143</v>
      </c>
      <c r="BC48" s="193">
        <f>ROUND(((B48/CE61)*BC61),0)</f>
        <v>0</v>
      </c>
      <c r="BD48" s="193">
        <f>ROUND(((B48/CE61)*BD61),0)</f>
        <v>0</v>
      </c>
      <c r="BE48" s="193">
        <f>ROUND(((B48/CE61)*BE61),0)</f>
        <v>42535</v>
      </c>
      <c r="BF48" s="193">
        <f>ROUND(((B48/CE61)*BF61),0)</f>
        <v>36974</v>
      </c>
      <c r="BG48" s="193">
        <f>ROUND(((B48/CE61)*BG61),0)</f>
        <v>0</v>
      </c>
      <c r="BH48" s="193">
        <f>ROUND(((B48/CE61)*BH61),0)</f>
        <v>0</v>
      </c>
      <c r="BI48" s="193">
        <f>ROUND(((B48/CE61)*BI61),0)</f>
        <v>0</v>
      </c>
      <c r="BJ48" s="193">
        <f>ROUND(((B48/CE61)*BJ61),0)</f>
        <v>85854</v>
      </c>
      <c r="BK48" s="193">
        <f>ROUND(((B48/CE61)*BK61),0)</f>
        <v>0</v>
      </c>
      <c r="BL48" s="193">
        <f>ROUND(((B48/CE61)*BL61),0)</f>
        <v>66441</v>
      </c>
      <c r="BM48" s="193">
        <f>ROUND(((B48/CE61)*BM61),0)</f>
        <v>0</v>
      </c>
      <c r="BN48" s="193">
        <f>ROUND(((B48/CE61)*BN61),0)</f>
        <v>446195</v>
      </c>
      <c r="BO48" s="193">
        <f>ROUND(((B48/CE61)*BO61),0)</f>
        <v>0</v>
      </c>
      <c r="BP48" s="193">
        <f>ROUND(((B48/CE61)*BP61),0)</f>
        <v>0</v>
      </c>
      <c r="BQ48" s="193">
        <f>ROUND(((B48/CE61)*BQ61),0)</f>
        <v>0</v>
      </c>
      <c r="BR48" s="193">
        <f>ROUND(((B48/CE61)*BR61),0)</f>
        <v>0</v>
      </c>
      <c r="BS48" s="193">
        <f>ROUND(((B48/CE61)*BS61),0)</f>
        <v>0</v>
      </c>
      <c r="BT48" s="193">
        <f>ROUND(((B48/CE61)*BT61),0)</f>
        <v>0</v>
      </c>
      <c r="BU48" s="193">
        <f>ROUND(((B48/CE61)*BU61),0)</f>
        <v>0</v>
      </c>
      <c r="BV48" s="193">
        <f>ROUND(((B48/CE61)*BV61),0)</f>
        <v>37370</v>
      </c>
      <c r="BW48" s="193">
        <f>ROUND(((B48/CE61)*BW61),0)</f>
        <v>0</v>
      </c>
      <c r="BX48" s="193">
        <f>ROUND(((B48/CE61)*BX61),0)</f>
        <v>30380</v>
      </c>
      <c r="BY48" s="193">
        <f>ROUND(((B48/CE61)*BY61),0)</f>
        <v>23599</v>
      </c>
      <c r="BZ48" s="193">
        <f>ROUND(((B48/CE61)*BZ61),0)</f>
        <v>0</v>
      </c>
      <c r="CA48" s="193">
        <f>ROUND(((B48/CE61)*CA61),0)</f>
        <v>0</v>
      </c>
      <c r="CB48" s="193">
        <f>ROUND(((B48/CE61)*CB61),0)</f>
        <v>11459</v>
      </c>
      <c r="CC48" s="193">
        <f>ROUND(((B48/CE61)*CC61),0)</f>
        <v>0</v>
      </c>
      <c r="CD48" s="193"/>
      <c r="CE48" s="193">
        <f>SUM(C48:CD48)</f>
        <v>3483071</v>
      </c>
    </row>
    <row r="49" spans="1:84" ht="12.6" customHeight="1" x14ac:dyDescent="0.25">
      <c r="A49" s="175" t="s">
        <v>206</v>
      </c>
      <c r="B49" s="193">
        <f>B47+B48</f>
        <v>3483072</v>
      </c>
      <c r="C49" s="193"/>
      <c r="D49" s="193"/>
      <c r="E49" s="193"/>
      <c r="F49" s="193"/>
      <c r="G49" s="193"/>
      <c r="H49" s="193"/>
      <c r="I49" s="193"/>
      <c r="J49" s="193"/>
      <c r="K49" s="193"/>
      <c r="L49" s="193"/>
      <c r="M49" s="193"/>
      <c r="N49" s="193"/>
      <c r="O49" s="193"/>
      <c r="P49" s="193"/>
      <c r="Q49" s="193"/>
      <c r="R49" s="193"/>
      <c r="S49" s="193"/>
      <c r="T49" s="193"/>
      <c r="U49" s="193"/>
      <c r="V49" s="193"/>
      <c r="W49" s="193"/>
      <c r="X49" s="193"/>
      <c r="Y49" s="193"/>
      <c r="Z49" s="193"/>
      <c r="AA49" s="193"/>
      <c r="AB49" s="193"/>
      <c r="AC49" s="193"/>
      <c r="AD49" s="193"/>
      <c r="AE49" s="193"/>
      <c r="AF49" s="193"/>
      <c r="AG49" s="193"/>
      <c r="AH49" s="193"/>
      <c r="AI49" s="193"/>
      <c r="AJ49" s="193"/>
      <c r="AK49" s="193"/>
      <c r="AL49" s="193"/>
      <c r="AM49" s="193"/>
      <c r="AN49" s="193"/>
      <c r="AO49" s="193"/>
      <c r="AP49" s="193"/>
      <c r="AQ49" s="193"/>
      <c r="AR49" s="193"/>
      <c r="AS49" s="193"/>
      <c r="AT49" s="193"/>
      <c r="AU49" s="193"/>
      <c r="AV49" s="193"/>
      <c r="AW49" s="193"/>
      <c r="AX49" s="193"/>
      <c r="AY49" s="193"/>
      <c r="AZ49" s="193"/>
      <c r="BA49" s="193"/>
      <c r="BB49" s="193"/>
      <c r="BC49" s="193"/>
      <c r="BD49" s="193"/>
      <c r="BE49" s="193"/>
      <c r="BF49" s="193"/>
      <c r="BG49" s="193"/>
      <c r="BH49" s="193"/>
      <c r="BI49" s="193"/>
      <c r="BJ49" s="193"/>
      <c r="BK49" s="193"/>
      <c r="BL49" s="193"/>
      <c r="BM49" s="193"/>
      <c r="BN49" s="193"/>
      <c r="BO49" s="193"/>
      <c r="BP49" s="193"/>
      <c r="BQ49" s="193"/>
      <c r="BR49" s="193"/>
      <c r="BS49" s="193"/>
      <c r="BT49" s="193"/>
      <c r="BU49" s="193"/>
      <c r="BV49" s="193"/>
      <c r="BW49" s="193"/>
      <c r="BX49" s="193"/>
      <c r="BY49" s="193"/>
      <c r="BZ49" s="193"/>
      <c r="CA49" s="193"/>
      <c r="CB49" s="193"/>
      <c r="CC49" s="193"/>
      <c r="CD49" s="193"/>
      <c r="CE49" s="193"/>
    </row>
    <row r="50" spans="1:84" ht="12.6" customHeight="1" x14ac:dyDescent="0.25">
      <c r="A50" s="175" t="s">
        <v>6</v>
      </c>
      <c r="B50" s="193"/>
      <c r="C50" s="193"/>
      <c r="D50" s="193"/>
      <c r="E50" s="193"/>
      <c r="F50" s="193"/>
      <c r="G50" s="193"/>
      <c r="H50" s="193"/>
      <c r="I50" s="193"/>
      <c r="J50" s="193"/>
      <c r="K50" s="193"/>
      <c r="L50" s="193"/>
      <c r="M50" s="193"/>
      <c r="N50" s="193"/>
      <c r="O50" s="193"/>
      <c r="P50" s="193"/>
      <c r="Q50" s="193"/>
      <c r="R50" s="193"/>
      <c r="S50" s="193"/>
      <c r="T50" s="193"/>
      <c r="U50" s="193"/>
      <c r="V50" s="193"/>
      <c r="W50" s="193"/>
      <c r="X50" s="193"/>
      <c r="Y50" s="193"/>
      <c r="Z50" s="193"/>
      <c r="AA50" s="193"/>
      <c r="AB50" s="193"/>
      <c r="AC50" s="193"/>
      <c r="AD50" s="193"/>
      <c r="AE50" s="193"/>
      <c r="AF50" s="193"/>
      <c r="AG50" s="193"/>
      <c r="AH50" s="193"/>
      <c r="AI50" s="193"/>
      <c r="AJ50" s="193"/>
      <c r="AK50" s="193"/>
      <c r="AL50" s="193"/>
      <c r="AM50" s="193"/>
      <c r="AN50" s="193"/>
      <c r="AO50" s="193"/>
      <c r="AP50" s="193"/>
      <c r="AQ50" s="193"/>
      <c r="AR50" s="193"/>
      <c r="AS50" s="193"/>
      <c r="AT50" s="193"/>
      <c r="AU50" s="193"/>
      <c r="AV50" s="193"/>
      <c r="AW50" s="193"/>
      <c r="AX50" s="193"/>
      <c r="AY50" s="193"/>
      <c r="AZ50" s="193"/>
      <c r="BA50" s="193"/>
      <c r="BB50" s="193"/>
      <c r="BC50" s="193"/>
      <c r="BD50" s="193"/>
      <c r="BE50" s="193"/>
      <c r="BF50" s="193"/>
      <c r="BG50" s="193"/>
      <c r="BH50" s="193"/>
      <c r="BI50" s="193"/>
      <c r="BJ50" s="193"/>
      <c r="BK50" s="193"/>
      <c r="BL50" s="193"/>
      <c r="BM50" s="193"/>
      <c r="BN50" s="193"/>
      <c r="BO50" s="193"/>
      <c r="BP50" s="193"/>
      <c r="BQ50" s="193"/>
      <c r="BR50" s="193"/>
      <c r="BS50" s="193"/>
      <c r="BT50" s="193"/>
      <c r="BU50" s="193"/>
      <c r="BV50" s="193"/>
      <c r="BW50" s="193"/>
      <c r="BX50" s="193"/>
      <c r="BY50" s="193"/>
      <c r="BZ50" s="193"/>
      <c r="CA50" s="193"/>
      <c r="CB50" s="193"/>
      <c r="CC50" s="193"/>
      <c r="CD50" s="193"/>
      <c r="CE50" s="193"/>
    </row>
    <row r="51" spans="1:84" ht="12.6" customHeight="1" x14ac:dyDescent="0.25">
      <c r="A51" s="171" t="s">
        <v>207</v>
      </c>
      <c r="B51" s="184"/>
      <c r="C51" s="386">
        <v>0</v>
      </c>
      <c r="D51" s="386">
        <v>0</v>
      </c>
      <c r="E51" s="386">
        <v>0</v>
      </c>
      <c r="F51" s="386">
        <v>0</v>
      </c>
      <c r="G51" s="386">
        <v>0</v>
      </c>
      <c r="H51" s="386">
        <v>0</v>
      </c>
      <c r="I51" s="386">
        <v>8444.1</v>
      </c>
      <c r="J51" s="386">
        <v>532.02</v>
      </c>
      <c r="K51" s="386">
        <v>0</v>
      </c>
      <c r="L51" s="386">
        <v>0</v>
      </c>
      <c r="M51" s="386">
        <v>0</v>
      </c>
      <c r="N51" s="386">
        <v>0</v>
      </c>
      <c r="O51" s="386">
        <v>61690.13</v>
      </c>
      <c r="P51" s="386">
        <v>152587.22</v>
      </c>
      <c r="Q51" s="386">
        <v>436.85</v>
      </c>
      <c r="R51" s="386">
        <v>22993.49</v>
      </c>
      <c r="S51" s="386">
        <v>0</v>
      </c>
      <c r="T51" s="386">
        <v>0</v>
      </c>
      <c r="U51" s="386">
        <v>17861.86</v>
      </c>
      <c r="V51" s="386">
        <v>0</v>
      </c>
      <c r="W51" s="386">
        <v>0</v>
      </c>
      <c r="X51" s="386">
        <v>0</v>
      </c>
      <c r="Y51" s="386">
        <v>137069.21</v>
      </c>
      <c r="Z51" s="386">
        <v>0</v>
      </c>
      <c r="AA51" s="386">
        <v>0</v>
      </c>
      <c r="AB51" s="386">
        <v>1699.23</v>
      </c>
      <c r="AC51" s="386">
        <v>0</v>
      </c>
      <c r="AD51" s="386">
        <v>0</v>
      </c>
      <c r="AE51" s="386">
        <v>0</v>
      </c>
      <c r="AF51" s="386">
        <v>0</v>
      </c>
      <c r="AG51" s="386">
        <v>19497.650000000001</v>
      </c>
      <c r="AH51" s="386">
        <v>24086.22</v>
      </c>
      <c r="AI51" s="386">
        <v>0</v>
      </c>
      <c r="AJ51" s="386">
        <v>40799.349999999991</v>
      </c>
      <c r="AK51" s="386">
        <v>0</v>
      </c>
      <c r="AL51" s="386">
        <v>0</v>
      </c>
      <c r="AM51" s="386">
        <v>0</v>
      </c>
      <c r="AN51" s="386">
        <v>0</v>
      </c>
      <c r="AO51" s="386">
        <v>0</v>
      </c>
      <c r="AP51" s="386">
        <v>0</v>
      </c>
      <c r="AQ51" s="386">
        <v>0</v>
      </c>
      <c r="AR51" s="386">
        <v>0</v>
      </c>
      <c r="AS51" s="386">
        <v>0</v>
      </c>
      <c r="AT51" s="386">
        <v>0</v>
      </c>
      <c r="AU51" s="386">
        <v>0</v>
      </c>
      <c r="AV51" s="386">
        <v>1249.71</v>
      </c>
      <c r="AW51" s="386">
        <v>0</v>
      </c>
      <c r="AX51" s="386">
        <v>0</v>
      </c>
      <c r="AY51" s="386">
        <v>1360.54</v>
      </c>
      <c r="AZ51" s="386">
        <v>0</v>
      </c>
      <c r="BA51" s="386">
        <v>0</v>
      </c>
      <c r="BB51" s="386">
        <v>0</v>
      </c>
      <c r="BC51" s="386">
        <v>0</v>
      </c>
      <c r="BD51" s="386">
        <v>0</v>
      </c>
      <c r="BE51" s="386">
        <v>4243</v>
      </c>
      <c r="BF51" s="386">
        <v>0</v>
      </c>
      <c r="BG51" s="386">
        <v>0</v>
      </c>
      <c r="BH51" s="386">
        <v>0</v>
      </c>
      <c r="BI51" s="386">
        <v>0</v>
      </c>
      <c r="BJ51" s="386">
        <v>0</v>
      </c>
      <c r="BK51" s="386">
        <v>0</v>
      </c>
      <c r="BL51" s="386">
        <v>0</v>
      </c>
      <c r="BM51" s="386">
        <v>0</v>
      </c>
      <c r="BN51" s="386">
        <v>65498.43</v>
      </c>
      <c r="BO51" s="386">
        <v>0</v>
      </c>
      <c r="BP51" s="386">
        <v>0</v>
      </c>
      <c r="BQ51" s="386">
        <v>0</v>
      </c>
      <c r="BR51" s="386">
        <v>0</v>
      </c>
      <c r="BS51" s="386">
        <v>0</v>
      </c>
      <c r="BT51" s="386">
        <v>0</v>
      </c>
      <c r="BU51" s="386">
        <v>0</v>
      </c>
      <c r="BV51" s="386">
        <v>0</v>
      </c>
      <c r="BW51" s="386">
        <v>0</v>
      </c>
      <c r="BX51" s="386">
        <v>0</v>
      </c>
      <c r="BY51" s="386">
        <v>0</v>
      </c>
      <c r="BZ51" s="386">
        <v>0</v>
      </c>
      <c r="CA51" s="386">
        <v>0</v>
      </c>
      <c r="CB51" s="386">
        <v>0</v>
      </c>
      <c r="CC51" s="386">
        <v>0</v>
      </c>
      <c r="CD51" s="193"/>
      <c r="CE51" s="193">
        <f>SUM(C51:CD51)</f>
        <v>560049.01</v>
      </c>
    </row>
    <row r="52" spans="1:84" ht="12.6" customHeight="1" x14ac:dyDescent="0.25">
      <c r="A52" s="171" t="s">
        <v>208</v>
      </c>
      <c r="B52" s="184">
        <v>320784</v>
      </c>
      <c r="C52" s="193">
        <f>ROUND((B52/(CE76+CF76)*C76),0)</f>
        <v>0</v>
      </c>
      <c r="D52" s="193">
        <f>ROUND((B52/(CE76+CF76)*D76),0)</f>
        <v>0</v>
      </c>
      <c r="E52" s="193">
        <f>ROUND((B52/(CE76+CF76)*E76),0)</f>
        <v>0</v>
      </c>
      <c r="F52" s="193">
        <f>ROUND((B52/(CE76+CF76)*F76),0)</f>
        <v>0</v>
      </c>
      <c r="G52" s="193">
        <f>ROUND((B52/(CE76+CF76)*G76),0)</f>
        <v>0</v>
      </c>
      <c r="H52" s="193">
        <f>ROUND((B52/(CE76+CF76)*H76),0)</f>
        <v>0</v>
      </c>
      <c r="I52" s="193">
        <f>ROUND((B52/(CE76+CF76)*I76),0)</f>
        <v>0</v>
      </c>
      <c r="J52" s="193">
        <f>ROUND((B52/(CE76+CF76)*J76),0)</f>
        <v>0</v>
      </c>
      <c r="K52" s="193">
        <f>ROUND((B52/(CE76+CF76)*K76),0)</f>
        <v>0</v>
      </c>
      <c r="L52" s="193">
        <f>ROUND((B52/(CE76+CF76)*L76),0)</f>
        <v>0</v>
      </c>
      <c r="M52" s="193">
        <f>ROUND((B52/(CE76+CF76)*M76),0)</f>
        <v>0</v>
      </c>
      <c r="N52" s="193">
        <f>ROUND((B52/(CE76+CF76)*N76),0)</f>
        <v>0</v>
      </c>
      <c r="O52" s="193">
        <f>ROUND((B52/(CE76+CF76)*O76),0)</f>
        <v>7145</v>
      </c>
      <c r="P52" s="193">
        <f>ROUND((B52/(CE76+CF76)*P76),0)</f>
        <v>8162</v>
      </c>
      <c r="Q52" s="193">
        <f>ROUND((B52/(CE76+CF76)*Q76),0)</f>
        <v>4310</v>
      </c>
      <c r="R52" s="193">
        <f>ROUND((B52/(CE76+CF76)*R76),0)</f>
        <v>540</v>
      </c>
      <c r="S52" s="193">
        <f>ROUND((B52/(CE76+CF76)*S76),0)</f>
        <v>15783</v>
      </c>
      <c r="T52" s="193">
        <f>ROUND((B52/(CE76+CF76)*T76),0)</f>
        <v>0</v>
      </c>
      <c r="U52" s="193">
        <f>ROUND((B52/(CE76+CF76)*U76),0)</f>
        <v>6560</v>
      </c>
      <c r="V52" s="193">
        <f>ROUND((B52/(CE76+CF76)*V76),0)</f>
        <v>0</v>
      </c>
      <c r="W52" s="193">
        <f>ROUND((B52/(CE76+CF76)*W76),0)</f>
        <v>0</v>
      </c>
      <c r="X52" s="193">
        <f>ROUND((B52/(CE76+CF76)*X76),0)</f>
        <v>0</v>
      </c>
      <c r="Y52" s="193">
        <f>ROUND((B52/(CE76+CF76)*Y76),0)</f>
        <v>12670</v>
      </c>
      <c r="Z52" s="193">
        <f>ROUND((B52/(CE76+CF76)*Z76),0)</f>
        <v>0</v>
      </c>
      <c r="AA52" s="193">
        <f>ROUND((B52/(CE76+CF76)*AA76),0)</f>
        <v>0</v>
      </c>
      <c r="AB52" s="193">
        <f>ROUND((B52/(CE76+CF76)*AB76),0)</f>
        <v>3653</v>
      </c>
      <c r="AC52" s="193">
        <f>ROUND((B52/(CE76+CF76)*AC76),0)</f>
        <v>1287</v>
      </c>
      <c r="AD52" s="193">
        <f>ROUND((B52/(CE76+CF76)*AD76),0)</f>
        <v>0</v>
      </c>
      <c r="AE52" s="193">
        <f>ROUND((B52/(CE76+CF76)*AE76),0)</f>
        <v>9835</v>
      </c>
      <c r="AF52" s="193">
        <f>ROUND((B52/(CE76+CF76)*AF76),0)</f>
        <v>0</v>
      </c>
      <c r="AG52" s="193">
        <f>ROUND((B52/(CE76+CF76)*AG76),0)</f>
        <v>12823</v>
      </c>
      <c r="AH52" s="193">
        <f>ROUND((B52/(CE76+CF76)*AH76),0)</f>
        <v>12562</v>
      </c>
      <c r="AI52" s="193">
        <f>ROUND((B52/(CE76+CF76)*AI76),0)</f>
        <v>0</v>
      </c>
      <c r="AJ52" s="193">
        <f>ROUND((B52/(CE76+CF76)*AJ76),0)</f>
        <v>5678</v>
      </c>
      <c r="AK52" s="193">
        <f>ROUND((B52/(CE76+CF76)*AK76),0)</f>
        <v>0</v>
      </c>
      <c r="AL52" s="193">
        <f>ROUND((B52/(CE76+CF76)*AL76),0)</f>
        <v>0</v>
      </c>
      <c r="AM52" s="193">
        <f>ROUND((B52/(CE76+CF76)*AM76),0)</f>
        <v>0</v>
      </c>
      <c r="AN52" s="193">
        <f>ROUND((B52/(CE76+CF76)*AN76),0)</f>
        <v>0</v>
      </c>
      <c r="AO52" s="193">
        <f>ROUND((B52/(CE76+CF76)*AO76),0)</f>
        <v>0</v>
      </c>
      <c r="AP52" s="193">
        <f>ROUND((B52/(CE76+CF76)*AP76),0)</f>
        <v>0</v>
      </c>
      <c r="AQ52" s="193">
        <f>ROUND((B52/(CE76+CF76)*AQ76),0)</f>
        <v>0</v>
      </c>
      <c r="AR52" s="193">
        <f>ROUND((B52/(CE76+CF76)*AR76),0)</f>
        <v>0</v>
      </c>
      <c r="AS52" s="193">
        <f>ROUND((B52/(CE76+CF76)*AS76),0)</f>
        <v>0</v>
      </c>
      <c r="AT52" s="193">
        <f>ROUND((B52/(CE76+CF76)*AT76),0)</f>
        <v>0</v>
      </c>
      <c r="AU52" s="193">
        <f>ROUND((B52/(CE76+CF76)*AU76),0)</f>
        <v>0</v>
      </c>
      <c r="AV52" s="193">
        <f>ROUND((B52/(CE76+CF76)*AV76),0)</f>
        <v>0</v>
      </c>
      <c r="AW52" s="193">
        <f>ROUND((B52/(CE76+CF76)*AW76),0)</f>
        <v>0</v>
      </c>
      <c r="AX52" s="193">
        <f>ROUND((B52/(CE76+CF76)*AX76),0)</f>
        <v>0</v>
      </c>
      <c r="AY52" s="193">
        <f>ROUND((B52/(CE76+CF76)*AY76),0)</f>
        <v>10051</v>
      </c>
      <c r="AZ52" s="193">
        <f>ROUND((B52/(CE76+CF76)*AZ76),0)</f>
        <v>8494</v>
      </c>
      <c r="BA52" s="193">
        <f>ROUND((B52/(CE76+CF76)*BA76),0)</f>
        <v>1008</v>
      </c>
      <c r="BB52" s="193">
        <f>ROUND((B52/(CE76+CF76)*BB76),0)</f>
        <v>648</v>
      </c>
      <c r="BC52" s="193">
        <f>ROUND((B52/(CE76+CF76)*BC76),0)</f>
        <v>0</v>
      </c>
      <c r="BD52" s="193">
        <f>ROUND((B52/(CE76+CF76)*BD76),0)</f>
        <v>0</v>
      </c>
      <c r="BE52" s="193">
        <f>ROUND((B52/(CE76+CF76)*BE76),0)</f>
        <v>18483</v>
      </c>
      <c r="BF52" s="193">
        <f>ROUND((B52/(CE76+CF76)*BF76),0)</f>
        <v>2942</v>
      </c>
      <c r="BG52" s="193">
        <f>ROUND((B52/(CE76+CF76)*BG76),0)</f>
        <v>0</v>
      </c>
      <c r="BH52" s="193">
        <f>ROUND((B52/(CE76+CF76)*BH76),0)</f>
        <v>0</v>
      </c>
      <c r="BI52" s="193">
        <f>ROUND((B52/(CE76+CF76)*BI76),0)</f>
        <v>0</v>
      </c>
      <c r="BJ52" s="193">
        <f>ROUND((B52/(CE76+CF76)*BJ76),0)</f>
        <v>0</v>
      </c>
      <c r="BK52" s="193">
        <f>ROUND((B52/(CE76+CF76)*BK76),0)</f>
        <v>0</v>
      </c>
      <c r="BL52" s="193">
        <f>ROUND((B52/(CE76+CF76)*BL76),0)</f>
        <v>0</v>
      </c>
      <c r="BM52" s="193">
        <f>ROUND((B52/(CE76+CF76)*BM76),0)</f>
        <v>0</v>
      </c>
      <c r="BN52" s="193">
        <f>ROUND((B52/(CE76+CF76)*BN76),0)</f>
        <v>67911</v>
      </c>
      <c r="BO52" s="193">
        <f>ROUND((B52/(CE76+CF76)*BO76),0)</f>
        <v>0</v>
      </c>
      <c r="BP52" s="193">
        <f>ROUND((B52/(CE76+CF76)*BP76),0)</f>
        <v>0</v>
      </c>
      <c r="BQ52" s="193">
        <f>ROUND((B52/(CE76+CF76)*BQ76),0)</f>
        <v>0</v>
      </c>
      <c r="BR52" s="193">
        <f>ROUND((B52/(CE76+CF76)*BR76),0)</f>
        <v>0</v>
      </c>
      <c r="BS52" s="193">
        <f>ROUND((B52/(CE76+CF76)*BS76),0)</f>
        <v>0</v>
      </c>
      <c r="BT52" s="193">
        <f>ROUND((B52/(CE76+CF76)*BT76),0)</f>
        <v>0</v>
      </c>
      <c r="BU52" s="193">
        <f>ROUND((B52/(CE76+CF76)*BU76),0)</f>
        <v>0</v>
      </c>
      <c r="BV52" s="193">
        <f>ROUND((B52/(CE76+CF76)*BV76),0)</f>
        <v>8324</v>
      </c>
      <c r="BW52" s="193">
        <f>ROUND((B52/(CE76+CF76)*BW76),0)</f>
        <v>0</v>
      </c>
      <c r="BX52" s="193">
        <f>ROUND((B52/(CE76+CF76)*BX76),0)</f>
        <v>0</v>
      </c>
      <c r="BY52" s="193">
        <f>ROUND((B52/(CE76+CF76)*BY76),0)</f>
        <v>2007</v>
      </c>
      <c r="BZ52" s="193">
        <f>ROUND((B52/(CE76+CF76)*BZ76),0)</f>
        <v>0</v>
      </c>
      <c r="CA52" s="193">
        <f>ROUND((B52/(CE76+CF76)*CA76),0)</f>
        <v>0</v>
      </c>
      <c r="CB52" s="193">
        <f>ROUND((B52/(CE76+CF76)*CB76),0)</f>
        <v>0</v>
      </c>
      <c r="CC52" s="193">
        <f>ROUND((B52/(CE76+CF76)*CC76),0)</f>
        <v>99909</v>
      </c>
      <c r="CD52" s="193"/>
      <c r="CE52" s="193">
        <f>SUM(C52:CD52)</f>
        <v>320785</v>
      </c>
    </row>
    <row r="53" spans="1:84" ht="12.6" customHeight="1" x14ac:dyDescent="0.25">
      <c r="A53" s="175" t="s">
        <v>206</v>
      </c>
      <c r="B53" s="193">
        <f>B51+B52</f>
        <v>320784</v>
      </c>
      <c r="C53" s="193"/>
      <c r="D53" s="193"/>
      <c r="E53" s="193"/>
      <c r="F53" s="193"/>
      <c r="G53" s="193"/>
      <c r="H53" s="193"/>
      <c r="I53" s="193"/>
      <c r="J53" s="193"/>
      <c r="K53" s="193"/>
      <c r="L53" s="193"/>
      <c r="M53" s="193"/>
      <c r="N53" s="193"/>
      <c r="O53" s="193"/>
      <c r="P53" s="193"/>
      <c r="Q53" s="193"/>
      <c r="R53" s="193"/>
      <c r="S53" s="193"/>
      <c r="T53" s="193"/>
      <c r="U53" s="193"/>
      <c r="V53" s="193"/>
      <c r="W53" s="193"/>
      <c r="X53" s="193"/>
      <c r="Y53" s="193"/>
      <c r="Z53" s="193"/>
      <c r="AA53" s="193"/>
      <c r="AB53" s="193"/>
      <c r="AC53" s="193"/>
      <c r="AD53" s="193"/>
      <c r="AE53" s="193"/>
      <c r="AF53" s="193"/>
      <c r="AG53" s="193"/>
      <c r="AH53" s="193"/>
      <c r="AI53" s="193"/>
      <c r="AJ53" s="193"/>
      <c r="AK53" s="193"/>
      <c r="AL53" s="193"/>
      <c r="AM53" s="193"/>
      <c r="AN53" s="193"/>
      <c r="AO53" s="193"/>
      <c r="AP53" s="193"/>
      <c r="AQ53" s="193"/>
      <c r="AR53" s="193"/>
      <c r="AS53" s="193"/>
      <c r="AT53" s="193"/>
      <c r="AU53" s="193"/>
      <c r="AV53" s="193"/>
      <c r="AW53" s="193"/>
      <c r="AX53" s="193"/>
      <c r="AY53" s="193"/>
      <c r="AZ53" s="193"/>
      <c r="BA53" s="193"/>
      <c r="BB53" s="193"/>
      <c r="BC53" s="193"/>
      <c r="BD53" s="193"/>
      <c r="BE53" s="193"/>
      <c r="BF53" s="193"/>
      <c r="BG53" s="193"/>
      <c r="BH53" s="193"/>
      <c r="BI53" s="193"/>
      <c r="BJ53" s="193"/>
      <c r="BK53" s="193"/>
      <c r="BL53" s="193"/>
      <c r="BM53" s="193"/>
      <c r="BN53" s="193"/>
      <c r="BO53" s="193"/>
      <c r="BP53" s="193"/>
      <c r="BQ53" s="193"/>
      <c r="BR53" s="193"/>
      <c r="BS53" s="193"/>
      <c r="BT53" s="193"/>
      <c r="BU53" s="193"/>
      <c r="BV53" s="193"/>
      <c r="BW53" s="193"/>
      <c r="BX53" s="193"/>
      <c r="BY53" s="193"/>
      <c r="BZ53" s="193"/>
      <c r="CA53" s="193"/>
      <c r="CB53" s="193"/>
      <c r="CC53" s="193"/>
      <c r="CD53" s="193"/>
      <c r="CE53" s="193"/>
    </row>
    <row r="54" spans="1:84" ht="15.75" customHeight="1" x14ac:dyDescent="0.25">
      <c r="A54" s="175"/>
      <c r="B54" s="175"/>
      <c r="C54" s="189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" customHeight="1" x14ac:dyDescent="0.25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2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" customHeight="1" x14ac:dyDescent="0.25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1194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" customHeight="1" x14ac:dyDescent="0.25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" customHeight="1" x14ac:dyDescent="0.25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0" t="s">
        <v>220</v>
      </c>
      <c r="S58" s="243" t="s">
        <v>221</v>
      </c>
      <c r="T58" s="243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43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1212</v>
      </c>
      <c r="AU58" s="170" t="s">
        <v>228</v>
      </c>
      <c r="AV58" s="243" t="s">
        <v>221</v>
      </c>
      <c r="AW58" s="243" t="s">
        <v>221</v>
      </c>
      <c r="AX58" s="243" t="s">
        <v>221</v>
      </c>
      <c r="AY58" s="170" t="s">
        <v>231</v>
      </c>
      <c r="AZ58" s="170" t="s">
        <v>231</v>
      </c>
      <c r="BA58" s="243" t="s">
        <v>221</v>
      </c>
      <c r="BB58" s="243" t="s">
        <v>221</v>
      </c>
      <c r="BC58" s="243" t="s">
        <v>221</v>
      </c>
      <c r="BD58" s="243" t="s">
        <v>221</v>
      </c>
      <c r="BE58" s="170" t="s">
        <v>232</v>
      </c>
      <c r="BF58" s="243" t="s">
        <v>221</v>
      </c>
      <c r="BG58" s="243" t="s">
        <v>221</v>
      </c>
      <c r="BH58" s="243" t="s">
        <v>221</v>
      </c>
      <c r="BI58" s="243" t="s">
        <v>221</v>
      </c>
      <c r="BJ58" s="243" t="s">
        <v>221</v>
      </c>
      <c r="BK58" s="243" t="s">
        <v>221</v>
      </c>
      <c r="BL58" s="243" t="s">
        <v>221</v>
      </c>
      <c r="BM58" s="243" t="s">
        <v>221</v>
      </c>
      <c r="BN58" s="243" t="s">
        <v>221</v>
      </c>
      <c r="BO58" s="243" t="s">
        <v>221</v>
      </c>
      <c r="BP58" s="243" t="s">
        <v>221</v>
      </c>
      <c r="BQ58" s="243" t="s">
        <v>221</v>
      </c>
      <c r="BR58" s="243" t="s">
        <v>221</v>
      </c>
      <c r="BS58" s="243" t="s">
        <v>221</v>
      </c>
      <c r="BT58" s="243" t="s">
        <v>221</v>
      </c>
      <c r="BU58" s="243" t="s">
        <v>221</v>
      </c>
      <c r="BV58" s="243" t="s">
        <v>221</v>
      </c>
      <c r="BW58" s="243" t="s">
        <v>221</v>
      </c>
      <c r="BX58" s="243" t="s">
        <v>221</v>
      </c>
      <c r="BY58" s="243" t="s">
        <v>221</v>
      </c>
      <c r="BZ58" s="243" t="s">
        <v>221</v>
      </c>
      <c r="CA58" s="243" t="s">
        <v>221</v>
      </c>
      <c r="CB58" s="243" t="s">
        <v>221</v>
      </c>
      <c r="CC58" s="243" t="s">
        <v>221</v>
      </c>
      <c r="CD58" s="243" t="s">
        <v>221</v>
      </c>
      <c r="CE58" s="243" t="s">
        <v>221</v>
      </c>
    </row>
    <row r="59" spans="1:84" ht="12.6" customHeight="1" x14ac:dyDescent="0.25">
      <c r="A59" s="171" t="s">
        <v>233</v>
      </c>
      <c r="B59" s="175"/>
      <c r="C59" s="402">
        <v>0</v>
      </c>
      <c r="D59" s="402">
        <v>0</v>
      </c>
      <c r="E59" s="402">
        <v>659</v>
      </c>
      <c r="F59" s="402">
        <v>0</v>
      </c>
      <c r="G59" s="402">
        <v>0</v>
      </c>
      <c r="H59" s="402">
        <v>0</v>
      </c>
      <c r="I59" s="402">
        <v>438</v>
      </c>
      <c r="J59" s="402">
        <v>133</v>
      </c>
      <c r="K59" s="402">
        <v>0</v>
      </c>
      <c r="L59" s="402">
        <v>3983</v>
      </c>
      <c r="M59" s="184"/>
      <c r="N59" s="184"/>
      <c r="O59" s="317"/>
      <c r="P59" s="318"/>
      <c r="Q59" s="318"/>
      <c r="R59" s="318"/>
      <c r="S59" s="244"/>
      <c r="T59" s="244"/>
      <c r="U59" s="220"/>
      <c r="V59" s="318"/>
      <c r="W59" s="318"/>
      <c r="X59" s="318"/>
      <c r="Y59" s="318"/>
      <c r="Z59" s="318"/>
      <c r="AA59" s="318"/>
      <c r="AB59" s="244"/>
      <c r="AC59" s="318"/>
      <c r="AD59" s="318"/>
      <c r="AE59" s="318"/>
      <c r="AF59" s="318"/>
      <c r="AG59" s="318"/>
      <c r="AH59" s="318"/>
      <c r="AI59" s="318"/>
      <c r="AJ59" s="318"/>
      <c r="AK59" s="318"/>
      <c r="AL59" s="318"/>
      <c r="AM59" s="318"/>
      <c r="AN59" s="318"/>
      <c r="AO59" s="318"/>
      <c r="AP59" s="318"/>
      <c r="AQ59" s="318"/>
      <c r="AR59" s="318"/>
      <c r="AS59" s="318"/>
      <c r="AT59" s="318"/>
      <c r="AU59" s="318"/>
      <c r="AV59" s="244"/>
      <c r="AW59" s="244"/>
      <c r="AX59" s="244"/>
      <c r="AY59" s="318">
        <v>15098</v>
      </c>
      <c r="AZ59" s="318"/>
      <c r="BA59" s="244"/>
      <c r="BB59" s="244"/>
      <c r="BC59" s="244"/>
      <c r="BD59" s="244"/>
      <c r="BE59" s="185">
        <v>35649</v>
      </c>
      <c r="BF59" s="244"/>
      <c r="BG59" s="244"/>
      <c r="BH59" s="244"/>
      <c r="BI59" s="244"/>
      <c r="BJ59" s="244"/>
      <c r="BK59" s="244"/>
      <c r="BL59" s="244"/>
      <c r="BM59" s="244"/>
      <c r="BN59" s="244"/>
      <c r="BO59" s="244"/>
      <c r="BP59" s="244"/>
      <c r="BQ59" s="244"/>
      <c r="BR59" s="244"/>
      <c r="BS59" s="244"/>
      <c r="BT59" s="244"/>
      <c r="BU59" s="244"/>
      <c r="BV59" s="244"/>
      <c r="BW59" s="244"/>
      <c r="BX59" s="244"/>
      <c r="BY59" s="244"/>
      <c r="BZ59" s="244"/>
      <c r="CA59" s="244"/>
      <c r="CB59" s="244"/>
      <c r="CC59" s="244"/>
      <c r="CD59" s="245"/>
      <c r="CE59" s="193"/>
    </row>
    <row r="60" spans="1:84" ht="12.6" customHeight="1" x14ac:dyDescent="0.25">
      <c r="A60" s="246" t="s">
        <v>234</v>
      </c>
      <c r="B60" s="175"/>
      <c r="C60" s="408">
        <v>0</v>
      </c>
      <c r="D60" s="408">
        <v>0</v>
      </c>
      <c r="E60" s="407">
        <v>9.34</v>
      </c>
      <c r="F60" s="409">
        <v>0</v>
      </c>
      <c r="G60" s="408">
        <v>0</v>
      </c>
      <c r="H60" s="408">
        <v>0</v>
      </c>
      <c r="I60" s="407">
        <v>2.42</v>
      </c>
      <c r="J60" s="407">
        <v>0.01</v>
      </c>
      <c r="K60" s="409">
        <v>0</v>
      </c>
      <c r="L60" s="407">
        <v>28.169999999999998</v>
      </c>
      <c r="M60" s="406">
        <v>0</v>
      </c>
      <c r="N60" s="406">
        <v>0</v>
      </c>
      <c r="O60" s="405">
        <v>3.7170144230769231</v>
      </c>
      <c r="P60" s="405">
        <v>6.609360576923077</v>
      </c>
      <c r="Q60" s="405">
        <v>2.3007788461538463</v>
      </c>
      <c r="R60" s="405">
        <v>1.0515625</v>
      </c>
      <c r="S60" s="405">
        <v>0</v>
      </c>
      <c r="T60" s="405">
        <v>0</v>
      </c>
      <c r="U60" s="405">
        <v>9.1093846153846147</v>
      </c>
      <c r="V60" s="405">
        <v>0</v>
      </c>
      <c r="W60" s="405">
        <v>0</v>
      </c>
      <c r="X60" s="405">
        <v>0</v>
      </c>
      <c r="Y60" s="405">
        <v>7.7117067307692313</v>
      </c>
      <c r="Z60" s="405">
        <v>0</v>
      </c>
      <c r="AA60" s="405">
        <v>0</v>
      </c>
      <c r="AB60" s="405">
        <v>2.008173076923077</v>
      </c>
      <c r="AC60" s="405">
        <v>0.66201923076923075</v>
      </c>
      <c r="AD60" s="405">
        <v>0</v>
      </c>
      <c r="AE60" s="405">
        <v>4.3839903846153847</v>
      </c>
      <c r="AF60" s="405">
        <v>0</v>
      </c>
      <c r="AG60" s="405">
        <v>11.545985576923076</v>
      </c>
      <c r="AH60" s="405">
        <v>23.256581730769231</v>
      </c>
      <c r="AI60" s="405">
        <v>0</v>
      </c>
      <c r="AJ60" s="405">
        <v>38.320307692307694</v>
      </c>
      <c r="AK60" s="405">
        <v>1.1252644230769231</v>
      </c>
      <c r="AL60" s="405">
        <v>0</v>
      </c>
      <c r="AM60" s="405">
        <v>0</v>
      </c>
      <c r="AN60" s="405">
        <v>0</v>
      </c>
      <c r="AO60" s="405">
        <v>0</v>
      </c>
      <c r="AP60" s="405">
        <v>0</v>
      </c>
      <c r="AQ60" s="405">
        <v>0</v>
      </c>
      <c r="AR60" s="405">
        <v>0</v>
      </c>
      <c r="AS60" s="405">
        <v>0</v>
      </c>
      <c r="AT60" s="405">
        <v>0</v>
      </c>
      <c r="AU60" s="405">
        <v>0</v>
      </c>
      <c r="AV60" s="405">
        <v>0</v>
      </c>
      <c r="AW60" s="405">
        <v>0</v>
      </c>
      <c r="AX60" s="405">
        <v>0</v>
      </c>
      <c r="AY60" s="405">
        <v>8.2565817307692306</v>
      </c>
      <c r="AZ60" s="405">
        <v>0</v>
      </c>
      <c r="BA60" s="405">
        <v>1.6760480769230768</v>
      </c>
      <c r="BB60" s="405">
        <v>0.78539423076923076</v>
      </c>
      <c r="BC60" s="405">
        <v>0</v>
      </c>
      <c r="BD60" s="405">
        <v>3.4980769230769231</v>
      </c>
      <c r="BE60" s="405">
        <v>4.5380769230769236</v>
      </c>
      <c r="BF60" s="405">
        <v>5.0796875000000004</v>
      </c>
      <c r="BG60" s="405">
        <v>0</v>
      </c>
      <c r="BH60" s="405">
        <v>3.004403846153846</v>
      </c>
      <c r="BI60" s="405">
        <v>0.44495192307692305</v>
      </c>
      <c r="BJ60" s="405">
        <v>8.4430048076923079</v>
      </c>
      <c r="BK60" s="405">
        <v>0</v>
      </c>
      <c r="BL60" s="405">
        <v>8.4288509615384601</v>
      </c>
      <c r="BM60" s="405">
        <v>0</v>
      </c>
      <c r="BN60" s="405">
        <v>7.9828124999999996</v>
      </c>
      <c r="BO60" s="405">
        <v>0</v>
      </c>
      <c r="BP60" s="405">
        <v>0.7153846153846154</v>
      </c>
      <c r="BQ60" s="405">
        <v>0</v>
      </c>
      <c r="BR60" s="405">
        <v>0</v>
      </c>
      <c r="BS60" s="405">
        <v>0</v>
      </c>
      <c r="BT60" s="405">
        <v>0</v>
      </c>
      <c r="BU60" s="405">
        <v>0</v>
      </c>
      <c r="BV60" s="405">
        <v>0</v>
      </c>
      <c r="BW60" s="405">
        <v>0</v>
      </c>
      <c r="BX60" s="405">
        <v>5.0903846153846155</v>
      </c>
      <c r="BY60" s="405">
        <v>0.68461538461538463</v>
      </c>
      <c r="BZ60" s="405">
        <v>0</v>
      </c>
      <c r="CA60" s="405">
        <v>0</v>
      </c>
      <c r="CB60" s="405">
        <v>1.0249999999999999</v>
      </c>
      <c r="CC60" s="405">
        <v>0</v>
      </c>
      <c r="CD60" s="245" t="s">
        <v>221</v>
      </c>
      <c r="CE60" s="247">
        <f t="shared" ref="CE60:CE70" si="0">SUM(C60:CD60)</f>
        <v>211.39540384615387</v>
      </c>
    </row>
    <row r="61" spans="1:84" ht="12.6" customHeight="1" x14ac:dyDescent="0.25">
      <c r="A61" s="171" t="s">
        <v>235</v>
      </c>
      <c r="B61" s="175"/>
      <c r="C61" s="388">
        <v>0</v>
      </c>
      <c r="D61" s="388">
        <v>0</v>
      </c>
      <c r="E61" s="388">
        <v>754468</v>
      </c>
      <c r="F61" s="389">
        <v>0</v>
      </c>
      <c r="G61" s="388">
        <v>0</v>
      </c>
      <c r="H61" s="388">
        <v>0</v>
      </c>
      <c r="I61" s="389">
        <v>179355</v>
      </c>
      <c r="J61" s="389">
        <v>400</v>
      </c>
      <c r="K61" s="389">
        <v>0</v>
      </c>
      <c r="L61" s="389">
        <v>2155627</v>
      </c>
      <c r="M61" s="387">
        <v>0</v>
      </c>
      <c r="N61" s="387">
        <v>0</v>
      </c>
      <c r="O61" s="411">
        <v>346947</v>
      </c>
      <c r="P61" s="411">
        <v>510423</v>
      </c>
      <c r="Q61" s="411">
        <v>215350</v>
      </c>
      <c r="R61" s="411">
        <v>413543</v>
      </c>
      <c r="S61" s="411">
        <v>249486</v>
      </c>
      <c r="T61" s="411">
        <v>0</v>
      </c>
      <c r="U61" s="411">
        <v>578760</v>
      </c>
      <c r="V61" s="411">
        <v>0</v>
      </c>
      <c r="W61" s="411">
        <v>0</v>
      </c>
      <c r="X61" s="411">
        <v>0</v>
      </c>
      <c r="Y61" s="411">
        <v>508843</v>
      </c>
      <c r="Z61" s="411">
        <v>0</v>
      </c>
      <c r="AA61" s="411">
        <v>0</v>
      </c>
      <c r="AB61" s="411">
        <v>204806</v>
      </c>
      <c r="AC61" s="411">
        <v>69651</v>
      </c>
      <c r="AD61" s="411">
        <v>0</v>
      </c>
      <c r="AE61" s="411">
        <v>367491</v>
      </c>
      <c r="AF61" s="411">
        <v>0</v>
      </c>
      <c r="AG61" s="411">
        <v>1735777</v>
      </c>
      <c r="AH61" s="411">
        <v>420842</v>
      </c>
      <c r="AI61" s="411">
        <v>0</v>
      </c>
      <c r="AJ61" s="411">
        <v>4056442</v>
      </c>
      <c r="AK61" s="411">
        <v>100455</v>
      </c>
      <c r="AL61" s="411">
        <v>0</v>
      </c>
      <c r="AM61" s="411">
        <v>0</v>
      </c>
      <c r="AN61" s="411">
        <v>0</v>
      </c>
      <c r="AO61" s="411">
        <v>0</v>
      </c>
      <c r="AP61" s="411">
        <v>0</v>
      </c>
      <c r="AQ61" s="411">
        <v>0</v>
      </c>
      <c r="AR61" s="411">
        <v>-2211</v>
      </c>
      <c r="AS61" s="411">
        <v>0</v>
      </c>
      <c r="AT61" s="411">
        <v>0</v>
      </c>
      <c r="AU61" s="411">
        <v>0</v>
      </c>
      <c r="AV61" s="411">
        <v>0</v>
      </c>
      <c r="AW61" s="411">
        <v>0</v>
      </c>
      <c r="AX61" s="411">
        <v>0</v>
      </c>
      <c r="AY61" s="411">
        <v>337639</v>
      </c>
      <c r="AZ61" s="411">
        <v>0</v>
      </c>
      <c r="BA61" s="411">
        <v>15480</v>
      </c>
      <c r="BB61" s="411">
        <v>64612</v>
      </c>
      <c r="BC61" s="411">
        <v>0</v>
      </c>
      <c r="BD61" s="411">
        <v>0</v>
      </c>
      <c r="BE61" s="411">
        <v>209099</v>
      </c>
      <c r="BF61" s="411">
        <v>181763</v>
      </c>
      <c r="BG61" s="411">
        <v>0</v>
      </c>
      <c r="BH61" s="411">
        <v>0</v>
      </c>
      <c r="BI61" s="411">
        <v>0</v>
      </c>
      <c r="BJ61" s="411">
        <v>422053</v>
      </c>
      <c r="BK61" s="411">
        <v>0</v>
      </c>
      <c r="BL61" s="411">
        <v>326620</v>
      </c>
      <c r="BM61" s="411">
        <v>0</v>
      </c>
      <c r="BN61" s="411">
        <v>2193472</v>
      </c>
      <c r="BO61" s="411">
        <v>0</v>
      </c>
      <c r="BP61" s="411">
        <v>0</v>
      </c>
      <c r="BQ61" s="411">
        <v>0</v>
      </c>
      <c r="BR61" s="411">
        <v>0</v>
      </c>
      <c r="BS61" s="411">
        <v>0</v>
      </c>
      <c r="BT61" s="411">
        <v>0</v>
      </c>
      <c r="BU61" s="411">
        <v>0</v>
      </c>
      <c r="BV61" s="411">
        <v>183708</v>
      </c>
      <c r="BW61" s="411">
        <v>0</v>
      </c>
      <c r="BX61" s="411">
        <v>149348</v>
      </c>
      <c r="BY61" s="411">
        <v>116011</v>
      </c>
      <c r="BZ61" s="411">
        <v>0</v>
      </c>
      <c r="CA61" s="411">
        <v>0</v>
      </c>
      <c r="CB61" s="411">
        <v>56333</v>
      </c>
      <c r="CC61" s="411">
        <v>0</v>
      </c>
      <c r="CD61" s="245" t="s">
        <v>221</v>
      </c>
      <c r="CE61" s="193">
        <f t="shared" si="0"/>
        <v>17122593</v>
      </c>
      <c r="CF61" s="248"/>
    </row>
    <row r="62" spans="1:84" ht="12.6" customHeight="1" x14ac:dyDescent="0.25">
      <c r="A62" s="171" t="s">
        <v>3</v>
      </c>
      <c r="B62" s="175"/>
      <c r="C62" s="193">
        <f t="shared" ref="C62:BN62" si="1">ROUND(C47+C48,0)</f>
        <v>0</v>
      </c>
      <c r="D62" s="193">
        <f t="shared" si="1"/>
        <v>0</v>
      </c>
      <c r="E62" s="193">
        <f t="shared" si="1"/>
        <v>153474</v>
      </c>
      <c r="F62" s="193">
        <f t="shared" si="1"/>
        <v>0</v>
      </c>
      <c r="G62" s="193">
        <f t="shared" si="1"/>
        <v>0</v>
      </c>
      <c r="H62" s="193">
        <f t="shared" si="1"/>
        <v>0</v>
      </c>
      <c r="I62" s="193">
        <f t="shared" si="1"/>
        <v>36484</v>
      </c>
      <c r="J62" s="193">
        <f>ROUND(J47+J48,0)</f>
        <v>81</v>
      </c>
      <c r="K62" s="193">
        <f t="shared" si="1"/>
        <v>0</v>
      </c>
      <c r="L62" s="193">
        <f t="shared" si="1"/>
        <v>438497</v>
      </c>
      <c r="M62" s="193">
        <f t="shared" si="1"/>
        <v>0</v>
      </c>
      <c r="N62" s="193">
        <f t="shared" si="1"/>
        <v>0</v>
      </c>
      <c r="O62" s="193">
        <f t="shared" si="1"/>
        <v>70576</v>
      </c>
      <c r="P62" s="193">
        <f t="shared" si="1"/>
        <v>103830</v>
      </c>
      <c r="Q62" s="193">
        <f t="shared" si="1"/>
        <v>43806</v>
      </c>
      <c r="R62" s="193">
        <f t="shared" si="1"/>
        <v>84123</v>
      </c>
      <c r="S62" s="193">
        <f t="shared" si="1"/>
        <v>50750</v>
      </c>
      <c r="T62" s="193">
        <f t="shared" si="1"/>
        <v>0</v>
      </c>
      <c r="U62" s="193">
        <f t="shared" si="1"/>
        <v>117731</v>
      </c>
      <c r="V62" s="193">
        <f t="shared" si="1"/>
        <v>0</v>
      </c>
      <c r="W62" s="193">
        <f t="shared" si="1"/>
        <v>0</v>
      </c>
      <c r="X62" s="193">
        <f t="shared" si="1"/>
        <v>0</v>
      </c>
      <c r="Y62" s="193">
        <f t="shared" si="1"/>
        <v>103509</v>
      </c>
      <c r="Z62" s="193">
        <f t="shared" si="1"/>
        <v>0</v>
      </c>
      <c r="AA62" s="193">
        <f t="shared" si="1"/>
        <v>0</v>
      </c>
      <c r="AB62" s="193">
        <f t="shared" si="1"/>
        <v>41662</v>
      </c>
      <c r="AC62" s="193">
        <f t="shared" si="1"/>
        <v>14168</v>
      </c>
      <c r="AD62" s="193">
        <f t="shared" si="1"/>
        <v>0</v>
      </c>
      <c r="AE62" s="193">
        <f t="shared" si="1"/>
        <v>74755</v>
      </c>
      <c r="AF62" s="193">
        <f t="shared" si="1"/>
        <v>0</v>
      </c>
      <c r="AG62" s="193">
        <f t="shared" si="1"/>
        <v>353091</v>
      </c>
      <c r="AH62" s="193">
        <f t="shared" si="1"/>
        <v>85608</v>
      </c>
      <c r="AI62" s="193">
        <f t="shared" si="1"/>
        <v>0</v>
      </c>
      <c r="AJ62" s="193">
        <f t="shared" si="1"/>
        <v>825160</v>
      </c>
      <c r="AK62" s="193">
        <f t="shared" si="1"/>
        <v>20435</v>
      </c>
      <c r="AL62" s="193">
        <f t="shared" si="1"/>
        <v>0</v>
      </c>
      <c r="AM62" s="193">
        <f t="shared" si="1"/>
        <v>0</v>
      </c>
      <c r="AN62" s="193">
        <f t="shared" si="1"/>
        <v>0</v>
      </c>
      <c r="AO62" s="193">
        <f t="shared" si="1"/>
        <v>0</v>
      </c>
      <c r="AP62" s="193">
        <f t="shared" si="1"/>
        <v>0</v>
      </c>
      <c r="AQ62" s="193">
        <f t="shared" si="1"/>
        <v>0</v>
      </c>
      <c r="AR62" s="193">
        <f t="shared" si="1"/>
        <v>-450</v>
      </c>
      <c r="AS62" s="193">
        <f t="shared" si="1"/>
        <v>0</v>
      </c>
      <c r="AT62" s="193">
        <f t="shared" si="1"/>
        <v>0</v>
      </c>
      <c r="AU62" s="193">
        <f t="shared" si="1"/>
        <v>0</v>
      </c>
      <c r="AV62" s="193">
        <f t="shared" si="1"/>
        <v>0</v>
      </c>
      <c r="AW62" s="193">
        <f t="shared" si="1"/>
        <v>0</v>
      </c>
      <c r="AX62" s="193">
        <f t="shared" si="1"/>
        <v>0</v>
      </c>
      <c r="AY62" s="193">
        <f>ROUND(AY47+AY48,0)</f>
        <v>68682</v>
      </c>
      <c r="AZ62" s="193">
        <f>ROUND(AZ47+AZ48,0)</f>
        <v>0</v>
      </c>
      <c r="BA62" s="193">
        <f>ROUND(BA47+BA48,0)</f>
        <v>3149</v>
      </c>
      <c r="BB62" s="193">
        <f t="shared" si="1"/>
        <v>13143</v>
      </c>
      <c r="BC62" s="193">
        <f t="shared" si="1"/>
        <v>0</v>
      </c>
      <c r="BD62" s="193">
        <f t="shared" si="1"/>
        <v>0</v>
      </c>
      <c r="BE62" s="193">
        <f t="shared" si="1"/>
        <v>42535</v>
      </c>
      <c r="BF62" s="193">
        <f t="shared" si="1"/>
        <v>36974</v>
      </c>
      <c r="BG62" s="193">
        <f t="shared" si="1"/>
        <v>0</v>
      </c>
      <c r="BH62" s="193">
        <f t="shared" si="1"/>
        <v>0</v>
      </c>
      <c r="BI62" s="193">
        <f t="shared" si="1"/>
        <v>0</v>
      </c>
      <c r="BJ62" s="193">
        <f t="shared" si="1"/>
        <v>85854</v>
      </c>
      <c r="BK62" s="193">
        <f t="shared" si="1"/>
        <v>0</v>
      </c>
      <c r="BL62" s="193">
        <f t="shared" si="1"/>
        <v>66441</v>
      </c>
      <c r="BM62" s="193">
        <f t="shared" si="1"/>
        <v>0</v>
      </c>
      <c r="BN62" s="193">
        <f t="shared" si="1"/>
        <v>446195</v>
      </c>
      <c r="BO62" s="193">
        <f t="shared" ref="BO62:CC62" si="2">ROUND(BO47+BO48,0)</f>
        <v>0</v>
      </c>
      <c r="BP62" s="193">
        <f t="shared" si="2"/>
        <v>0</v>
      </c>
      <c r="BQ62" s="193">
        <f t="shared" si="2"/>
        <v>0</v>
      </c>
      <c r="BR62" s="193">
        <f t="shared" si="2"/>
        <v>0</v>
      </c>
      <c r="BS62" s="193">
        <f t="shared" si="2"/>
        <v>0</v>
      </c>
      <c r="BT62" s="193">
        <f t="shared" si="2"/>
        <v>0</v>
      </c>
      <c r="BU62" s="193">
        <f t="shared" si="2"/>
        <v>0</v>
      </c>
      <c r="BV62" s="193">
        <f t="shared" si="2"/>
        <v>37370</v>
      </c>
      <c r="BW62" s="193">
        <f t="shared" si="2"/>
        <v>0</v>
      </c>
      <c r="BX62" s="193">
        <f t="shared" si="2"/>
        <v>30380</v>
      </c>
      <c r="BY62" s="193">
        <f t="shared" si="2"/>
        <v>23599</v>
      </c>
      <c r="BZ62" s="193">
        <f t="shared" si="2"/>
        <v>0</v>
      </c>
      <c r="CA62" s="193">
        <f t="shared" si="2"/>
        <v>0</v>
      </c>
      <c r="CB62" s="193">
        <f t="shared" si="2"/>
        <v>11459</v>
      </c>
      <c r="CC62" s="193">
        <f t="shared" si="2"/>
        <v>0</v>
      </c>
      <c r="CD62" s="245" t="s">
        <v>221</v>
      </c>
      <c r="CE62" s="193">
        <f t="shared" si="0"/>
        <v>3483071</v>
      </c>
      <c r="CF62" s="248"/>
    </row>
    <row r="63" spans="1:84" ht="12.6" customHeight="1" x14ac:dyDescent="0.25">
      <c r="A63" s="171" t="s">
        <v>236</v>
      </c>
      <c r="B63" s="175"/>
      <c r="C63" s="391">
        <v>0</v>
      </c>
      <c r="D63" s="391">
        <v>0</v>
      </c>
      <c r="E63" s="391">
        <v>0</v>
      </c>
      <c r="F63" s="392">
        <v>0</v>
      </c>
      <c r="G63" s="391">
        <v>0</v>
      </c>
      <c r="H63" s="391">
        <v>0</v>
      </c>
      <c r="I63" s="392">
        <v>0</v>
      </c>
      <c r="J63" s="392">
        <v>0</v>
      </c>
      <c r="K63" s="392">
        <v>0</v>
      </c>
      <c r="L63" s="392">
        <v>0</v>
      </c>
      <c r="M63" s="390">
        <v>0</v>
      </c>
      <c r="N63" s="390">
        <v>0</v>
      </c>
      <c r="O63" s="412">
        <v>0</v>
      </c>
      <c r="P63" s="412">
        <v>0</v>
      </c>
      <c r="Q63" s="412">
        <v>0</v>
      </c>
      <c r="R63" s="412">
        <v>0</v>
      </c>
      <c r="S63" s="412">
        <v>0</v>
      </c>
      <c r="T63" s="412">
        <v>0</v>
      </c>
      <c r="U63" s="412">
        <v>7200</v>
      </c>
      <c r="V63" s="412">
        <v>0</v>
      </c>
      <c r="W63" s="412">
        <v>0</v>
      </c>
      <c r="X63" s="412">
        <v>0</v>
      </c>
      <c r="Y63" s="412">
        <v>335536</v>
      </c>
      <c r="Z63" s="412">
        <v>0</v>
      </c>
      <c r="AA63" s="412">
        <v>0</v>
      </c>
      <c r="AB63" s="412">
        <v>0</v>
      </c>
      <c r="AC63" s="412">
        <v>0</v>
      </c>
      <c r="AD63" s="412">
        <v>0</v>
      </c>
      <c r="AE63" s="412">
        <v>0</v>
      </c>
      <c r="AF63" s="412">
        <v>0</v>
      </c>
      <c r="AG63" s="412">
        <v>144764</v>
      </c>
      <c r="AH63" s="412">
        <v>0</v>
      </c>
      <c r="AI63" s="412">
        <v>0</v>
      </c>
      <c r="AJ63" s="412">
        <v>75071</v>
      </c>
      <c r="AK63" s="412">
        <v>0</v>
      </c>
      <c r="AL63" s="412">
        <v>0</v>
      </c>
      <c r="AM63" s="412">
        <v>0</v>
      </c>
      <c r="AN63" s="412">
        <v>0</v>
      </c>
      <c r="AO63" s="412">
        <v>0</v>
      </c>
      <c r="AP63" s="412">
        <v>0</v>
      </c>
      <c r="AQ63" s="412">
        <v>0</v>
      </c>
      <c r="AR63" s="412">
        <v>0</v>
      </c>
      <c r="AS63" s="412">
        <v>0</v>
      </c>
      <c r="AT63" s="412">
        <v>0</v>
      </c>
      <c r="AU63" s="412">
        <v>0</v>
      </c>
      <c r="AV63" s="412">
        <v>0</v>
      </c>
      <c r="AW63" s="412">
        <v>0</v>
      </c>
      <c r="AX63" s="412">
        <v>0</v>
      </c>
      <c r="AY63" s="412">
        <v>0</v>
      </c>
      <c r="AZ63" s="412">
        <v>0</v>
      </c>
      <c r="BA63" s="412">
        <v>0</v>
      </c>
      <c r="BB63" s="412">
        <v>0</v>
      </c>
      <c r="BC63" s="412">
        <v>0</v>
      </c>
      <c r="BD63" s="412">
        <v>0</v>
      </c>
      <c r="BE63" s="412">
        <v>0</v>
      </c>
      <c r="BF63" s="412">
        <v>0</v>
      </c>
      <c r="BG63" s="412">
        <v>0</v>
      </c>
      <c r="BH63" s="412">
        <v>0</v>
      </c>
      <c r="BI63" s="412">
        <v>0</v>
      </c>
      <c r="BJ63" s="412">
        <v>0</v>
      </c>
      <c r="BK63" s="412">
        <v>0</v>
      </c>
      <c r="BL63" s="412">
        <v>0</v>
      </c>
      <c r="BM63" s="412">
        <v>0</v>
      </c>
      <c r="BN63" s="412">
        <v>0</v>
      </c>
      <c r="BO63" s="412">
        <v>0</v>
      </c>
      <c r="BP63" s="412">
        <v>0</v>
      </c>
      <c r="BQ63" s="412">
        <v>0</v>
      </c>
      <c r="BR63" s="412">
        <v>0</v>
      </c>
      <c r="BS63" s="412">
        <v>0</v>
      </c>
      <c r="BT63" s="412">
        <v>0</v>
      </c>
      <c r="BU63" s="412">
        <v>0</v>
      </c>
      <c r="BV63" s="412">
        <v>0</v>
      </c>
      <c r="BW63" s="412">
        <v>0</v>
      </c>
      <c r="BX63" s="412">
        <v>0</v>
      </c>
      <c r="BY63" s="412">
        <v>0</v>
      </c>
      <c r="BZ63" s="412">
        <v>0</v>
      </c>
      <c r="CA63" s="412">
        <v>0</v>
      </c>
      <c r="CB63" s="412">
        <v>0</v>
      </c>
      <c r="CC63" s="412">
        <v>0</v>
      </c>
      <c r="CD63" s="245" t="s">
        <v>221</v>
      </c>
      <c r="CE63" s="193">
        <f t="shared" si="0"/>
        <v>562571</v>
      </c>
      <c r="CF63" s="248"/>
    </row>
    <row r="64" spans="1:84" ht="12.6" customHeight="1" x14ac:dyDescent="0.25">
      <c r="A64" s="171" t="s">
        <v>237</v>
      </c>
      <c r="B64" s="175"/>
      <c r="C64" s="391">
        <v>0</v>
      </c>
      <c r="D64" s="391">
        <v>0</v>
      </c>
      <c r="E64" s="392">
        <v>22429</v>
      </c>
      <c r="F64" s="392">
        <v>0</v>
      </c>
      <c r="G64" s="391">
        <v>0</v>
      </c>
      <c r="H64" s="391">
        <v>0</v>
      </c>
      <c r="I64" s="392">
        <v>1558</v>
      </c>
      <c r="J64" s="391">
        <v>9901</v>
      </c>
      <c r="K64" s="392">
        <v>0</v>
      </c>
      <c r="L64" s="392">
        <v>36314</v>
      </c>
      <c r="M64" s="390">
        <v>0</v>
      </c>
      <c r="N64" s="390">
        <v>0</v>
      </c>
      <c r="O64" s="410">
        <v>17376</v>
      </c>
      <c r="P64" s="410">
        <v>62362</v>
      </c>
      <c r="Q64" s="410">
        <v>19420</v>
      </c>
      <c r="R64" s="410">
        <v>2693</v>
      </c>
      <c r="S64" s="410">
        <v>646102</v>
      </c>
      <c r="T64" s="410">
        <v>0</v>
      </c>
      <c r="U64" s="410">
        <v>393294</v>
      </c>
      <c r="V64" s="410">
        <v>0</v>
      </c>
      <c r="W64" s="410">
        <v>0</v>
      </c>
      <c r="X64" s="410">
        <v>0</v>
      </c>
      <c r="Y64" s="410">
        <v>69395</v>
      </c>
      <c r="Z64" s="410">
        <v>0</v>
      </c>
      <c r="AA64" s="410">
        <v>0</v>
      </c>
      <c r="AB64" s="410">
        <v>305690</v>
      </c>
      <c r="AC64" s="410">
        <v>17323</v>
      </c>
      <c r="AD64" s="410">
        <v>0</v>
      </c>
      <c r="AE64" s="410">
        <v>3727</v>
      </c>
      <c r="AF64" s="410">
        <v>0</v>
      </c>
      <c r="AG64" s="410">
        <v>39075</v>
      </c>
      <c r="AH64" s="410">
        <v>71418</v>
      </c>
      <c r="AI64" s="410">
        <v>0</v>
      </c>
      <c r="AJ64" s="410">
        <v>225062</v>
      </c>
      <c r="AK64" s="410">
        <v>846</v>
      </c>
      <c r="AL64" s="410">
        <v>0</v>
      </c>
      <c r="AM64" s="410">
        <v>0</v>
      </c>
      <c r="AN64" s="410">
        <v>0</v>
      </c>
      <c r="AO64" s="410">
        <v>0</v>
      </c>
      <c r="AP64" s="410">
        <v>0</v>
      </c>
      <c r="AQ64" s="410">
        <v>0</v>
      </c>
      <c r="AR64" s="410">
        <v>877</v>
      </c>
      <c r="AS64" s="410">
        <v>0</v>
      </c>
      <c r="AT64" s="410">
        <v>0</v>
      </c>
      <c r="AU64" s="410">
        <v>0</v>
      </c>
      <c r="AV64" s="410">
        <v>0</v>
      </c>
      <c r="AW64" s="410">
        <v>0</v>
      </c>
      <c r="AX64" s="410">
        <v>0</v>
      </c>
      <c r="AY64" s="410">
        <v>227162</v>
      </c>
      <c r="AZ64" s="410">
        <v>0</v>
      </c>
      <c r="BA64" s="410">
        <v>35</v>
      </c>
      <c r="BB64" s="410">
        <v>136</v>
      </c>
      <c r="BC64" s="410">
        <v>0</v>
      </c>
      <c r="BD64" s="410">
        <v>0</v>
      </c>
      <c r="BE64" s="410">
        <v>10053</v>
      </c>
      <c r="BF64" s="410">
        <v>25617</v>
      </c>
      <c r="BG64" s="410">
        <v>0</v>
      </c>
      <c r="BH64" s="410">
        <v>0</v>
      </c>
      <c r="BI64" s="410">
        <v>0</v>
      </c>
      <c r="BJ64" s="410">
        <v>6594</v>
      </c>
      <c r="BK64" s="410">
        <v>0</v>
      </c>
      <c r="BL64" s="410">
        <v>6238</v>
      </c>
      <c r="BM64" s="410">
        <v>0</v>
      </c>
      <c r="BN64" s="410">
        <v>79793</v>
      </c>
      <c r="BO64" s="410">
        <v>0</v>
      </c>
      <c r="BP64" s="410">
        <v>0</v>
      </c>
      <c r="BQ64" s="410">
        <v>0</v>
      </c>
      <c r="BR64" s="410">
        <v>0</v>
      </c>
      <c r="BS64" s="410">
        <v>0</v>
      </c>
      <c r="BT64" s="410">
        <v>0</v>
      </c>
      <c r="BU64" s="410">
        <v>0</v>
      </c>
      <c r="BV64" s="410">
        <v>7632</v>
      </c>
      <c r="BW64" s="410">
        <v>0</v>
      </c>
      <c r="BX64" s="410">
        <v>4913</v>
      </c>
      <c r="BY64" s="410">
        <v>1762</v>
      </c>
      <c r="BZ64" s="410">
        <v>0</v>
      </c>
      <c r="CA64" s="410">
        <v>0</v>
      </c>
      <c r="CB64" s="410">
        <v>897</v>
      </c>
      <c r="CC64" s="410">
        <v>0</v>
      </c>
      <c r="CD64" s="245" t="s">
        <v>221</v>
      </c>
      <c r="CE64" s="193">
        <f t="shared" si="0"/>
        <v>2315694</v>
      </c>
      <c r="CF64" s="248"/>
    </row>
    <row r="65" spans="1:84" ht="12.6" customHeight="1" x14ac:dyDescent="0.25">
      <c r="A65" s="171" t="s">
        <v>238</v>
      </c>
      <c r="B65" s="175"/>
      <c r="C65" s="391">
        <v>0</v>
      </c>
      <c r="D65" s="391">
        <v>0</v>
      </c>
      <c r="E65" s="391">
        <v>146</v>
      </c>
      <c r="F65" s="391">
        <v>0</v>
      </c>
      <c r="G65" s="391">
        <v>0</v>
      </c>
      <c r="H65" s="391">
        <v>0</v>
      </c>
      <c r="I65" s="392">
        <v>597</v>
      </c>
      <c r="J65" s="391">
        <v>0</v>
      </c>
      <c r="K65" s="392">
        <v>0</v>
      </c>
      <c r="L65" s="392">
        <v>4552</v>
      </c>
      <c r="M65" s="390">
        <v>0</v>
      </c>
      <c r="N65" s="390">
        <v>0</v>
      </c>
      <c r="O65" s="413">
        <v>0</v>
      </c>
      <c r="P65" s="413">
        <v>3371</v>
      </c>
      <c r="Q65" s="413">
        <v>522</v>
      </c>
      <c r="R65" s="413">
        <v>0</v>
      </c>
      <c r="S65" s="413">
        <v>0</v>
      </c>
      <c r="T65" s="413">
        <v>0</v>
      </c>
      <c r="U65" s="413">
        <v>597</v>
      </c>
      <c r="V65" s="413">
        <v>0</v>
      </c>
      <c r="W65" s="413">
        <v>0</v>
      </c>
      <c r="X65" s="413">
        <v>0</v>
      </c>
      <c r="Y65" s="413">
        <v>1055</v>
      </c>
      <c r="Z65" s="413">
        <v>0</v>
      </c>
      <c r="AA65" s="413">
        <v>0</v>
      </c>
      <c r="AB65" s="413">
        <v>0</v>
      </c>
      <c r="AC65" s="413">
        <v>0</v>
      </c>
      <c r="AD65" s="413">
        <v>0</v>
      </c>
      <c r="AE65" s="413">
        <v>1246</v>
      </c>
      <c r="AF65" s="413">
        <v>0</v>
      </c>
      <c r="AG65" s="413">
        <v>1339</v>
      </c>
      <c r="AH65" s="413">
        <v>10853</v>
      </c>
      <c r="AI65" s="413">
        <v>0</v>
      </c>
      <c r="AJ65" s="413">
        <v>28533</v>
      </c>
      <c r="AK65" s="413">
        <v>0</v>
      </c>
      <c r="AL65" s="413">
        <v>0</v>
      </c>
      <c r="AM65" s="413">
        <v>0</v>
      </c>
      <c r="AN65" s="413">
        <v>0</v>
      </c>
      <c r="AO65" s="413">
        <v>0</v>
      </c>
      <c r="AP65" s="413">
        <v>0</v>
      </c>
      <c r="AQ65" s="413">
        <v>0</v>
      </c>
      <c r="AR65" s="413">
        <v>0</v>
      </c>
      <c r="AS65" s="413">
        <v>0</v>
      </c>
      <c r="AT65" s="413">
        <v>0</v>
      </c>
      <c r="AU65" s="413">
        <v>0</v>
      </c>
      <c r="AV65" s="413">
        <v>0</v>
      </c>
      <c r="AW65" s="413">
        <v>0</v>
      </c>
      <c r="AX65" s="413">
        <v>0</v>
      </c>
      <c r="AY65" s="413">
        <v>0</v>
      </c>
      <c r="AZ65" s="413">
        <v>0</v>
      </c>
      <c r="BA65" s="413">
        <v>0</v>
      </c>
      <c r="BB65" s="413">
        <v>0</v>
      </c>
      <c r="BC65" s="413">
        <v>0</v>
      </c>
      <c r="BD65" s="413">
        <v>0</v>
      </c>
      <c r="BE65" s="413">
        <v>110400</v>
      </c>
      <c r="BF65" s="413">
        <v>789</v>
      </c>
      <c r="BG65" s="413">
        <v>0</v>
      </c>
      <c r="BH65" s="413">
        <v>0</v>
      </c>
      <c r="BI65" s="413">
        <v>0</v>
      </c>
      <c r="BJ65" s="413">
        <v>2226</v>
      </c>
      <c r="BK65" s="413">
        <v>0</v>
      </c>
      <c r="BL65" s="413">
        <v>557</v>
      </c>
      <c r="BM65" s="413">
        <v>0</v>
      </c>
      <c r="BN65" s="413">
        <v>62858</v>
      </c>
      <c r="BO65" s="413">
        <v>0</v>
      </c>
      <c r="BP65" s="413">
        <v>0</v>
      </c>
      <c r="BQ65" s="413">
        <v>0</v>
      </c>
      <c r="BR65" s="413">
        <v>0</v>
      </c>
      <c r="BS65" s="413">
        <v>0</v>
      </c>
      <c r="BT65" s="413">
        <v>0</v>
      </c>
      <c r="BU65" s="413">
        <v>0</v>
      </c>
      <c r="BV65" s="413">
        <v>893</v>
      </c>
      <c r="BW65" s="413">
        <v>0</v>
      </c>
      <c r="BX65" s="413">
        <v>0</v>
      </c>
      <c r="BY65" s="413">
        <v>488</v>
      </c>
      <c r="BZ65" s="413">
        <v>0</v>
      </c>
      <c r="CA65" s="413">
        <v>0</v>
      </c>
      <c r="CB65" s="413">
        <v>109</v>
      </c>
      <c r="CC65" s="413">
        <v>0</v>
      </c>
      <c r="CD65" s="245" t="s">
        <v>221</v>
      </c>
      <c r="CE65" s="193">
        <f t="shared" si="0"/>
        <v>231131</v>
      </c>
      <c r="CF65" s="248"/>
    </row>
    <row r="66" spans="1:84" ht="12.6" customHeight="1" x14ac:dyDescent="0.25">
      <c r="A66" s="171" t="s">
        <v>239</v>
      </c>
      <c r="B66" s="175"/>
      <c r="C66" s="391">
        <v>0</v>
      </c>
      <c r="D66" s="391">
        <v>0</v>
      </c>
      <c r="E66" s="391">
        <v>5119</v>
      </c>
      <c r="F66" s="391">
        <v>0</v>
      </c>
      <c r="G66" s="391">
        <v>0</v>
      </c>
      <c r="H66" s="391">
        <v>0</v>
      </c>
      <c r="I66" s="391">
        <v>1148</v>
      </c>
      <c r="J66" s="391">
        <v>0</v>
      </c>
      <c r="K66" s="392">
        <v>0</v>
      </c>
      <c r="L66" s="392">
        <v>14121</v>
      </c>
      <c r="M66" s="390">
        <v>0</v>
      </c>
      <c r="N66" s="390">
        <v>0</v>
      </c>
      <c r="O66" s="383">
        <v>50582</v>
      </c>
      <c r="P66" s="383">
        <v>5707</v>
      </c>
      <c r="Q66" s="383">
        <v>0</v>
      </c>
      <c r="R66" s="383">
        <v>64158</v>
      </c>
      <c r="S66" s="383">
        <v>50</v>
      </c>
      <c r="T66" s="383">
        <v>0</v>
      </c>
      <c r="U66" s="383">
        <v>183195</v>
      </c>
      <c r="V66" s="383">
        <v>0</v>
      </c>
      <c r="W66" s="383">
        <v>0</v>
      </c>
      <c r="X66" s="383">
        <v>0</v>
      </c>
      <c r="Y66" s="383">
        <v>173242</v>
      </c>
      <c r="Z66" s="383">
        <v>0</v>
      </c>
      <c r="AA66" s="383">
        <v>0</v>
      </c>
      <c r="AB66" s="383">
        <v>125713</v>
      </c>
      <c r="AC66" s="383">
        <v>0</v>
      </c>
      <c r="AD66" s="383">
        <v>0</v>
      </c>
      <c r="AE66" s="383">
        <v>11</v>
      </c>
      <c r="AF66" s="383">
        <v>0</v>
      </c>
      <c r="AG66" s="383">
        <v>16939</v>
      </c>
      <c r="AH66" s="383">
        <v>95586</v>
      </c>
      <c r="AI66" s="383">
        <v>0</v>
      </c>
      <c r="AJ66" s="383">
        <v>356536</v>
      </c>
      <c r="AK66" s="383">
        <v>0</v>
      </c>
      <c r="AL66" s="383">
        <v>0</v>
      </c>
      <c r="AM66" s="383">
        <v>0</v>
      </c>
      <c r="AN66" s="383">
        <v>0</v>
      </c>
      <c r="AO66" s="383">
        <v>0</v>
      </c>
      <c r="AP66" s="383">
        <v>0</v>
      </c>
      <c r="AQ66" s="383">
        <v>0</v>
      </c>
      <c r="AR66" s="383">
        <v>0</v>
      </c>
      <c r="AS66" s="383">
        <v>0</v>
      </c>
      <c r="AT66" s="383">
        <v>0</v>
      </c>
      <c r="AU66" s="383">
        <v>0</v>
      </c>
      <c r="AV66" s="383">
        <v>0</v>
      </c>
      <c r="AW66" s="383">
        <v>0</v>
      </c>
      <c r="AX66" s="383">
        <v>0</v>
      </c>
      <c r="AY66" s="383">
        <v>5815</v>
      </c>
      <c r="AZ66" s="383">
        <v>0</v>
      </c>
      <c r="BA66" s="383">
        <v>99929</v>
      </c>
      <c r="BB66" s="383">
        <v>0</v>
      </c>
      <c r="BC66" s="383">
        <v>0</v>
      </c>
      <c r="BD66" s="383">
        <v>0</v>
      </c>
      <c r="BE66" s="383">
        <v>23588</v>
      </c>
      <c r="BF66" s="383">
        <v>5</v>
      </c>
      <c r="BG66" s="383">
        <v>0</v>
      </c>
      <c r="BH66" s="383">
        <v>0</v>
      </c>
      <c r="BI66" s="383">
        <v>0</v>
      </c>
      <c r="BJ66" s="383">
        <v>95731</v>
      </c>
      <c r="BK66" s="383">
        <v>0</v>
      </c>
      <c r="BL66" s="383">
        <v>8250</v>
      </c>
      <c r="BM66" s="383">
        <v>0</v>
      </c>
      <c r="BN66" s="383">
        <v>301435</v>
      </c>
      <c r="BO66" s="383">
        <v>0</v>
      </c>
      <c r="BP66" s="383">
        <v>0</v>
      </c>
      <c r="BQ66" s="383">
        <v>0</v>
      </c>
      <c r="BR66" s="383">
        <v>0</v>
      </c>
      <c r="BS66" s="383">
        <v>0</v>
      </c>
      <c r="BT66" s="383">
        <v>0</v>
      </c>
      <c r="BU66" s="383">
        <v>0</v>
      </c>
      <c r="BV66" s="383">
        <v>215036</v>
      </c>
      <c r="BW66" s="383">
        <v>0</v>
      </c>
      <c r="BX66" s="383">
        <v>20010</v>
      </c>
      <c r="BY66" s="383">
        <v>0</v>
      </c>
      <c r="BZ66" s="383">
        <v>0</v>
      </c>
      <c r="CA66" s="383">
        <v>0</v>
      </c>
      <c r="CB66" s="383">
        <v>2404</v>
      </c>
      <c r="CC66" s="383">
        <v>0</v>
      </c>
      <c r="CD66" s="245" t="s">
        <v>221</v>
      </c>
      <c r="CE66" s="193">
        <f t="shared" si="0"/>
        <v>1864310</v>
      </c>
      <c r="CF66" s="248"/>
    </row>
    <row r="67" spans="1:84" ht="12.6" customHeight="1" x14ac:dyDescent="0.25">
      <c r="A67" s="171" t="s">
        <v>6</v>
      </c>
      <c r="B67" s="175"/>
      <c r="C67" s="193">
        <f>ROUND(C51+C52,0)</f>
        <v>0</v>
      </c>
      <c r="D67" s="193">
        <f>ROUND(D51+D52,0)</f>
        <v>0</v>
      </c>
      <c r="E67" s="193">
        <f t="shared" ref="E67:BP67" si="3">ROUND(E51+E52,0)</f>
        <v>0</v>
      </c>
      <c r="F67" s="193">
        <f t="shared" si="3"/>
        <v>0</v>
      </c>
      <c r="G67" s="193">
        <f t="shared" si="3"/>
        <v>0</v>
      </c>
      <c r="H67" s="193">
        <f t="shared" si="3"/>
        <v>0</v>
      </c>
      <c r="I67" s="193">
        <f t="shared" si="3"/>
        <v>8444</v>
      </c>
      <c r="J67" s="193">
        <f>ROUND(J51+J52,0)</f>
        <v>532</v>
      </c>
      <c r="K67" s="193">
        <f t="shared" si="3"/>
        <v>0</v>
      </c>
      <c r="L67" s="193">
        <f t="shared" si="3"/>
        <v>0</v>
      </c>
      <c r="M67" s="193">
        <f t="shared" si="3"/>
        <v>0</v>
      </c>
      <c r="N67" s="193">
        <f t="shared" si="3"/>
        <v>0</v>
      </c>
      <c r="O67" s="193">
        <f t="shared" si="3"/>
        <v>68835</v>
      </c>
      <c r="P67" s="193">
        <f t="shared" si="3"/>
        <v>160749</v>
      </c>
      <c r="Q67" s="193">
        <f t="shared" si="3"/>
        <v>4747</v>
      </c>
      <c r="R67" s="193">
        <f t="shared" si="3"/>
        <v>23533</v>
      </c>
      <c r="S67" s="193">
        <f t="shared" si="3"/>
        <v>15783</v>
      </c>
      <c r="T67" s="193">
        <f t="shared" si="3"/>
        <v>0</v>
      </c>
      <c r="U67" s="193">
        <f t="shared" si="3"/>
        <v>24422</v>
      </c>
      <c r="V67" s="193">
        <f t="shared" si="3"/>
        <v>0</v>
      </c>
      <c r="W67" s="193">
        <f t="shared" si="3"/>
        <v>0</v>
      </c>
      <c r="X67" s="193">
        <f t="shared" si="3"/>
        <v>0</v>
      </c>
      <c r="Y67" s="193">
        <f t="shared" si="3"/>
        <v>149739</v>
      </c>
      <c r="Z67" s="193">
        <f t="shared" si="3"/>
        <v>0</v>
      </c>
      <c r="AA67" s="193">
        <f t="shared" si="3"/>
        <v>0</v>
      </c>
      <c r="AB67" s="193">
        <f t="shared" si="3"/>
        <v>5352</v>
      </c>
      <c r="AC67" s="193">
        <f t="shared" si="3"/>
        <v>1287</v>
      </c>
      <c r="AD67" s="193">
        <f t="shared" si="3"/>
        <v>0</v>
      </c>
      <c r="AE67" s="193">
        <f t="shared" si="3"/>
        <v>9835</v>
      </c>
      <c r="AF67" s="193">
        <f t="shared" si="3"/>
        <v>0</v>
      </c>
      <c r="AG67" s="193">
        <f t="shared" si="3"/>
        <v>32321</v>
      </c>
      <c r="AH67" s="193">
        <f t="shared" si="3"/>
        <v>36648</v>
      </c>
      <c r="AI67" s="193">
        <f t="shared" si="3"/>
        <v>0</v>
      </c>
      <c r="AJ67" s="193">
        <f t="shared" si="3"/>
        <v>46477</v>
      </c>
      <c r="AK67" s="193">
        <f t="shared" si="3"/>
        <v>0</v>
      </c>
      <c r="AL67" s="193">
        <f t="shared" si="3"/>
        <v>0</v>
      </c>
      <c r="AM67" s="193">
        <f t="shared" si="3"/>
        <v>0</v>
      </c>
      <c r="AN67" s="193">
        <f t="shared" si="3"/>
        <v>0</v>
      </c>
      <c r="AO67" s="193">
        <f t="shared" si="3"/>
        <v>0</v>
      </c>
      <c r="AP67" s="193">
        <f t="shared" si="3"/>
        <v>0</v>
      </c>
      <c r="AQ67" s="193">
        <f t="shared" si="3"/>
        <v>0</v>
      </c>
      <c r="AR67" s="193">
        <f t="shared" si="3"/>
        <v>0</v>
      </c>
      <c r="AS67" s="193">
        <f t="shared" si="3"/>
        <v>0</v>
      </c>
      <c r="AT67" s="193">
        <f t="shared" si="3"/>
        <v>0</v>
      </c>
      <c r="AU67" s="193">
        <f t="shared" si="3"/>
        <v>0</v>
      </c>
      <c r="AV67" s="193">
        <f t="shared" si="3"/>
        <v>1250</v>
      </c>
      <c r="AW67" s="193">
        <f t="shared" si="3"/>
        <v>0</v>
      </c>
      <c r="AX67" s="193">
        <f t="shared" si="3"/>
        <v>0</v>
      </c>
      <c r="AY67" s="193">
        <f t="shared" si="3"/>
        <v>11412</v>
      </c>
      <c r="AZ67" s="193">
        <f>ROUND(AZ51+AZ52,0)</f>
        <v>8494</v>
      </c>
      <c r="BA67" s="193">
        <f>ROUND(BA51+BA52,0)</f>
        <v>1008</v>
      </c>
      <c r="BB67" s="193">
        <f t="shared" si="3"/>
        <v>648</v>
      </c>
      <c r="BC67" s="193">
        <f t="shared" si="3"/>
        <v>0</v>
      </c>
      <c r="BD67" s="193">
        <f t="shared" si="3"/>
        <v>0</v>
      </c>
      <c r="BE67" s="193">
        <f t="shared" si="3"/>
        <v>22726</v>
      </c>
      <c r="BF67" s="193">
        <f t="shared" si="3"/>
        <v>2942</v>
      </c>
      <c r="BG67" s="193">
        <f t="shared" si="3"/>
        <v>0</v>
      </c>
      <c r="BH67" s="193">
        <f t="shared" si="3"/>
        <v>0</v>
      </c>
      <c r="BI67" s="193">
        <f t="shared" si="3"/>
        <v>0</v>
      </c>
      <c r="BJ67" s="193">
        <f t="shared" si="3"/>
        <v>0</v>
      </c>
      <c r="BK67" s="193">
        <f t="shared" si="3"/>
        <v>0</v>
      </c>
      <c r="BL67" s="193">
        <f t="shared" si="3"/>
        <v>0</v>
      </c>
      <c r="BM67" s="193">
        <f t="shared" si="3"/>
        <v>0</v>
      </c>
      <c r="BN67" s="193">
        <f t="shared" si="3"/>
        <v>133409</v>
      </c>
      <c r="BO67" s="193">
        <f t="shared" si="3"/>
        <v>0</v>
      </c>
      <c r="BP67" s="193">
        <f t="shared" si="3"/>
        <v>0</v>
      </c>
      <c r="BQ67" s="193">
        <f t="shared" ref="BQ67:CC67" si="4">ROUND(BQ51+BQ52,0)</f>
        <v>0</v>
      </c>
      <c r="BR67" s="193">
        <f t="shared" si="4"/>
        <v>0</v>
      </c>
      <c r="BS67" s="193">
        <f t="shared" si="4"/>
        <v>0</v>
      </c>
      <c r="BT67" s="193">
        <f t="shared" si="4"/>
        <v>0</v>
      </c>
      <c r="BU67" s="193">
        <f t="shared" si="4"/>
        <v>0</v>
      </c>
      <c r="BV67" s="193">
        <f t="shared" si="4"/>
        <v>8324</v>
      </c>
      <c r="BW67" s="193">
        <f t="shared" si="4"/>
        <v>0</v>
      </c>
      <c r="BX67" s="193">
        <f t="shared" si="4"/>
        <v>0</v>
      </c>
      <c r="BY67" s="193">
        <f t="shared" si="4"/>
        <v>2007</v>
      </c>
      <c r="BZ67" s="193">
        <f t="shared" si="4"/>
        <v>0</v>
      </c>
      <c r="CA67" s="193">
        <f t="shared" si="4"/>
        <v>0</v>
      </c>
      <c r="CB67" s="193">
        <f t="shared" si="4"/>
        <v>0</v>
      </c>
      <c r="CC67" s="193">
        <f t="shared" si="4"/>
        <v>99909</v>
      </c>
      <c r="CD67" s="245" t="s">
        <v>221</v>
      </c>
      <c r="CE67" s="193">
        <f t="shared" si="0"/>
        <v>880833</v>
      </c>
      <c r="CF67" s="248"/>
    </row>
    <row r="68" spans="1:84" ht="12.6" customHeight="1" x14ac:dyDescent="0.25">
      <c r="A68" s="171" t="s">
        <v>240</v>
      </c>
      <c r="B68" s="175"/>
      <c r="C68" s="394">
        <v>0</v>
      </c>
      <c r="D68" s="394">
        <v>0</v>
      </c>
      <c r="E68" s="394">
        <v>8718</v>
      </c>
      <c r="F68" s="394">
        <v>0</v>
      </c>
      <c r="G68" s="394">
        <v>0</v>
      </c>
      <c r="H68" s="394">
        <v>0</v>
      </c>
      <c r="I68" s="394">
        <v>2786</v>
      </c>
      <c r="J68" s="394">
        <v>0</v>
      </c>
      <c r="K68" s="395">
        <v>0</v>
      </c>
      <c r="L68" s="395">
        <v>30160</v>
      </c>
      <c r="M68" s="393">
        <v>0</v>
      </c>
      <c r="N68" s="393">
        <v>0</v>
      </c>
      <c r="O68" s="384">
        <v>4596</v>
      </c>
      <c r="P68" s="384">
        <v>8860</v>
      </c>
      <c r="Q68" s="384">
        <v>0</v>
      </c>
      <c r="R68" s="384">
        <v>168</v>
      </c>
      <c r="S68" s="384">
        <v>538</v>
      </c>
      <c r="T68" s="384">
        <v>0</v>
      </c>
      <c r="U68" s="384">
        <v>1200</v>
      </c>
      <c r="V68" s="384">
        <v>0</v>
      </c>
      <c r="W68" s="384">
        <v>0</v>
      </c>
      <c r="X68" s="384">
        <v>0</v>
      </c>
      <c r="Y68" s="384">
        <v>1047</v>
      </c>
      <c r="Z68" s="384">
        <v>0</v>
      </c>
      <c r="AA68" s="384">
        <v>0</v>
      </c>
      <c r="AB68" s="384">
        <v>14122</v>
      </c>
      <c r="AC68" s="384">
        <v>4554</v>
      </c>
      <c r="AD68" s="384">
        <v>0</v>
      </c>
      <c r="AE68" s="384">
        <v>1263</v>
      </c>
      <c r="AF68" s="384">
        <v>0</v>
      </c>
      <c r="AG68" s="384">
        <v>14045</v>
      </c>
      <c r="AH68" s="384">
        <v>4453</v>
      </c>
      <c r="AI68" s="384">
        <v>0</v>
      </c>
      <c r="AJ68" s="384">
        <v>205772</v>
      </c>
      <c r="AK68" s="384">
        <v>0</v>
      </c>
      <c r="AL68" s="384">
        <v>0</v>
      </c>
      <c r="AM68" s="384">
        <v>0</v>
      </c>
      <c r="AN68" s="384">
        <v>0</v>
      </c>
      <c r="AO68" s="384">
        <v>0</v>
      </c>
      <c r="AP68" s="384">
        <v>0</v>
      </c>
      <c r="AQ68" s="384">
        <v>0</v>
      </c>
      <c r="AR68" s="384">
        <v>0</v>
      </c>
      <c r="AS68" s="384">
        <v>0</v>
      </c>
      <c r="AT68" s="384">
        <v>0</v>
      </c>
      <c r="AU68" s="384">
        <v>0</v>
      </c>
      <c r="AV68" s="384">
        <v>0</v>
      </c>
      <c r="AW68" s="384">
        <v>0</v>
      </c>
      <c r="AX68" s="384">
        <v>0</v>
      </c>
      <c r="AY68" s="384">
        <v>1047</v>
      </c>
      <c r="AZ68" s="384">
        <v>0</v>
      </c>
      <c r="BA68" s="384">
        <v>0</v>
      </c>
      <c r="BB68" s="384">
        <v>605</v>
      </c>
      <c r="BC68" s="384">
        <v>0</v>
      </c>
      <c r="BD68" s="384">
        <v>0</v>
      </c>
      <c r="BE68" s="384">
        <v>109</v>
      </c>
      <c r="BF68" s="384">
        <v>0</v>
      </c>
      <c r="BG68" s="384">
        <v>0</v>
      </c>
      <c r="BH68" s="384">
        <v>0</v>
      </c>
      <c r="BI68" s="384">
        <v>0</v>
      </c>
      <c r="BJ68" s="384">
        <v>36591</v>
      </c>
      <c r="BK68" s="384">
        <v>0</v>
      </c>
      <c r="BL68" s="384">
        <v>6770</v>
      </c>
      <c r="BM68" s="384">
        <v>0</v>
      </c>
      <c r="BN68" s="384">
        <v>42307</v>
      </c>
      <c r="BO68" s="384">
        <v>0</v>
      </c>
      <c r="BP68" s="384">
        <v>0</v>
      </c>
      <c r="BQ68" s="384">
        <v>0</v>
      </c>
      <c r="BR68" s="384">
        <v>0</v>
      </c>
      <c r="BS68" s="384">
        <v>0</v>
      </c>
      <c r="BT68" s="384">
        <v>0</v>
      </c>
      <c r="BU68" s="384">
        <v>0</v>
      </c>
      <c r="BV68" s="384">
        <v>9501</v>
      </c>
      <c r="BW68" s="384">
        <v>0</v>
      </c>
      <c r="BX68" s="384">
        <v>0</v>
      </c>
      <c r="BY68" s="384">
        <v>1047</v>
      </c>
      <c r="BZ68" s="384">
        <v>0</v>
      </c>
      <c r="CA68" s="384">
        <v>0</v>
      </c>
      <c r="CB68" s="384">
        <v>0</v>
      </c>
      <c r="CC68" s="384">
        <v>0</v>
      </c>
      <c r="CD68" s="245" t="s">
        <v>221</v>
      </c>
      <c r="CE68" s="193">
        <f t="shared" si="0"/>
        <v>400259</v>
      </c>
      <c r="CF68" s="248"/>
    </row>
    <row r="69" spans="1:84" ht="12.6" customHeight="1" x14ac:dyDescent="0.25">
      <c r="A69" s="171" t="s">
        <v>241</v>
      </c>
      <c r="B69" s="175"/>
      <c r="C69" s="394">
        <v>0</v>
      </c>
      <c r="D69" s="394">
        <v>0</v>
      </c>
      <c r="E69" s="395">
        <v>32657</v>
      </c>
      <c r="F69" s="395">
        <v>0</v>
      </c>
      <c r="G69" s="394">
        <v>0</v>
      </c>
      <c r="H69" s="394">
        <v>0</v>
      </c>
      <c r="I69" s="395">
        <v>4860</v>
      </c>
      <c r="J69" s="395">
        <v>0</v>
      </c>
      <c r="K69" s="395">
        <v>0</v>
      </c>
      <c r="L69" s="395">
        <v>71945</v>
      </c>
      <c r="M69" s="393">
        <v>0</v>
      </c>
      <c r="N69" s="393">
        <v>0</v>
      </c>
      <c r="O69" s="385">
        <v>37175</v>
      </c>
      <c r="P69" s="385">
        <v>101642</v>
      </c>
      <c r="Q69" s="385">
        <v>280</v>
      </c>
      <c r="R69" s="385">
        <v>13879</v>
      </c>
      <c r="S69" s="385">
        <v>17852</v>
      </c>
      <c r="T69" s="385">
        <v>0</v>
      </c>
      <c r="U69" s="385">
        <v>48207</v>
      </c>
      <c r="V69" s="385">
        <v>0</v>
      </c>
      <c r="W69" s="385">
        <v>0</v>
      </c>
      <c r="X69" s="385">
        <v>0</v>
      </c>
      <c r="Y69" s="385">
        <v>198449</v>
      </c>
      <c r="Z69" s="385">
        <v>0</v>
      </c>
      <c r="AA69" s="385">
        <v>0</v>
      </c>
      <c r="AB69" s="385">
        <v>15012</v>
      </c>
      <c r="AC69" s="385">
        <v>2109</v>
      </c>
      <c r="AD69" s="385">
        <v>0</v>
      </c>
      <c r="AE69" s="385">
        <v>7981</v>
      </c>
      <c r="AF69" s="385">
        <v>0</v>
      </c>
      <c r="AG69" s="385">
        <v>73670</v>
      </c>
      <c r="AH69" s="385">
        <v>49831</v>
      </c>
      <c r="AI69" s="385">
        <v>0</v>
      </c>
      <c r="AJ69" s="385">
        <v>121158</v>
      </c>
      <c r="AK69" s="385">
        <v>258</v>
      </c>
      <c r="AL69" s="385">
        <v>0</v>
      </c>
      <c r="AM69" s="385">
        <v>0</v>
      </c>
      <c r="AN69" s="385">
        <v>0</v>
      </c>
      <c r="AO69" s="385">
        <v>0</v>
      </c>
      <c r="AP69" s="385">
        <v>0</v>
      </c>
      <c r="AQ69" s="385">
        <v>0</v>
      </c>
      <c r="AR69" s="385">
        <v>0</v>
      </c>
      <c r="AS69" s="385">
        <v>0</v>
      </c>
      <c r="AT69" s="385">
        <v>0</v>
      </c>
      <c r="AU69" s="385">
        <v>0</v>
      </c>
      <c r="AV69" s="385">
        <v>0</v>
      </c>
      <c r="AW69" s="385">
        <v>0</v>
      </c>
      <c r="AX69" s="385">
        <v>0</v>
      </c>
      <c r="AY69" s="385">
        <v>4431</v>
      </c>
      <c r="AZ69" s="385">
        <v>0</v>
      </c>
      <c r="BA69" s="385">
        <v>0</v>
      </c>
      <c r="BB69" s="385">
        <v>0</v>
      </c>
      <c r="BC69" s="385">
        <v>0</v>
      </c>
      <c r="BD69" s="385">
        <v>0</v>
      </c>
      <c r="BE69" s="385">
        <v>18991</v>
      </c>
      <c r="BF69" s="385">
        <v>1376</v>
      </c>
      <c r="BG69" s="385">
        <v>0</v>
      </c>
      <c r="BH69" s="385">
        <v>0</v>
      </c>
      <c r="BI69" s="385">
        <v>0</v>
      </c>
      <c r="BJ69" s="385">
        <v>22470</v>
      </c>
      <c r="BK69" s="385">
        <v>0</v>
      </c>
      <c r="BL69" s="385">
        <v>10120</v>
      </c>
      <c r="BM69" s="385">
        <v>0</v>
      </c>
      <c r="BN69" s="385">
        <v>324428</v>
      </c>
      <c r="BO69" s="385">
        <v>0</v>
      </c>
      <c r="BP69" s="385">
        <v>0</v>
      </c>
      <c r="BQ69" s="385">
        <v>0</v>
      </c>
      <c r="BR69" s="385">
        <v>0</v>
      </c>
      <c r="BS69" s="385">
        <v>0</v>
      </c>
      <c r="BT69" s="385">
        <v>0</v>
      </c>
      <c r="BU69" s="385">
        <v>0</v>
      </c>
      <c r="BV69" s="385">
        <v>43360</v>
      </c>
      <c r="BW69" s="385">
        <v>0</v>
      </c>
      <c r="BX69" s="385">
        <v>6715</v>
      </c>
      <c r="BY69" s="385">
        <v>33127</v>
      </c>
      <c r="BZ69" s="385">
        <v>0</v>
      </c>
      <c r="CA69" s="385">
        <v>0</v>
      </c>
      <c r="CB69" s="385">
        <v>47160</v>
      </c>
      <c r="CC69" s="385">
        <v>0</v>
      </c>
      <c r="CD69" s="385">
        <f>1717528-474108</f>
        <v>1243420</v>
      </c>
      <c r="CE69" s="193">
        <f t="shared" si="0"/>
        <v>2552563</v>
      </c>
      <c r="CF69" s="248"/>
    </row>
    <row r="70" spans="1:84" ht="12.6" customHeight="1" x14ac:dyDescent="0.25">
      <c r="A70" s="171" t="s">
        <v>242</v>
      </c>
      <c r="B70" s="175"/>
      <c r="C70" s="415">
        <v>0</v>
      </c>
      <c r="D70" s="415">
        <v>0</v>
      </c>
      <c r="E70" s="415">
        <v>0</v>
      </c>
      <c r="F70" s="415">
        <v>0</v>
      </c>
      <c r="G70" s="415">
        <v>0</v>
      </c>
      <c r="H70" s="415">
        <v>0</v>
      </c>
      <c r="I70" s="415">
        <v>0</v>
      </c>
      <c r="J70" s="415">
        <v>0</v>
      </c>
      <c r="K70" s="415">
        <v>0</v>
      </c>
      <c r="L70" s="415">
        <v>0</v>
      </c>
      <c r="M70" s="415">
        <v>0</v>
      </c>
      <c r="N70" s="415">
        <v>0</v>
      </c>
      <c r="O70" s="415">
        <v>0</v>
      </c>
      <c r="P70" s="415">
        <v>0</v>
      </c>
      <c r="Q70" s="415">
        <v>0</v>
      </c>
      <c r="R70" s="415">
        <v>0</v>
      </c>
      <c r="S70" s="415">
        <v>0</v>
      </c>
      <c r="T70" s="415">
        <v>0</v>
      </c>
      <c r="U70" s="415">
        <v>0</v>
      </c>
      <c r="V70" s="415">
        <v>0</v>
      </c>
      <c r="W70" s="415">
        <v>0</v>
      </c>
      <c r="X70" s="415">
        <v>0</v>
      </c>
      <c r="Y70" s="415">
        <v>0</v>
      </c>
      <c r="Z70" s="415">
        <v>0</v>
      </c>
      <c r="AA70" s="415">
        <v>0</v>
      </c>
      <c r="AB70" s="415">
        <v>582340</v>
      </c>
      <c r="AC70" s="415">
        <v>0</v>
      </c>
      <c r="AD70" s="415">
        <v>0</v>
      </c>
      <c r="AE70" s="415">
        <v>0</v>
      </c>
      <c r="AF70" s="415">
        <v>0</v>
      </c>
      <c r="AG70" s="415">
        <v>0</v>
      </c>
      <c r="AH70" s="415">
        <v>61662</v>
      </c>
      <c r="AI70" s="415">
        <v>0</v>
      </c>
      <c r="AJ70" s="415">
        <v>0</v>
      </c>
      <c r="AK70" s="415">
        <v>0</v>
      </c>
      <c r="AL70" s="415">
        <v>0</v>
      </c>
      <c r="AM70" s="415">
        <v>0</v>
      </c>
      <c r="AN70" s="415">
        <v>0</v>
      </c>
      <c r="AO70" s="415">
        <v>0</v>
      </c>
      <c r="AP70" s="415">
        <v>0</v>
      </c>
      <c r="AQ70" s="415">
        <v>0</v>
      </c>
      <c r="AR70" s="415">
        <v>0</v>
      </c>
      <c r="AS70" s="415">
        <v>0</v>
      </c>
      <c r="AT70" s="415">
        <v>0</v>
      </c>
      <c r="AU70" s="415">
        <v>0</v>
      </c>
      <c r="AV70" s="415">
        <v>0</v>
      </c>
      <c r="AW70" s="415">
        <v>0</v>
      </c>
      <c r="AX70" s="415">
        <v>0</v>
      </c>
      <c r="AY70" s="415">
        <v>116770</v>
      </c>
      <c r="AZ70" s="415">
        <v>0</v>
      </c>
      <c r="BA70" s="415">
        <v>0</v>
      </c>
      <c r="BB70" s="415">
        <v>0</v>
      </c>
      <c r="BC70" s="415">
        <v>0</v>
      </c>
      <c r="BD70" s="415">
        <v>0</v>
      </c>
      <c r="BE70" s="415">
        <v>0</v>
      </c>
      <c r="BF70" s="415">
        <v>0</v>
      </c>
      <c r="BG70" s="415">
        <v>0</v>
      </c>
      <c r="BH70" s="415">
        <v>0</v>
      </c>
      <c r="BI70" s="415">
        <v>0</v>
      </c>
      <c r="BJ70" s="415">
        <v>0</v>
      </c>
      <c r="BK70" s="415">
        <v>0</v>
      </c>
      <c r="BL70" s="415">
        <v>0</v>
      </c>
      <c r="BM70" s="415">
        <v>0</v>
      </c>
      <c r="BN70" s="415">
        <v>5260</v>
      </c>
      <c r="BO70" s="415">
        <v>0</v>
      </c>
      <c r="BP70" s="415">
        <v>0</v>
      </c>
      <c r="BQ70" s="415">
        <v>0</v>
      </c>
      <c r="BR70" s="415">
        <v>0</v>
      </c>
      <c r="BS70" s="415">
        <v>0</v>
      </c>
      <c r="BT70" s="415">
        <v>0</v>
      </c>
      <c r="BU70" s="415">
        <v>0</v>
      </c>
      <c r="BV70" s="415">
        <v>6372</v>
      </c>
      <c r="BW70" s="415">
        <v>0</v>
      </c>
      <c r="BX70" s="415">
        <v>0</v>
      </c>
      <c r="BY70" s="415">
        <v>0</v>
      </c>
      <c r="BZ70" s="415">
        <v>0</v>
      </c>
      <c r="CA70" s="415">
        <v>0</v>
      </c>
      <c r="CB70" s="415">
        <v>0</v>
      </c>
      <c r="CC70" s="415">
        <v>0</v>
      </c>
      <c r="CD70" s="415">
        <v>0</v>
      </c>
      <c r="CE70" s="193">
        <f t="shared" si="0"/>
        <v>772404</v>
      </c>
      <c r="CF70" s="248"/>
    </row>
    <row r="71" spans="1:84" ht="12.6" customHeight="1" x14ac:dyDescent="0.25">
      <c r="A71" s="171" t="s">
        <v>243</v>
      </c>
      <c r="B71" s="175"/>
      <c r="C71" s="193">
        <f>SUM(C61:C68)+C69-C70</f>
        <v>0</v>
      </c>
      <c r="D71" s="193">
        <f t="shared" ref="D71:AI71" si="5">SUM(D61:D69)-D70</f>
        <v>0</v>
      </c>
      <c r="E71" s="193">
        <f t="shared" si="5"/>
        <v>977011</v>
      </c>
      <c r="F71" s="193">
        <f t="shared" si="5"/>
        <v>0</v>
      </c>
      <c r="G71" s="193">
        <f t="shared" si="5"/>
        <v>0</v>
      </c>
      <c r="H71" s="193">
        <f t="shared" si="5"/>
        <v>0</v>
      </c>
      <c r="I71" s="193">
        <f t="shared" si="5"/>
        <v>235232</v>
      </c>
      <c r="J71" s="193">
        <f t="shared" si="5"/>
        <v>10914</v>
      </c>
      <c r="K71" s="193">
        <f t="shared" si="5"/>
        <v>0</v>
      </c>
      <c r="L71" s="193">
        <f t="shared" si="5"/>
        <v>2751216</v>
      </c>
      <c r="M71" s="193">
        <f t="shared" si="5"/>
        <v>0</v>
      </c>
      <c r="N71" s="193">
        <f t="shared" si="5"/>
        <v>0</v>
      </c>
      <c r="O71" s="193">
        <f t="shared" si="5"/>
        <v>596087</v>
      </c>
      <c r="P71" s="193">
        <f t="shared" si="5"/>
        <v>956944</v>
      </c>
      <c r="Q71" s="193">
        <f t="shared" si="5"/>
        <v>284125</v>
      </c>
      <c r="R71" s="193">
        <f t="shared" si="5"/>
        <v>602097</v>
      </c>
      <c r="S71" s="193">
        <f t="shared" si="5"/>
        <v>980561</v>
      </c>
      <c r="T71" s="193">
        <f t="shared" si="5"/>
        <v>0</v>
      </c>
      <c r="U71" s="193">
        <f t="shared" si="5"/>
        <v>1354606</v>
      </c>
      <c r="V71" s="193">
        <f t="shared" si="5"/>
        <v>0</v>
      </c>
      <c r="W71" s="193">
        <f t="shared" si="5"/>
        <v>0</v>
      </c>
      <c r="X71" s="193">
        <f t="shared" si="5"/>
        <v>0</v>
      </c>
      <c r="Y71" s="193">
        <f t="shared" si="5"/>
        <v>1540815</v>
      </c>
      <c r="Z71" s="193">
        <f t="shared" si="5"/>
        <v>0</v>
      </c>
      <c r="AA71" s="193">
        <f t="shared" si="5"/>
        <v>0</v>
      </c>
      <c r="AB71" s="193">
        <f t="shared" si="5"/>
        <v>130017</v>
      </c>
      <c r="AC71" s="193">
        <f t="shared" si="5"/>
        <v>109092</v>
      </c>
      <c r="AD71" s="193">
        <f t="shared" si="5"/>
        <v>0</v>
      </c>
      <c r="AE71" s="193">
        <f t="shared" si="5"/>
        <v>466309</v>
      </c>
      <c r="AF71" s="193">
        <f t="shared" si="5"/>
        <v>0</v>
      </c>
      <c r="AG71" s="193">
        <f t="shared" si="5"/>
        <v>2411021</v>
      </c>
      <c r="AH71" s="193">
        <f t="shared" si="5"/>
        <v>713577</v>
      </c>
      <c r="AI71" s="193">
        <f t="shared" si="5"/>
        <v>0</v>
      </c>
      <c r="AJ71" s="193">
        <f t="shared" ref="AJ71:BO71" si="6">SUM(AJ61:AJ69)-AJ70</f>
        <v>5940211</v>
      </c>
      <c r="AK71" s="193">
        <f t="shared" si="6"/>
        <v>121994</v>
      </c>
      <c r="AL71" s="193">
        <f t="shared" si="6"/>
        <v>0</v>
      </c>
      <c r="AM71" s="193">
        <f t="shared" si="6"/>
        <v>0</v>
      </c>
      <c r="AN71" s="193">
        <f t="shared" si="6"/>
        <v>0</v>
      </c>
      <c r="AO71" s="193">
        <f t="shared" si="6"/>
        <v>0</v>
      </c>
      <c r="AP71" s="193">
        <f t="shared" si="6"/>
        <v>0</v>
      </c>
      <c r="AQ71" s="193">
        <f t="shared" si="6"/>
        <v>0</v>
      </c>
      <c r="AR71" s="193">
        <f t="shared" si="6"/>
        <v>-1784</v>
      </c>
      <c r="AS71" s="193">
        <f t="shared" si="6"/>
        <v>0</v>
      </c>
      <c r="AT71" s="193">
        <f t="shared" si="6"/>
        <v>0</v>
      </c>
      <c r="AU71" s="193">
        <f t="shared" si="6"/>
        <v>0</v>
      </c>
      <c r="AV71" s="193">
        <f t="shared" si="6"/>
        <v>1250</v>
      </c>
      <c r="AW71" s="193">
        <f t="shared" si="6"/>
        <v>0</v>
      </c>
      <c r="AX71" s="193">
        <f t="shared" si="6"/>
        <v>0</v>
      </c>
      <c r="AY71" s="193">
        <f t="shared" si="6"/>
        <v>539418</v>
      </c>
      <c r="AZ71" s="193">
        <f t="shared" si="6"/>
        <v>8494</v>
      </c>
      <c r="BA71" s="193">
        <f t="shared" si="6"/>
        <v>119601</v>
      </c>
      <c r="BB71" s="193">
        <f t="shared" si="6"/>
        <v>79144</v>
      </c>
      <c r="BC71" s="193">
        <f t="shared" si="6"/>
        <v>0</v>
      </c>
      <c r="BD71" s="193">
        <f t="shared" si="6"/>
        <v>0</v>
      </c>
      <c r="BE71" s="193">
        <f t="shared" si="6"/>
        <v>437501</v>
      </c>
      <c r="BF71" s="193">
        <f t="shared" si="6"/>
        <v>249466</v>
      </c>
      <c r="BG71" s="193">
        <f t="shared" si="6"/>
        <v>0</v>
      </c>
      <c r="BH71" s="193">
        <f t="shared" si="6"/>
        <v>0</v>
      </c>
      <c r="BI71" s="193">
        <f t="shared" si="6"/>
        <v>0</v>
      </c>
      <c r="BJ71" s="193">
        <f t="shared" si="6"/>
        <v>671519</v>
      </c>
      <c r="BK71" s="193">
        <f t="shared" si="6"/>
        <v>0</v>
      </c>
      <c r="BL71" s="193">
        <f t="shared" si="6"/>
        <v>424996</v>
      </c>
      <c r="BM71" s="193">
        <f t="shared" si="6"/>
        <v>0</v>
      </c>
      <c r="BN71" s="193">
        <f t="shared" si="6"/>
        <v>3578637</v>
      </c>
      <c r="BO71" s="193">
        <f t="shared" si="6"/>
        <v>0</v>
      </c>
      <c r="BP71" s="193">
        <f t="shared" ref="BP71:CC71" si="7">SUM(BP61:BP69)-BP70</f>
        <v>0</v>
      </c>
      <c r="BQ71" s="193">
        <f t="shared" si="7"/>
        <v>0</v>
      </c>
      <c r="BR71" s="193">
        <f t="shared" si="7"/>
        <v>0</v>
      </c>
      <c r="BS71" s="193">
        <f t="shared" si="7"/>
        <v>0</v>
      </c>
      <c r="BT71" s="193">
        <f t="shared" si="7"/>
        <v>0</v>
      </c>
      <c r="BU71" s="193">
        <f t="shared" si="7"/>
        <v>0</v>
      </c>
      <c r="BV71" s="193">
        <f t="shared" si="7"/>
        <v>499452</v>
      </c>
      <c r="BW71" s="193">
        <f t="shared" si="7"/>
        <v>0</v>
      </c>
      <c r="BX71" s="193">
        <f t="shared" si="7"/>
        <v>211366</v>
      </c>
      <c r="BY71" s="193">
        <f t="shared" si="7"/>
        <v>178041</v>
      </c>
      <c r="BZ71" s="193">
        <f t="shared" si="7"/>
        <v>0</v>
      </c>
      <c r="CA71" s="193">
        <f t="shared" si="7"/>
        <v>0</v>
      </c>
      <c r="CB71" s="193">
        <f t="shared" si="7"/>
        <v>118362</v>
      </c>
      <c r="CC71" s="193">
        <f t="shared" si="7"/>
        <v>99909</v>
      </c>
      <c r="CD71" s="241">
        <f>CD69-CD70</f>
        <v>1243420</v>
      </c>
      <c r="CE71" s="193">
        <f>SUM(CE61:CE69)-CE70</f>
        <v>28640621</v>
      </c>
      <c r="CF71" s="248"/>
    </row>
    <row r="72" spans="1:84" ht="12.6" customHeight="1" x14ac:dyDescent="0.25">
      <c r="A72" s="171" t="s">
        <v>244</v>
      </c>
      <c r="B72" s="175"/>
      <c r="C72" s="245" t="s">
        <v>221</v>
      </c>
      <c r="D72" s="245" t="s">
        <v>221</v>
      </c>
      <c r="E72" s="245" t="s">
        <v>221</v>
      </c>
      <c r="F72" s="245" t="s">
        <v>221</v>
      </c>
      <c r="G72" s="245" t="s">
        <v>221</v>
      </c>
      <c r="H72" s="245" t="s">
        <v>221</v>
      </c>
      <c r="I72" s="245" t="s">
        <v>221</v>
      </c>
      <c r="J72" s="245" t="s">
        <v>221</v>
      </c>
      <c r="K72" s="249" t="s">
        <v>221</v>
      </c>
      <c r="L72" s="245" t="s">
        <v>221</v>
      </c>
      <c r="M72" s="245" t="s">
        <v>221</v>
      </c>
      <c r="N72" s="245" t="s">
        <v>221</v>
      </c>
      <c r="O72" s="245" t="s">
        <v>221</v>
      </c>
      <c r="P72" s="245" t="s">
        <v>221</v>
      </c>
      <c r="Q72" s="245" t="s">
        <v>221</v>
      </c>
      <c r="R72" s="245" t="s">
        <v>221</v>
      </c>
      <c r="S72" s="245" t="s">
        <v>221</v>
      </c>
      <c r="T72" s="245" t="s">
        <v>221</v>
      </c>
      <c r="U72" s="245" t="s">
        <v>221</v>
      </c>
      <c r="V72" s="245" t="s">
        <v>221</v>
      </c>
      <c r="W72" s="245" t="s">
        <v>221</v>
      </c>
      <c r="X72" s="245" t="s">
        <v>221</v>
      </c>
      <c r="Y72" s="245" t="s">
        <v>221</v>
      </c>
      <c r="Z72" s="245" t="s">
        <v>221</v>
      </c>
      <c r="AA72" s="245" t="s">
        <v>221</v>
      </c>
      <c r="AB72" s="245" t="s">
        <v>221</v>
      </c>
      <c r="AC72" s="245" t="s">
        <v>221</v>
      </c>
      <c r="AD72" s="245" t="s">
        <v>221</v>
      </c>
      <c r="AE72" s="245" t="s">
        <v>221</v>
      </c>
      <c r="AF72" s="245" t="s">
        <v>221</v>
      </c>
      <c r="AG72" s="245" t="s">
        <v>221</v>
      </c>
      <c r="AH72" s="245" t="s">
        <v>221</v>
      </c>
      <c r="AI72" s="245" t="s">
        <v>221</v>
      </c>
      <c r="AJ72" s="245" t="s">
        <v>221</v>
      </c>
      <c r="AK72" s="245" t="s">
        <v>221</v>
      </c>
      <c r="AL72" s="245" t="s">
        <v>221</v>
      </c>
      <c r="AM72" s="245" t="s">
        <v>221</v>
      </c>
      <c r="AN72" s="245" t="s">
        <v>221</v>
      </c>
      <c r="AO72" s="245" t="s">
        <v>221</v>
      </c>
      <c r="AP72" s="245" t="s">
        <v>221</v>
      </c>
      <c r="AQ72" s="245" t="s">
        <v>221</v>
      </c>
      <c r="AR72" s="245" t="s">
        <v>221</v>
      </c>
      <c r="AS72" s="245" t="s">
        <v>221</v>
      </c>
      <c r="AT72" s="245" t="s">
        <v>221</v>
      </c>
      <c r="AU72" s="245" t="s">
        <v>221</v>
      </c>
      <c r="AV72" s="245" t="s">
        <v>221</v>
      </c>
      <c r="AW72" s="245" t="s">
        <v>221</v>
      </c>
      <c r="AX72" s="245" t="s">
        <v>221</v>
      </c>
      <c r="AY72" s="245" t="s">
        <v>221</v>
      </c>
      <c r="AZ72" s="245" t="s">
        <v>221</v>
      </c>
      <c r="BA72" s="245" t="s">
        <v>221</v>
      </c>
      <c r="BB72" s="245" t="s">
        <v>221</v>
      </c>
      <c r="BC72" s="245" t="s">
        <v>221</v>
      </c>
      <c r="BD72" s="245" t="s">
        <v>221</v>
      </c>
      <c r="BE72" s="245" t="s">
        <v>221</v>
      </c>
      <c r="BF72" s="245" t="s">
        <v>221</v>
      </c>
      <c r="BG72" s="245" t="s">
        <v>221</v>
      </c>
      <c r="BH72" s="245" t="s">
        <v>221</v>
      </c>
      <c r="BI72" s="245" t="s">
        <v>221</v>
      </c>
      <c r="BJ72" s="245" t="s">
        <v>221</v>
      </c>
      <c r="BK72" s="245" t="s">
        <v>221</v>
      </c>
      <c r="BL72" s="245" t="s">
        <v>221</v>
      </c>
      <c r="BM72" s="245" t="s">
        <v>221</v>
      </c>
      <c r="BN72" s="245" t="s">
        <v>221</v>
      </c>
      <c r="BO72" s="245" t="s">
        <v>221</v>
      </c>
      <c r="BP72" s="245" t="s">
        <v>221</v>
      </c>
      <c r="BQ72" s="245" t="s">
        <v>221</v>
      </c>
      <c r="BR72" s="245" t="s">
        <v>221</v>
      </c>
      <c r="BS72" s="245" t="s">
        <v>221</v>
      </c>
      <c r="BT72" s="245" t="s">
        <v>221</v>
      </c>
      <c r="BU72" s="245" t="s">
        <v>221</v>
      </c>
      <c r="BV72" s="245" t="s">
        <v>221</v>
      </c>
      <c r="BW72" s="245" t="s">
        <v>221</v>
      </c>
      <c r="BX72" s="245" t="s">
        <v>221</v>
      </c>
      <c r="BY72" s="245" t="s">
        <v>221</v>
      </c>
      <c r="BZ72" s="245" t="s">
        <v>221</v>
      </c>
      <c r="CA72" s="245" t="s">
        <v>221</v>
      </c>
      <c r="CB72" s="245" t="s">
        <v>221</v>
      </c>
      <c r="CC72" s="245" t="s">
        <v>221</v>
      </c>
      <c r="CD72" s="245" t="s">
        <v>221</v>
      </c>
      <c r="CE72" s="186">
        <v>1770120</v>
      </c>
      <c r="CF72" s="248"/>
    </row>
    <row r="73" spans="1:84" ht="12.6" customHeight="1" x14ac:dyDescent="0.25">
      <c r="A73" s="171" t="s">
        <v>245</v>
      </c>
      <c r="B73" s="175"/>
      <c r="C73" s="401">
        <v>0</v>
      </c>
      <c r="D73" s="401">
        <v>0</v>
      </c>
      <c r="E73" s="401">
        <v>1385869.0499999998</v>
      </c>
      <c r="F73" s="401">
        <v>0</v>
      </c>
      <c r="G73" s="401">
        <v>0</v>
      </c>
      <c r="H73" s="401">
        <v>0</v>
      </c>
      <c r="I73" s="401">
        <v>596033.32000000007</v>
      </c>
      <c r="J73" s="401">
        <v>203420</v>
      </c>
      <c r="K73" s="401">
        <v>0</v>
      </c>
      <c r="L73" s="401">
        <v>4216791</v>
      </c>
      <c r="M73" s="401">
        <v>0</v>
      </c>
      <c r="N73" s="401">
        <v>0</v>
      </c>
      <c r="O73" s="401">
        <v>552123</v>
      </c>
      <c r="P73" s="401">
        <v>297470.3</v>
      </c>
      <c r="Q73" s="401">
        <v>173198</v>
      </c>
      <c r="R73" s="401">
        <v>206682</v>
      </c>
      <c r="S73" s="401">
        <v>179050.28999999998</v>
      </c>
      <c r="T73" s="401">
        <v>0</v>
      </c>
      <c r="U73" s="401">
        <v>493063.9</v>
      </c>
      <c r="V73" s="401">
        <v>0</v>
      </c>
      <c r="W73" s="401">
        <v>0</v>
      </c>
      <c r="X73" s="401">
        <v>0</v>
      </c>
      <c r="Y73" s="401">
        <v>135100.56</v>
      </c>
      <c r="Z73" s="401">
        <v>0</v>
      </c>
      <c r="AA73" s="401">
        <v>0</v>
      </c>
      <c r="AB73" s="401">
        <v>1626093.68</v>
      </c>
      <c r="AC73" s="401">
        <v>414781</v>
      </c>
      <c r="AD73" s="401">
        <v>0</v>
      </c>
      <c r="AE73" s="401">
        <v>132889.09</v>
      </c>
      <c r="AF73" s="401">
        <v>0</v>
      </c>
      <c r="AG73" s="401">
        <v>50662.97</v>
      </c>
      <c r="AH73" s="401">
        <v>0</v>
      </c>
      <c r="AI73" s="401">
        <v>0</v>
      </c>
      <c r="AJ73" s="401">
        <v>236236.82</v>
      </c>
      <c r="AK73" s="401">
        <v>43968.2</v>
      </c>
      <c r="AL73" s="401">
        <v>0</v>
      </c>
      <c r="AM73" s="401">
        <v>0</v>
      </c>
      <c r="AN73" s="401">
        <v>0</v>
      </c>
      <c r="AO73" s="401">
        <v>0</v>
      </c>
      <c r="AP73" s="401">
        <v>0</v>
      </c>
      <c r="AQ73" s="401">
        <v>0</v>
      </c>
      <c r="AR73" s="401">
        <v>0</v>
      </c>
      <c r="AS73" s="401">
        <v>0</v>
      </c>
      <c r="AT73" s="401">
        <v>0</v>
      </c>
      <c r="AU73" s="401">
        <v>0</v>
      </c>
      <c r="AV73" s="401">
        <v>0</v>
      </c>
      <c r="AW73" s="245" t="s">
        <v>221</v>
      </c>
      <c r="AX73" s="245" t="s">
        <v>221</v>
      </c>
      <c r="AY73" s="245" t="s">
        <v>221</v>
      </c>
      <c r="AZ73" s="245" t="s">
        <v>221</v>
      </c>
      <c r="BA73" s="245" t="s">
        <v>221</v>
      </c>
      <c r="BB73" s="245" t="s">
        <v>221</v>
      </c>
      <c r="BC73" s="245" t="s">
        <v>221</v>
      </c>
      <c r="BD73" s="245" t="s">
        <v>221</v>
      </c>
      <c r="BE73" s="245" t="s">
        <v>221</v>
      </c>
      <c r="BF73" s="245" t="s">
        <v>221</v>
      </c>
      <c r="BG73" s="245" t="s">
        <v>221</v>
      </c>
      <c r="BH73" s="245" t="s">
        <v>221</v>
      </c>
      <c r="BI73" s="245" t="s">
        <v>221</v>
      </c>
      <c r="BJ73" s="245" t="s">
        <v>221</v>
      </c>
      <c r="BK73" s="245" t="s">
        <v>221</v>
      </c>
      <c r="BL73" s="245" t="s">
        <v>221</v>
      </c>
      <c r="BM73" s="245" t="s">
        <v>221</v>
      </c>
      <c r="BN73" s="245" t="s">
        <v>221</v>
      </c>
      <c r="BO73" s="245" t="s">
        <v>221</v>
      </c>
      <c r="BP73" s="245" t="s">
        <v>221</v>
      </c>
      <c r="BQ73" s="245" t="s">
        <v>221</v>
      </c>
      <c r="BR73" s="245" t="s">
        <v>221</v>
      </c>
      <c r="BS73" s="245" t="s">
        <v>221</v>
      </c>
      <c r="BT73" s="245" t="s">
        <v>221</v>
      </c>
      <c r="BU73" s="245" t="s">
        <v>221</v>
      </c>
      <c r="BV73" s="245" t="s">
        <v>221</v>
      </c>
      <c r="BW73" s="245" t="s">
        <v>221</v>
      </c>
      <c r="BX73" s="245" t="s">
        <v>221</v>
      </c>
      <c r="BY73" s="245" t="s">
        <v>221</v>
      </c>
      <c r="BZ73" s="245" t="s">
        <v>221</v>
      </c>
      <c r="CA73" s="245" t="s">
        <v>221</v>
      </c>
      <c r="CB73" s="245" t="s">
        <v>221</v>
      </c>
      <c r="CC73" s="245" t="s">
        <v>221</v>
      </c>
      <c r="CD73" s="245" t="s">
        <v>221</v>
      </c>
      <c r="CE73" s="193">
        <f t="shared" ref="CE73:CE80" si="8">SUM(C73:CD73)</f>
        <v>10943433.18</v>
      </c>
      <c r="CF73" s="248"/>
    </row>
    <row r="74" spans="1:84" ht="12.6" customHeight="1" x14ac:dyDescent="0.25">
      <c r="A74" s="171" t="s">
        <v>246</v>
      </c>
      <c r="B74" s="175"/>
      <c r="C74" s="401">
        <v>0</v>
      </c>
      <c r="D74" s="401">
        <v>0</v>
      </c>
      <c r="E74" s="401">
        <v>3245138.5371000008</v>
      </c>
      <c r="F74" s="401">
        <v>0</v>
      </c>
      <c r="G74" s="401">
        <v>0</v>
      </c>
      <c r="H74" s="401">
        <v>0</v>
      </c>
      <c r="I74" s="401">
        <v>51993.11</v>
      </c>
      <c r="J74" s="401">
        <v>0</v>
      </c>
      <c r="K74" s="401">
        <v>0</v>
      </c>
      <c r="L74" s="401">
        <v>0</v>
      </c>
      <c r="M74" s="401">
        <v>0</v>
      </c>
      <c r="N74" s="401">
        <v>0</v>
      </c>
      <c r="O74" s="401">
        <v>69885.899999999994</v>
      </c>
      <c r="P74" s="401">
        <v>4143061.5209999997</v>
      </c>
      <c r="Q74" s="401">
        <v>455112</v>
      </c>
      <c r="R74" s="401">
        <v>1169674</v>
      </c>
      <c r="S74" s="401">
        <v>2690794.1199999996</v>
      </c>
      <c r="T74" s="401">
        <v>0</v>
      </c>
      <c r="U74" s="401">
        <v>3120654.0000000005</v>
      </c>
      <c r="V74" s="401">
        <v>0</v>
      </c>
      <c r="W74" s="401">
        <v>0</v>
      </c>
      <c r="X74" s="401">
        <v>0</v>
      </c>
      <c r="Y74" s="401">
        <v>5043147.2699999996</v>
      </c>
      <c r="Z74" s="401">
        <v>0</v>
      </c>
      <c r="AA74" s="401">
        <v>0</v>
      </c>
      <c r="AB74" s="401">
        <v>1403658.4200000002</v>
      </c>
      <c r="AC74" s="401">
        <v>293836</v>
      </c>
      <c r="AD74" s="401">
        <v>0</v>
      </c>
      <c r="AE74" s="401">
        <v>914066.41</v>
      </c>
      <c r="AF74" s="401">
        <v>0</v>
      </c>
      <c r="AG74" s="401">
        <v>8069179.1699999999</v>
      </c>
      <c r="AH74" s="401">
        <v>2066063.9400000002</v>
      </c>
      <c r="AI74" s="401">
        <v>0</v>
      </c>
      <c r="AJ74" s="401">
        <v>264918.7</v>
      </c>
      <c r="AK74" s="401">
        <v>304405.40000000002</v>
      </c>
      <c r="AL74" s="401">
        <v>0</v>
      </c>
      <c r="AM74" s="401">
        <v>0</v>
      </c>
      <c r="AN74" s="401">
        <v>0</v>
      </c>
      <c r="AO74" s="401">
        <v>269390.59999999998</v>
      </c>
      <c r="AP74" s="401">
        <v>0</v>
      </c>
      <c r="AQ74" s="401">
        <v>0</v>
      </c>
      <c r="AR74" s="401">
        <v>0</v>
      </c>
      <c r="AS74" s="401">
        <v>0</v>
      </c>
      <c r="AT74" s="401">
        <v>0</v>
      </c>
      <c r="AU74" s="401">
        <v>0</v>
      </c>
      <c r="AV74" s="401">
        <v>0</v>
      </c>
      <c r="AW74" s="245" t="s">
        <v>221</v>
      </c>
      <c r="AX74" s="245" t="s">
        <v>221</v>
      </c>
      <c r="AY74" s="245" t="s">
        <v>221</v>
      </c>
      <c r="AZ74" s="245" t="s">
        <v>221</v>
      </c>
      <c r="BA74" s="245" t="s">
        <v>221</v>
      </c>
      <c r="BB74" s="245" t="s">
        <v>221</v>
      </c>
      <c r="BC74" s="245" t="s">
        <v>221</v>
      </c>
      <c r="BD74" s="245" t="s">
        <v>221</v>
      </c>
      <c r="BE74" s="245" t="s">
        <v>221</v>
      </c>
      <c r="BF74" s="245" t="s">
        <v>221</v>
      </c>
      <c r="BG74" s="245" t="s">
        <v>221</v>
      </c>
      <c r="BH74" s="245" t="s">
        <v>221</v>
      </c>
      <c r="BI74" s="245" t="s">
        <v>221</v>
      </c>
      <c r="BJ74" s="245" t="s">
        <v>221</v>
      </c>
      <c r="BK74" s="245" t="s">
        <v>221</v>
      </c>
      <c r="BL74" s="245" t="s">
        <v>221</v>
      </c>
      <c r="BM74" s="245" t="s">
        <v>221</v>
      </c>
      <c r="BN74" s="245" t="s">
        <v>221</v>
      </c>
      <c r="BO74" s="245" t="s">
        <v>221</v>
      </c>
      <c r="BP74" s="245" t="s">
        <v>221</v>
      </c>
      <c r="BQ74" s="245" t="s">
        <v>221</v>
      </c>
      <c r="BR74" s="245" t="s">
        <v>221</v>
      </c>
      <c r="BS74" s="245" t="s">
        <v>221</v>
      </c>
      <c r="BT74" s="245" t="s">
        <v>221</v>
      </c>
      <c r="BU74" s="245" t="s">
        <v>221</v>
      </c>
      <c r="BV74" s="245" t="s">
        <v>221</v>
      </c>
      <c r="BW74" s="245" t="s">
        <v>221</v>
      </c>
      <c r="BX74" s="245" t="s">
        <v>221</v>
      </c>
      <c r="BY74" s="245" t="s">
        <v>221</v>
      </c>
      <c r="BZ74" s="245" t="s">
        <v>221</v>
      </c>
      <c r="CA74" s="245" t="s">
        <v>221</v>
      </c>
      <c r="CB74" s="245" t="s">
        <v>221</v>
      </c>
      <c r="CC74" s="245" t="s">
        <v>221</v>
      </c>
      <c r="CD74" s="245" t="s">
        <v>221</v>
      </c>
      <c r="CE74" s="193">
        <f t="shared" si="8"/>
        <v>33574979.098099999</v>
      </c>
      <c r="CF74" s="248"/>
    </row>
    <row r="75" spans="1:84" ht="12.6" customHeight="1" x14ac:dyDescent="0.25">
      <c r="A75" s="171" t="s">
        <v>247</v>
      </c>
      <c r="B75" s="175"/>
      <c r="C75" s="193">
        <f t="shared" ref="C75:AV75" si="9">SUM(C73:C74)</f>
        <v>0</v>
      </c>
      <c r="D75" s="193">
        <f t="shared" si="9"/>
        <v>0</v>
      </c>
      <c r="E75" s="193">
        <f t="shared" si="9"/>
        <v>4631007.5871000011</v>
      </c>
      <c r="F75" s="193">
        <f t="shared" si="9"/>
        <v>0</v>
      </c>
      <c r="G75" s="193">
        <f t="shared" si="9"/>
        <v>0</v>
      </c>
      <c r="H75" s="193">
        <f t="shared" si="9"/>
        <v>0</v>
      </c>
      <c r="I75" s="193">
        <f t="shared" si="9"/>
        <v>648026.43000000005</v>
      </c>
      <c r="J75" s="193">
        <f t="shared" si="9"/>
        <v>203420</v>
      </c>
      <c r="K75" s="193">
        <f t="shared" si="9"/>
        <v>0</v>
      </c>
      <c r="L75" s="193">
        <f t="shared" si="9"/>
        <v>4216791</v>
      </c>
      <c r="M75" s="193">
        <f t="shared" si="9"/>
        <v>0</v>
      </c>
      <c r="N75" s="193">
        <f t="shared" si="9"/>
        <v>0</v>
      </c>
      <c r="O75" s="193">
        <f t="shared" si="9"/>
        <v>622008.9</v>
      </c>
      <c r="P75" s="193">
        <f t="shared" si="9"/>
        <v>4440531.8209999995</v>
      </c>
      <c r="Q75" s="193">
        <f t="shared" si="9"/>
        <v>628310</v>
      </c>
      <c r="R75" s="193">
        <f t="shared" si="9"/>
        <v>1376356</v>
      </c>
      <c r="S75" s="193">
        <f t="shared" si="9"/>
        <v>2869844.4099999997</v>
      </c>
      <c r="T75" s="193">
        <f t="shared" si="9"/>
        <v>0</v>
      </c>
      <c r="U75" s="193">
        <f t="shared" si="9"/>
        <v>3613717.9000000004</v>
      </c>
      <c r="V75" s="193">
        <f t="shared" si="9"/>
        <v>0</v>
      </c>
      <c r="W75" s="193">
        <f t="shared" si="9"/>
        <v>0</v>
      </c>
      <c r="X75" s="193">
        <f t="shared" si="9"/>
        <v>0</v>
      </c>
      <c r="Y75" s="193">
        <f t="shared" si="9"/>
        <v>5178247.8299999991</v>
      </c>
      <c r="Z75" s="193">
        <f t="shared" si="9"/>
        <v>0</v>
      </c>
      <c r="AA75" s="193">
        <f t="shared" si="9"/>
        <v>0</v>
      </c>
      <c r="AB75" s="193">
        <f t="shared" si="9"/>
        <v>3029752.1</v>
      </c>
      <c r="AC75" s="193">
        <f t="shared" si="9"/>
        <v>708617</v>
      </c>
      <c r="AD75" s="193">
        <f t="shared" si="9"/>
        <v>0</v>
      </c>
      <c r="AE75" s="193">
        <f t="shared" si="9"/>
        <v>1046955.5</v>
      </c>
      <c r="AF75" s="193">
        <f t="shared" si="9"/>
        <v>0</v>
      </c>
      <c r="AG75" s="193">
        <f t="shared" si="9"/>
        <v>8119842.1399999997</v>
      </c>
      <c r="AH75" s="193">
        <f t="shared" si="9"/>
        <v>2066063.9400000002</v>
      </c>
      <c r="AI75" s="193">
        <f t="shared" si="9"/>
        <v>0</v>
      </c>
      <c r="AJ75" s="193">
        <f t="shared" si="9"/>
        <v>501155.52</v>
      </c>
      <c r="AK75" s="193">
        <f t="shared" si="9"/>
        <v>348373.60000000003</v>
      </c>
      <c r="AL75" s="193">
        <f t="shared" si="9"/>
        <v>0</v>
      </c>
      <c r="AM75" s="193">
        <f t="shared" si="9"/>
        <v>0</v>
      </c>
      <c r="AN75" s="193">
        <f t="shared" si="9"/>
        <v>0</v>
      </c>
      <c r="AO75" s="193">
        <f t="shared" si="9"/>
        <v>269390.59999999998</v>
      </c>
      <c r="AP75" s="193">
        <f t="shared" si="9"/>
        <v>0</v>
      </c>
      <c r="AQ75" s="193">
        <f t="shared" si="9"/>
        <v>0</v>
      </c>
      <c r="AR75" s="193">
        <f t="shared" si="9"/>
        <v>0</v>
      </c>
      <c r="AS75" s="193">
        <f t="shared" si="9"/>
        <v>0</v>
      </c>
      <c r="AT75" s="193">
        <f t="shared" si="9"/>
        <v>0</v>
      </c>
      <c r="AU75" s="193">
        <f t="shared" si="9"/>
        <v>0</v>
      </c>
      <c r="AV75" s="193">
        <f t="shared" si="9"/>
        <v>0</v>
      </c>
      <c r="AW75" s="245" t="s">
        <v>221</v>
      </c>
      <c r="AX75" s="245" t="s">
        <v>221</v>
      </c>
      <c r="AY75" s="245" t="s">
        <v>221</v>
      </c>
      <c r="AZ75" s="245" t="s">
        <v>221</v>
      </c>
      <c r="BA75" s="245" t="s">
        <v>221</v>
      </c>
      <c r="BB75" s="245" t="s">
        <v>221</v>
      </c>
      <c r="BC75" s="245" t="s">
        <v>221</v>
      </c>
      <c r="BD75" s="245" t="s">
        <v>221</v>
      </c>
      <c r="BE75" s="245" t="s">
        <v>221</v>
      </c>
      <c r="BF75" s="245" t="s">
        <v>221</v>
      </c>
      <c r="BG75" s="245" t="s">
        <v>221</v>
      </c>
      <c r="BH75" s="245" t="s">
        <v>221</v>
      </c>
      <c r="BI75" s="245" t="s">
        <v>221</v>
      </c>
      <c r="BJ75" s="245" t="s">
        <v>221</v>
      </c>
      <c r="BK75" s="245" t="s">
        <v>221</v>
      </c>
      <c r="BL75" s="245" t="s">
        <v>221</v>
      </c>
      <c r="BM75" s="245" t="s">
        <v>221</v>
      </c>
      <c r="BN75" s="245" t="s">
        <v>221</v>
      </c>
      <c r="BO75" s="245" t="s">
        <v>221</v>
      </c>
      <c r="BP75" s="245" t="s">
        <v>221</v>
      </c>
      <c r="BQ75" s="245" t="s">
        <v>221</v>
      </c>
      <c r="BR75" s="245" t="s">
        <v>221</v>
      </c>
      <c r="BS75" s="245" t="s">
        <v>221</v>
      </c>
      <c r="BT75" s="245" t="s">
        <v>221</v>
      </c>
      <c r="BU75" s="245" t="s">
        <v>221</v>
      </c>
      <c r="BV75" s="245" t="s">
        <v>221</v>
      </c>
      <c r="BW75" s="245" t="s">
        <v>221</v>
      </c>
      <c r="BX75" s="245" t="s">
        <v>221</v>
      </c>
      <c r="BY75" s="245" t="s">
        <v>221</v>
      </c>
      <c r="BZ75" s="245" t="s">
        <v>221</v>
      </c>
      <c r="CA75" s="245" t="s">
        <v>221</v>
      </c>
      <c r="CB75" s="245" t="s">
        <v>221</v>
      </c>
      <c r="CC75" s="245" t="s">
        <v>221</v>
      </c>
      <c r="CD75" s="245" t="s">
        <v>221</v>
      </c>
      <c r="CE75" s="193">
        <f t="shared" si="8"/>
        <v>44518412.278100006</v>
      </c>
      <c r="CF75" s="248"/>
    </row>
    <row r="76" spans="1:84" ht="12.6" customHeight="1" x14ac:dyDescent="0.25">
      <c r="A76" s="171" t="s">
        <v>248</v>
      </c>
      <c r="B76" s="175"/>
      <c r="C76" s="419">
        <v>0</v>
      </c>
      <c r="D76" s="419">
        <v>0</v>
      </c>
      <c r="E76" s="419">
        <v>0</v>
      </c>
      <c r="F76" s="419">
        <v>0</v>
      </c>
      <c r="G76" s="419">
        <v>0</v>
      </c>
      <c r="H76" s="419">
        <v>0</v>
      </c>
      <c r="I76" s="419">
        <v>0</v>
      </c>
      <c r="J76" s="419">
        <v>0</v>
      </c>
      <c r="K76" s="419">
        <v>0</v>
      </c>
      <c r="L76" s="419">
        <v>0</v>
      </c>
      <c r="M76" s="419">
        <v>0</v>
      </c>
      <c r="N76" s="419">
        <v>0</v>
      </c>
      <c r="O76" s="419">
        <v>794</v>
      </c>
      <c r="P76" s="419">
        <v>907</v>
      </c>
      <c r="Q76" s="419">
        <v>479</v>
      </c>
      <c r="R76" s="419">
        <v>60</v>
      </c>
      <c r="S76" s="419">
        <v>1754</v>
      </c>
      <c r="T76" s="419">
        <v>0</v>
      </c>
      <c r="U76" s="419">
        <v>729</v>
      </c>
      <c r="V76" s="419">
        <v>0</v>
      </c>
      <c r="W76" s="419">
        <v>0</v>
      </c>
      <c r="X76" s="419">
        <v>0</v>
      </c>
      <c r="Y76" s="419">
        <v>1408</v>
      </c>
      <c r="Z76" s="419">
        <v>0</v>
      </c>
      <c r="AA76" s="419">
        <v>0</v>
      </c>
      <c r="AB76" s="419">
        <v>406</v>
      </c>
      <c r="AC76" s="419">
        <v>143</v>
      </c>
      <c r="AD76" s="419">
        <v>0</v>
      </c>
      <c r="AE76" s="419">
        <v>1093</v>
      </c>
      <c r="AF76" s="419">
        <v>0</v>
      </c>
      <c r="AG76" s="419">
        <v>1425</v>
      </c>
      <c r="AH76" s="419">
        <v>1396</v>
      </c>
      <c r="AI76" s="419">
        <v>0</v>
      </c>
      <c r="AJ76" s="419">
        <v>631</v>
      </c>
      <c r="AK76" s="419">
        <v>0</v>
      </c>
      <c r="AL76" s="419">
        <v>0</v>
      </c>
      <c r="AM76" s="419">
        <v>0</v>
      </c>
      <c r="AN76" s="419">
        <v>0</v>
      </c>
      <c r="AO76" s="419">
        <v>0</v>
      </c>
      <c r="AP76" s="419">
        <v>0</v>
      </c>
      <c r="AQ76" s="419">
        <v>0</v>
      </c>
      <c r="AR76" s="419">
        <v>0</v>
      </c>
      <c r="AS76" s="419">
        <v>0</v>
      </c>
      <c r="AT76" s="419">
        <v>0</v>
      </c>
      <c r="AU76" s="419">
        <v>0</v>
      </c>
      <c r="AV76" s="419">
        <v>0</v>
      </c>
      <c r="AW76" s="419">
        <v>0</v>
      </c>
      <c r="AX76" s="419">
        <v>0</v>
      </c>
      <c r="AY76" s="419">
        <v>1117</v>
      </c>
      <c r="AZ76" s="419">
        <v>944</v>
      </c>
      <c r="BA76" s="419">
        <v>112</v>
      </c>
      <c r="BB76" s="419">
        <v>72</v>
      </c>
      <c r="BC76" s="419">
        <v>0</v>
      </c>
      <c r="BD76" s="419">
        <v>0</v>
      </c>
      <c r="BE76" s="419">
        <v>2054</v>
      </c>
      <c r="BF76" s="419">
        <v>327</v>
      </c>
      <c r="BG76" s="419">
        <v>0</v>
      </c>
      <c r="BH76" s="419">
        <v>0</v>
      </c>
      <c r="BI76" s="419">
        <v>0</v>
      </c>
      <c r="BJ76" s="419">
        <v>0</v>
      </c>
      <c r="BK76" s="419">
        <v>0</v>
      </c>
      <c r="BL76" s="419">
        <v>0</v>
      </c>
      <c r="BM76" s="419">
        <v>0</v>
      </c>
      <c r="BN76" s="419">
        <v>7547</v>
      </c>
      <c r="BO76" s="419">
        <v>0</v>
      </c>
      <c r="BP76" s="419">
        <v>0</v>
      </c>
      <c r="BQ76" s="419">
        <v>0</v>
      </c>
      <c r="BR76" s="419">
        <v>0</v>
      </c>
      <c r="BS76" s="419">
        <v>0</v>
      </c>
      <c r="BT76" s="419">
        <v>0</v>
      </c>
      <c r="BU76" s="419">
        <v>0</v>
      </c>
      <c r="BV76" s="419">
        <v>925</v>
      </c>
      <c r="BW76" s="419">
        <v>0</v>
      </c>
      <c r="BX76" s="419">
        <v>0</v>
      </c>
      <c r="BY76" s="419">
        <v>223</v>
      </c>
      <c r="BZ76" s="419">
        <v>0</v>
      </c>
      <c r="CA76" s="419">
        <v>0</v>
      </c>
      <c r="CB76" s="419">
        <v>0</v>
      </c>
      <c r="CC76" s="419">
        <v>11103</v>
      </c>
      <c r="CD76" s="245" t="s">
        <v>221</v>
      </c>
      <c r="CE76" s="193">
        <f t="shared" si="8"/>
        <v>35649</v>
      </c>
      <c r="CF76" s="193">
        <f>BE59-CE76</f>
        <v>0</v>
      </c>
    </row>
    <row r="77" spans="1:84" ht="12.6" customHeight="1" x14ac:dyDescent="0.25">
      <c r="A77" s="171" t="s">
        <v>249</v>
      </c>
      <c r="B77" s="175"/>
      <c r="C77" s="417">
        <v>0</v>
      </c>
      <c r="D77" s="417">
        <v>0</v>
      </c>
      <c r="E77" s="418">
        <v>1958</v>
      </c>
      <c r="F77" s="418">
        <v>0</v>
      </c>
      <c r="G77" s="418">
        <v>0</v>
      </c>
      <c r="H77" s="418">
        <v>0</v>
      </c>
      <c r="I77" s="418">
        <v>1302</v>
      </c>
      <c r="J77" s="418">
        <v>0</v>
      </c>
      <c r="K77" s="418">
        <v>0</v>
      </c>
      <c r="L77" s="418">
        <v>11838</v>
      </c>
      <c r="M77" s="417">
        <v>0</v>
      </c>
      <c r="N77" s="417">
        <v>0</v>
      </c>
      <c r="O77" s="417">
        <v>0</v>
      </c>
      <c r="P77" s="417">
        <v>0</v>
      </c>
      <c r="Q77" s="417">
        <v>0</v>
      </c>
      <c r="R77" s="417">
        <v>0</v>
      </c>
      <c r="S77" s="417">
        <v>0</v>
      </c>
      <c r="T77" s="417">
        <v>0</v>
      </c>
      <c r="U77" s="417">
        <v>0</v>
      </c>
      <c r="V77" s="417">
        <v>0</v>
      </c>
      <c r="W77" s="417">
        <v>0</v>
      </c>
      <c r="X77" s="417">
        <v>0</v>
      </c>
      <c r="Y77" s="417">
        <v>0</v>
      </c>
      <c r="Z77" s="417">
        <v>0</v>
      </c>
      <c r="AA77" s="417">
        <v>0</v>
      </c>
      <c r="AB77" s="417">
        <v>0</v>
      </c>
      <c r="AC77" s="417">
        <v>0</v>
      </c>
      <c r="AD77" s="417">
        <v>0</v>
      </c>
      <c r="AE77" s="417">
        <v>0</v>
      </c>
      <c r="AF77" s="417">
        <v>0</v>
      </c>
      <c r="AG77" s="417">
        <v>0</v>
      </c>
      <c r="AH77" s="417">
        <v>0</v>
      </c>
      <c r="AI77" s="417">
        <v>0</v>
      </c>
      <c r="AJ77" s="417">
        <v>0</v>
      </c>
      <c r="AK77" s="417">
        <v>0</v>
      </c>
      <c r="AL77" s="417">
        <v>0</v>
      </c>
      <c r="AM77" s="417">
        <v>0</v>
      </c>
      <c r="AN77" s="417">
        <v>0</v>
      </c>
      <c r="AO77" s="417">
        <v>0</v>
      </c>
      <c r="AP77" s="417">
        <v>0</v>
      </c>
      <c r="AQ77" s="417">
        <v>0</v>
      </c>
      <c r="AR77" s="417">
        <v>0</v>
      </c>
      <c r="AS77" s="417">
        <v>0</v>
      </c>
      <c r="AT77" s="417">
        <v>0</v>
      </c>
      <c r="AU77" s="417">
        <v>0</v>
      </c>
      <c r="AV77" s="417">
        <v>0</v>
      </c>
      <c r="AW77" s="417">
        <v>0</v>
      </c>
      <c r="AX77" s="245" t="s">
        <v>221</v>
      </c>
      <c r="AY77" s="245" t="s">
        <v>221</v>
      </c>
      <c r="AZ77" s="184"/>
      <c r="BA77" s="184"/>
      <c r="BB77" s="184"/>
      <c r="BC77" s="184"/>
      <c r="BD77" s="245" t="s">
        <v>221</v>
      </c>
      <c r="BE77" s="245" t="s">
        <v>221</v>
      </c>
      <c r="BF77" s="184"/>
      <c r="BG77" s="245" t="s">
        <v>221</v>
      </c>
      <c r="BH77" s="184"/>
      <c r="BI77" s="184"/>
      <c r="BJ77" s="245" t="s">
        <v>221</v>
      </c>
      <c r="BK77" s="184"/>
      <c r="BL77" s="184"/>
      <c r="BM77" s="184"/>
      <c r="BN77" s="245" t="s">
        <v>221</v>
      </c>
      <c r="BO77" s="245" t="s">
        <v>221</v>
      </c>
      <c r="BP77" s="245" t="s">
        <v>221</v>
      </c>
      <c r="BQ77" s="245" t="s">
        <v>221</v>
      </c>
      <c r="BR77" s="184"/>
      <c r="BS77" s="184"/>
      <c r="BT77" s="184"/>
      <c r="BU77" s="184"/>
      <c r="BV77" s="184"/>
      <c r="BW77" s="184"/>
      <c r="BX77" s="184"/>
      <c r="BY77" s="184"/>
      <c r="BZ77" s="184"/>
      <c r="CA77" s="184"/>
      <c r="CB77" s="184"/>
      <c r="CC77" s="245" t="s">
        <v>221</v>
      </c>
      <c r="CD77" s="245" t="s">
        <v>221</v>
      </c>
      <c r="CE77" s="193">
        <f>SUM(C77:CD77)</f>
        <v>15098</v>
      </c>
      <c r="CF77" s="193">
        <f>AY59-CE77</f>
        <v>0</v>
      </c>
    </row>
    <row r="78" spans="1:84" ht="12.6" customHeight="1" x14ac:dyDescent="0.25">
      <c r="A78" s="171" t="s">
        <v>250</v>
      </c>
      <c r="B78" s="175"/>
      <c r="C78" s="415">
        <v>0</v>
      </c>
      <c r="D78" s="415">
        <v>0</v>
      </c>
      <c r="E78" s="407">
        <v>9.34</v>
      </c>
      <c r="F78" s="416">
        <v>0</v>
      </c>
      <c r="G78" s="415">
        <v>0</v>
      </c>
      <c r="H78" s="415">
        <v>0</v>
      </c>
      <c r="I78" s="407">
        <v>2.42</v>
      </c>
      <c r="J78" s="407">
        <v>0.01</v>
      </c>
      <c r="K78" s="416">
        <v>0</v>
      </c>
      <c r="L78" s="407">
        <v>28.169999999999998</v>
      </c>
      <c r="M78" s="414">
        <v>0</v>
      </c>
      <c r="N78" s="414">
        <v>0</v>
      </c>
      <c r="O78" s="404">
        <v>794</v>
      </c>
      <c r="P78" s="404">
        <v>907</v>
      </c>
      <c r="Q78" s="404">
        <v>479</v>
      </c>
      <c r="R78" s="404">
        <v>60</v>
      </c>
      <c r="S78" s="404">
        <v>1754</v>
      </c>
      <c r="T78" s="404">
        <v>0</v>
      </c>
      <c r="U78" s="404">
        <v>729</v>
      </c>
      <c r="V78" s="404">
        <v>0</v>
      </c>
      <c r="W78" s="404">
        <v>0</v>
      </c>
      <c r="X78" s="404">
        <v>0</v>
      </c>
      <c r="Y78" s="404">
        <v>1408</v>
      </c>
      <c r="Z78" s="404">
        <v>0</v>
      </c>
      <c r="AA78" s="404">
        <v>0</v>
      </c>
      <c r="AB78" s="404">
        <v>406</v>
      </c>
      <c r="AC78" s="404">
        <v>143</v>
      </c>
      <c r="AD78" s="404">
        <v>0</v>
      </c>
      <c r="AE78" s="404">
        <v>1093</v>
      </c>
      <c r="AF78" s="404">
        <v>0</v>
      </c>
      <c r="AG78" s="404">
        <v>1425</v>
      </c>
      <c r="AH78" s="404">
        <v>1396</v>
      </c>
      <c r="AI78" s="404">
        <v>0</v>
      </c>
      <c r="AJ78" s="404">
        <v>631</v>
      </c>
      <c r="AK78" s="404">
        <v>0</v>
      </c>
      <c r="AL78" s="404">
        <v>0</v>
      </c>
      <c r="AM78" s="404">
        <v>0</v>
      </c>
      <c r="AN78" s="404">
        <v>0</v>
      </c>
      <c r="AO78" s="404">
        <v>0</v>
      </c>
      <c r="AP78" s="404">
        <v>0</v>
      </c>
      <c r="AQ78" s="404">
        <v>0</v>
      </c>
      <c r="AR78" s="404">
        <v>0</v>
      </c>
      <c r="AS78" s="404">
        <v>0</v>
      </c>
      <c r="AT78" s="404">
        <v>0</v>
      </c>
      <c r="AU78" s="404">
        <v>0</v>
      </c>
      <c r="AV78" s="404">
        <v>0</v>
      </c>
      <c r="AW78" s="404">
        <v>0</v>
      </c>
      <c r="AX78" s="245" t="s">
        <v>221</v>
      </c>
      <c r="AY78" s="245" t="s">
        <v>221</v>
      </c>
      <c r="AZ78" s="245" t="s">
        <v>221</v>
      </c>
      <c r="BA78" s="404">
        <v>112</v>
      </c>
      <c r="BB78" s="404">
        <v>72</v>
      </c>
      <c r="BC78" s="404">
        <v>0</v>
      </c>
      <c r="BD78" s="245" t="s">
        <v>221</v>
      </c>
      <c r="BE78" s="245" t="s">
        <v>221</v>
      </c>
      <c r="BF78" s="245" t="s">
        <v>221</v>
      </c>
      <c r="BG78" s="245" t="s">
        <v>221</v>
      </c>
      <c r="BH78" s="404">
        <v>0</v>
      </c>
      <c r="BI78" s="404">
        <v>0</v>
      </c>
      <c r="BJ78" s="245" t="s">
        <v>221</v>
      </c>
      <c r="BK78" s="404">
        <v>0</v>
      </c>
      <c r="BL78" s="404">
        <v>0</v>
      </c>
      <c r="BM78" s="404">
        <v>0</v>
      </c>
      <c r="BN78" s="245" t="s">
        <v>221</v>
      </c>
      <c r="BO78" s="245" t="s">
        <v>221</v>
      </c>
      <c r="BP78" s="245" t="s">
        <v>221</v>
      </c>
      <c r="BQ78" s="245" t="s">
        <v>221</v>
      </c>
      <c r="BR78" s="245" t="s">
        <v>221</v>
      </c>
      <c r="BS78" s="404">
        <v>0</v>
      </c>
      <c r="BT78" s="404">
        <v>0</v>
      </c>
      <c r="BU78" s="404">
        <v>0</v>
      </c>
      <c r="BV78" s="404">
        <v>925</v>
      </c>
      <c r="BW78" s="404">
        <v>0</v>
      </c>
      <c r="BX78" s="404">
        <v>0</v>
      </c>
      <c r="BY78" s="404">
        <v>223</v>
      </c>
      <c r="BZ78" s="404">
        <v>0</v>
      </c>
      <c r="CA78" s="404">
        <v>0</v>
      </c>
      <c r="CB78" s="404">
        <v>0</v>
      </c>
      <c r="CC78" s="245" t="s">
        <v>221</v>
      </c>
      <c r="CD78" s="245" t="s">
        <v>221</v>
      </c>
      <c r="CE78" s="193">
        <f t="shared" si="8"/>
        <v>12596.94</v>
      </c>
      <c r="CF78" s="193"/>
    </row>
    <row r="79" spans="1:84" ht="12.6" customHeight="1" x14ac:dyDescent="0.25">
      <c r="A79" s="171" t="s">
        <v>251</v>
      </c>
      <c r="B79" s="175"/>
      <c r="C79" s="403">
        <v>0</v>
      </c>
      <c r="D79" s="403">
        <v>0</v>
      </c>
      <c r="E79" s="403">
        <v>40585.349699999999</v>
      </c>
      <c r="F79" s="403">
        <v>0</v>
      </c>
      <c r="G79" s="403">
        <v>0</v>
      </c>
      <c r="H79" s="403">
        <v>0</v>
      </c>
      <c r="I79" s="403">
        <v>0</v>
      </c>
      <c r="J79" s="403">
        <v>321.88500000000005</v>
      </c>
      <c r="K79" s="403">
        <v>0</v>
      </c>
      <c r="L79" s="403">
        <v>0</v>
      </c>
      <c r="M79" s="403">
        <v>0</v>
      </c>
      <c r="N79" s="403">
        <v>0</v>
      </c>
      <c r="O79" s="403">
        <v>1850.92</v>
      </c>
      <c r="P79" s="403">
        <v>12816.460000000001</v>
      </c>
      <c r="Q79" s="403">
        <v>0</v>
      </c>
      <c r="R79" s="403">
        <v>0</v>
      </c>
      <c r="S79" s="403">
        <v>0</v>
      </c>
      <c r="T79" s="403">
        <v>0</v>
      </c>
      <c r="U79" s="403">
        <v>239.99</v>
      </c>
      <c r="V79" s="403">
        <v>0</v>
      </c>
      <c r="W79" s="403">
        <v>0</v>
      </c>
      <c r="X79" s="403">
        <v>0</v>
      </c>
      <c r="Y79" s="403">
        <v>12385.004000000001</v>
      </c>
      <c r="Z79" s="403">
        <v>0</v>
      </c>
      <c r="AA79" s="403">
        <v>0</v>
      </c>
      <c r="AB79" s="403">
        <v>0</v>
      </c>
      <c r="AC79" s="403">
        <v>0</v>
      </c>
      <c r="AD79" s="403">
        <v>0</v>
      </c>
      <c r="AE79" s="403">
        <v>0</v>
      </c>
      <c r="AF79" s="403">
        <v>0</v>
      </c>
      <c r="AG79" s="403">
        <v>11689.2768</v>
      </c>
      <c r="AH79" s="403">
        <v>5071.7420000000002</v>
      </c>
      <c r="AI79" s="184"/>
      <c r="AJ79" s="184"/>
      <c r="AK79" s="184"/>
      <c r="AL79" s="184"/>
      <c r="AM79" s="184"/>
      <c r="AN79" s="184"/>
      <c r="AO79" s="184"/>
      <c r="AP79" s="184"/>
      <c r="AQ79" s="184"/>
      <c r="AR79" s="184"/>
      <c r="AS79" s="184"/>
      <c r="AT79" s="184"/>
      <c r="AU79" s="184"/>
      <c r="AV79" s="184"/>
      <c r="AW79" s="184"/>
      <c r="AX79" s="245" t="s">
        <v>221</v>
      </c>
      <c r="AY79" s="245" t="s">
        <v>221</v>
      </c>
      <c r="AZ79" s="245" t="s">
        <v>221</v>
      </c>
      <c r="BA79" s="245" t="s">
        <v>221</v>
      </c>
      <c r="BB79" s="184"/>
      <c r="BC79" s="184"/>
      <c r="BD79" s="245" t="s">
        <v>221</v>
      </c>
      <c r="BE79" s="245" t="s">
        <v>221</v>
      </c>
      <c r="BF79" s="245" t="s">
        <v>221</v>
      </c>
      <c r="BG79" s="245" t="s">
        <v>221</v>
      </c>
      <c r="BH79" s="184"/>
      <c r="BI79" s="184"/>
      <c r="BJ79" s="245" t="s">
        <v>221</v>
      </c>
      <c r="BK79" s="184"/>
      <c r="BL79" s="184"/>
      <c r="BM79" s="184"/>
      <c r="BN79" s="245" t="s">
        <v>221</v>
      </c>
      <c r="BO79" s="245" t="s">
        <v>221</v>
      </c>
      <c r="BP79" s="245" t="s">
        <v>221</v>
      </c>
      <c r="BQ79" s="245" t="s">
        <v>221</v>
      </c>
      <c r="BR79" s="245" t="s">
        <v>221</v>
      </c>
      <c r="BS79" s="184"/>
      <c r="BT79" s="184"/>
      <c r="BU79" s="184"/>
      <c r="BV79" s="184"/>
      <c r="BW79" s="184"/>
      <c r="BX79" s="184"/>
      <c r="BY79" s="184"/>
      <c r="BZ79" s="184"/>
      <c r="CA79" s="184"/>
      <c r="CB79" s="184"/>
      <c r="CC79" s="245" t="s">
        <v>221</v>
      </c>
      <c r="CD79" s="245" t="s">
        <v>221</v>
      </c>
      <c r="CE79" s="193">
        <f t="shared" si="8"/>
        <v>84960.627500000002</v>
      </c>
      <c r="CF79" s="193">
        <f>BA59</f>
        <v>0</v>
      </c>
    </row>
    <row r="80" spans="1:84" ht="21" customHeight="1" x14ac:dyDescent="0.25">
      <c r="A80" s="171" t="s">
        <v>252</v>
      </c>
      <c r="B80" s="175"/>
      <c r="C80" s="408">
        <v>0</v>
      </c>
      <c r="D80" s="408">
        <v>0</v>
      </c>
      <c r="E80" s="407">
        <v>9.34</v>
      </c>
      <c r="F80" s="409">
        <v>0</v>
      </c>
      <c r="G80" s="408">
        <v>0</v>
      </c>
      <c r="H80" s="408">
        <v>0</v>
      </c>
      <c r="I80" s="407">
        <v>2.42</v>
      </c>
      <c r="J80" s="407">
        <v>0.01</v>
      </c>
      <c r="K80" s="409">
        <v>0</v>
      </c>
      <c r="L80" s="407">
        <v>28.169999999999998</v>
      </c>
      <c r="M80" s="406">
        <v>0</v>
      </c>
      <c r="N80" s="406">
        <v>0</v>
      </c>
      <c r="O80" s="405">
        <v>3.7170144230769231</v>
      </c>
      <c r="P80" s="405">
        <v>6.609360576923077</v>
      </c>
      <c r="Q80" s="405">
        <v>2.3007788461538463</v>
      </c>
      <c r="R80" s="405">
        <v>1.0515625</v>
      </c>
      <c r="S80" s="405">
        <v>0</v>
      </c>
      <c r="T80" s="405">
        <v>0</v>
      </c>
      <c r="U80" s="405">
        <v>9.1093846153846147</v>
      </c>
      <c r="V80" s="405">
        <v>0</v>
      </c>
      <c r="W80" s="405">
        <v>0</v>
      </c>
      <c r="X80" s="405">
        <v>0</v>
      </c>
      <c r="Y80" s="405">
        <v>7.7117067307692313</v>
      </c>
      <c r="Z80" s="405">
        <v>0</v>
      </c>
      <c r="AA80" s="405">
        <v>0</v>
      </c>
      <c r="AB80" s="405">
        <v>2.008173076923077</v>
      </c>
      <c r="AC80" s="405">
        <v>0.66201923076923075</v>
      </c>
      <c r="AD80" s="405">
        <v>0</v>
      </c>
      <c r="AE80" s="405">
        <v>4.3839903846153847</v>
      </c>
      <c r="AF80" s="405">
        <v>0</v>
      </c>
      <c r="AG80" s="405">
        <v>11.545985576923076</v>
      </c>
      <c r="AH80" s="405">
        <v>23.256581730769231</v>
      </c>
      <c r="AI80" s="405">
        <v>0</v>
      </c>
      <c r="AJ80" s="405">
        <v>38.320307692307694</v>
      </c>
      <c r="AK80" s="405">
        <v>1.1252644230769231</v>
      </c>
      <c r="AL80" s="405">
        <v>0</v>
      </c>
      <c r="AM80" s="405">
        <v>0</v>
      </c>
      <c r="AN80" s="405">
        <v>0</v>
      </c>
      <c r="AO80" s="405">
        <v>0</v>
      </c>
      <c r="AP80" s="405">
        <v>0</v>
      </c>
      <c r="AQ80" s="405">
        <v>0</v>
      </c>
      <c r="AR80" s="405">
        <v>0</v>
      </c>
      <c r="AS80" s="405">
        <v>0</v>
      </c>
      <c r="AT80" s="405">
        <v>0</v>
      </c>
      <c r="AU80" s="405">
        <v>0</v>
      </c>
      <c r="AV80" s="405">
        <v>0</v>
      </c>
      <c r="AW80" s="245" t="s">
        <v>221</v>
      </c>
      <c r="AX80" s="245" t="s">
        <v>221</v>
      </c>
      <c r="AY80" s="245" t="s">
        <v>221</v>
      </c>
      <c r="AZ80" s="245" t="s">
        <v>221</v>
      </c>
      <c r="BA80" s="245" t="s">
        <v>221</v>
      </c>
      <c r="BB80" s="245" t="s">
        <v>221</v>
      </c>
      <c r="BC80" s="245" t="s">
        <v>221</v>
      </c>
      <c r="BD80" s="245" t="s">
        <v>221</v>
      </c>
      <c r="BE80" s="245" t="s">
        <v>221</v>
      </c>
      <c r="BF80" s="245" t="s">
        <v>221</v>
      </c>
      <c r="BG80" s="245" t="s">
        <v>221</v>
      </c>
      <c r="BH80" s="245" t="s">
        <v>221</v>
      </c>
      <c r="BI80" s="245" t="s">
        <v>221</v>
      </c>
      <c r="BJ80" s="245" t="s">
        <v>221</v>
      </c>
      <c r="BK80" s="245" t="s">
        <v>221</v>
      </c>
      <c r="BL80" s="245" t="s">
        <v>221</v>
      </c>
      <c r="BM80" s="245" t="s">
        <v>221</v>
      </c>
      <c r="BN80" s="245" t="s">
        <v>221</v>
      </c>
      <c r="BO80" s="245" t="s">
        <v>221</v>
      </c>
      <c r="BP80" s="245" t="s">
        <v>221</v>
      </c>
      <c r="BQ80" s="245" t="s">
        <v>221</v>
      </c>
      <c r="BR80" s="245" t="s">
        <v>221</v>
      </c>
      <c r="BS80" s="245" t="s">
        <v>221</v>
      </c>
      <c r="BT80" s="245" t="s">
        <v>221</v>
      </c>
      <c r="BU80" s="250"/>
      <c r="BV80" s="250"/>
      <c r="BW80" s="250"/>
      <c r="BX80" s="250"/>
      <c r="BY80" s="250"/>
      <c r="BZ80" s="250"/>
      <c r="CA80" s="250"/>
      <c r="CB80" s="250"/>
      <c r="CC80" s="245" t="s">
        <v>221</v>
      </c>
      <c r="CD80" s="245" t="s">
        <v>221</v>
      </c>
      <c r="CE80" s="251">
        <f t="shared" si="8"/>
        <v>151.74212980769229</v>
      </c>
      <c r="CF80" s="251"/>
    </row>
    <row r="81" spans="1:5" ht="12.6" customHeight="1" x14ac:dyDescent="0.25">
      <c r="A81" s="206" t="s">
        <v>253</v>
      </c>
      <c r="B81" s="206"/>
      <c r="C81" s="206"/>
      <c r="D81" s="206"/>
      <c r="E81" s="206"/>
    </row>
    <row r="82" spans="1:5" ht="12.6" customHeight="1" x14ac:dyDescent="0.25">
      <c r="A82" s="171" t="s">
        <v>254</v>
      </c>
      <c r="B82" s="172"/>
      <c r="C82" s="279" t="s">
        <v>1283</v>
      </c>
      <c r="D82" s="252"/>
      <c r="E82" s="175"/>
    </row>
    <row r="83" spans="1:5" ht="12.6" customHeight="1" x14ac:dyDescent="0.25">
      <c r="A83" s="173" t="s">
        <v>255</v>
      </c>
      <c r="B83" s="172" t="s">
        <v>256</v>
      </c>
      <c r="C83" s="351" t="s">
        <v>1288</v>
      </c>
      <c r="D83" s="252"/>
      <c r="E83" s="175"/>
    </row>
    <row r="84" spans="1:5" ht="12.6" customHeight="1" x14ac:dyDescent="0.25">
      <c r="A84" s="173" t="s">
        <v>257</v>
      </c>
      <c r="B84" s="172" t="s">
        <v>256</v>
      </c>
      <c r="C84" s="223" t="s">
        <v>1272</v>
      </c>
      <c r="D84" s="203"/>
      <c r="E84" s="202"/>
    </row>
    <row r="85" spans="1:5" ht="12.6" customHeight="1" x14ac:dyDescent="0.25">
      <c r="A85" s="173" t="s">
        <v>1251</v>
      </c>
      <c r="B85" s="172"/>
      <c r="C85" s="280" t="s">
        <v>1273</v>
      </c>
      <c r="D85" s="203"/>
      <c r="E85" s="202"/>
    </row>
    <row r="86" spans="1:5" ht="12.6" customHeight="1" x14ac:dyDescent="0.25">
      <c r="A86" s="173" t="s">
        <v>1252</v>
      </c>
      <c r="B86" s="172" t="s">
        <v>256</v>
      </c>
      <c r="C86" s="224" t="s">
        <v>1273</v>
      </c>
      <c r="D86" s="203"/>
      <c r="E86" s="202"/>
    </row>
    <row r="87" spans="1:5" ht="12.6" customHeight="1" x14ac:dyDescent="0.25">
      <c r="A87" s="173" t="s">
        <v>258</v>
      </c>
      <c r="B87" s="172" t="s">
        <v>256</v>
      </c>
      <c r="C87" s="223" t="s">
        <v>1274</v>
      </c>
      <c r="D87" s="203"/>
      <c r="E87" s="202"/>
    </row>
    <row r="88" spans="1:5" ht="12.6" customHeight="1" x14ac:dyDescent="0.25">
      <c r="A88" s="173" t="s">
        <v>259</v>
      </c>
      <c r="B88" s="172" t="s">
        <v>256</v>
      </c>
      <c r="C88" s="223" t="s">
        <v>1275</v>
      </c>
      <c r="D88" s="203"/>
      <c r="E88" s="202"/>
    </row>
    <row r="89" spans="1:5" ht="12.6" customHeight="1" x14ac:dyDescent="0.25">
      <c r="A89" s="173" t="s">
        <v>260</v>
      </c>
      <c r="B89" s="172" t="s">
        <v>256</v>
      </c>
      <c r="C89" s="223" t="s">
        <v>1284</v>
      </c>
      <c r="D89" s="203"/>
      <c r="E89" s="202"/>
    </row>
    <row r="90" spans="1:5" ht="12.6" customHeight="1" x14ac:dyDescent="0.25">
      <c r="A90" s="173" t="s">
        <v>261</v>
      </c>
      <c r="B90" s="172" t="s">
        <v>256</v>
      </c>
      <c r="C90" s="223" t="s">
        <v>1285</v>
      </c>
      <c r="D90" s="203"/>
      <c r="E90" s="202"/>
    </row>
    <row r="91" spans="1:5" ht="12.6" customHeight="1" x14ac:dyDescent="0.25">
      <c r="A91" s="173" t="s">
        <v>262</v>
      </c>
      <c r="B91" s="172" t="s">
        <v>256</v>
      </c>
      <c r="C91" s="223" t="s">
        <v>1278</v>
      </c>
      <c r="D91" s="203"/>
      <c r="E91" s="202"/>
    </row>
    <row r="92" spans="1:5" ht="12.6" customHeight="1" x14ac:dyDescent="0.25">
      <c r="A92" s="173" t="s">
        <v>263</v>
      </c>
      <c r="B92" s="172" t="s">
        <v>256</v>
      </c>
      <c r="C92" s="353" t="s">
        <v>1286</v>
      </c>
      <c r="D92" s="252"/>
      <c r="E92" s="175"/>
    </row>
    <row r="93" spans="1:5" ht="12.6" customHeight="1" x14ac:dyDescent="0.25">
      <c r="A93" s="173" t="s">
        <v>264</v>
      </c>
      <c r="B93" s="172" t="s">
        <v>256</v>
      </c>
      <c r="C93" s="356" t="s">
        <v>1287</v>
      </c>
      <c r="D93" s="252"/>
      <c r="E93" s="175"/>
    </row>
    <row r="94" spans="1:5" ht="12.6" customHeight="1" x14ac:dyDescent="0.25">
      <c r="A94" s="173"/>
      <c r="B94" s="173"/>
      <c r="C94" s="189"/>
      <c r="D94" s="175"/>
      <c r="E94" s="175"/>
    </row>
    <row r="95" spans="1:5" ht="12.6" customHeight="1" x14ac:dyDescent="0.25">
      <c r="A95" s="206" t="s">
        <v>265</v>
      </c>
      <c r="B95" s="206"/>
      <c r="C95" s="206"/>
      <c r="D95" s="206"/>
      <c r="E95" s="206"/>
    </row>
    <row r="96" spans="1:5" ht="12.6" customHeight="1" x14ac:dyDescent="0.25">
      <c r="A96" s="253" t="s">
        <v>266</v>
      </c>
      <c r="B96" s="253"/>
      <c r="C96" s="253"/>
      <c r="D96" s="253"/>
      <c r="E96" s="253"/>
    </row>
    <row r="97" spans="1:5" ht="12.6" customHeight="1" x14ac:dyDescent="0.25">
      <c r="A97" s="173" t="s">
        <v>267</v>
      </c>
      <c r="B97" s="172" t="s">
        <v>256</v>
      </c>
      <c r="C97" s="187"/>
      <c r="D97" s="175"/>
      <c r="E97" s="175"/>
    </row>
    <row r="98" spans="1:5" ht="12.6" customHeight="1" x14ac:dyDescent="0.25">
      <c r="A98" s="173" t="s">
        <v>259</v>
      </c>
      <c r="B98" s="172" t="s">
        <v>256</v>
      </c>
      <c r="C98" s="187"/>
      <c r="D98" s="175"/>
      <c r="E98" s="175"/>
    </row>
    <row r="99" spans="1:5" ht="12.6" customHeight="1" x14ac:dyDescent="0.25">
      <c r="A99" s="173" t="s">
        <v>268</v>
      </c>
      <c r="B99" s="172" t="s">
        <v>256</v>
      </c>
      <c r="C99" s="187">
        <v>1</v>
      </c>
      <c r="D99" s="175"/>
      <c r="E99" s="175"/>
    </row>
    <row r="100" spans="1:5" ht="12.6" customHeight="1" x14ac:dyDescent="0.25">
      <c r="A100" s="253" t="s">
        <v>269</v>
      </c>
      <c r="B100" s="253"/>
      <c r="C100" s="253"/>
      <c r="D100" s="253"/>
      <c r="E100" s="253"/>
    </row>
    <row r="101" spans="1:5" ht="12.6" customHeight="1" x14ac:dyDescent="0.25">
      <c r="A101" s="173" t="s">
        <v>270</v>
      </c>
      <c r="B101" s="172" t="s">
        <v>256</v>
      </c>
      <c r="C101" s="187"/>
      <c r="D101" s="175"/>
      <c r="E101" s="175"/>
    </row>
    <row r="102" spans="1:5" ht="12.6" customHeight="1" x14ac:dyDescent="0.25">
      <c r="A102" s="173" t="s">
        <v>132</v>
      </c>
      <c r="B102" s="172" t="s">
        <v>256</v>
      </c>
      <c r="C102" s="219"/>
      <c r="D102" s="175"/>
      <c r="E102" s="175"/>
    </row>
    <row r="103" spans="1:5" ht="12.6" customHeight="1" x14ac:dyDescent="0.25">
      <c r="A103" s="253" t="s">
        <v>271</v>
      </c>
      <c r="B103" s="253"/>
      <c r="C103" s="253"/>
      <c r="D103" s="253"/>
      <c r="E103" s="253"/>
    </row>
    <row r="104" spans="1:5" ht="12.6" customHeight="1" x14ac:dyDescent="0.25">
      <c r="A104" s="173" t="s">
        <v>272</v>
      </c>
      <c r="B104" s="172" t="s">
        <v>256</v>
      </c>
      <c r="C104" s="187"/>
      <c r="D104" s="175"/>
      <c r="E104" s="175"/>
    </row>
    <row r="105" spans="1:5" ht="12.6" customHeight="1" x14ac:dyDescent="0.25">
      <c r="A105" s="173" t="s">
        <v>273</v>
      </c>
      <c r="B105" s="172" t="s">
        <v>256</v>
      </c>
      <c r="C105" s="187"/>
      <c r="D105" s="175"/>
      <c r="E105" s="175"/>
    </row>
    <row r="106" spans="1:5" ht="12.6" customHeight="1" x14ac:dyDescent="0.25">
      <c r="A106" s="173" t="s">
        <v>274</v>
      </c>
      <c r="B106" s="172" t="s">
        <v>256</v>
      </c>
      <c r="C106" s="187"/>
      <c r="D106" s="175"/>
      <c r="E106" s="175"/>
    </row>
    <row r="107" spans="1:5" ht="21.75" customHeight="1" x14ac:dyDescent="0.25">
      <c r="A107" s="173"/>
      <c r="B107" s="172"/>
      <c r="C107" s="188"/>
      <c r="D107" s="175"/>
      <c r="E107" s="175"/>
    </row>
    <row r="108" spans="1:5" ht="13.5" customHeight="1" x14ac:dyDescent="0.25">
      <c r="A108" s="205" t="s">
        <v>275</v>
      </c>
      <c r="B108" s="206"/>
      <c r="C108" s="206"/>
      <c r="D108" s="206"/>
      <c r="E108" s="206"/>
    </row>
    <row r="109" spans="1:5" ht="13.5" customHeight="1" x14ac:dyDescent="0.25">
      <c r="A109" s="173"/>
      <c r="B109" s="172"/>
      <c r="C109" s="188"/>
      <c r="D109" s="175"/>
      <c r="E109" s="175"/>
    </row>
    <row r="110" spans="1:5" ht="12.6" customHeight="1" x14ac:dyDescent="0.25">
      <c r="A110" s="171" t="s">
        <v>276</v>
      </c>
      <c r="B110" s="175"/>
      <c r="C110" s="182" t="s">
        <v>277</v>
      </c>
      <c r="D110" s="170" t="s">
        <v>215</v>
      </c>
      <c r="E110" s="175"/>
    </row>
    <row r="111" spans="1:5" ht="12.6" customHeight="1" x14ac:dyDescent="0.25">
      <c r="A111" s="173" t="s">
        <v>278</v>
      </c>
      <c r="B111" s="172" t="s">
        <v>256</v>
      </c>
      <c r="C111" s="187">
        <v>195</v>
      </c>
      <c r="D111" s="174">
        <v>659</v>
      </c>
      <c r="E111" s="175"/>
    </row>
    <row r="112" spans="1:5" ht="12.6" customHeight="1" x14ac:dyDescent="0.25">
      <c r="A112" s="173" t="s">
        <v>279</v>
      </c>
      <c r="B112" s="172" t="s">
        <v>256</v>
      </c>
      <c r="C112" s="187">
        <v>205</v>
      </c>
      <c r="D112" s="174">
        <v>3983</v>
      </c>
      <c r="E112" s="175"/>
    </row>
    <row r="113" spans="1:5" ht="12.6" customHeight="1" x14ac:dyDescent="0.25">
      <c r="A113" s="173" t="s">
        <v>280</v>
      </c>
      <c r="B113" s="172" t="s">
        <v>256</v>
      </c>
      <c r="C113" s="187">
        <v>147</v>
      </c>
      <c r="D113" s="174">
        <v>438</v>
      </c>
      <c r="E113" s="175"/>
    </row>
    <row r="114" spans="1:5" ht="12.6" customHeight="1" x14ac:dyDescent="0.25">
      <c r="A114" s="173" t="s">
        <v>281</v>
      </c>
      <c r="B114" s="172" t="s">
        <v>256</v>
      </c>
      <c r="C114" s="187">
        <v>83</v>
      </c>
      <c r="D114" s="174">
        <v>133</v>
      </c>
      <c r="E114" s="175"/>
    </row>
    <row r="115" spans="1:5" ht="12.6" customHeight="1" x14ac:dyDescent="0.25">
      <c r="A115" s="171" t="s">
        <v>282</v>
      </c>
      <c r="B115" s="175"/>
      <c r="C115" s="182" t="s">
        <v>167</v>
      </c>
      <c r="D115" s="175"/>
      <c r="E115" s="175"/>
    </row>
    <row r="116" spans="1:5" ht="12.6" customHeight="1" x14ac:dyDescent="0.25">
      <c r="A116" s="173" t="s">
        <v>283</v>
      </c>
      <c r="B116" s="172" t="s">
        <v>256</v>
      </c>
      <c r="C116" s="187"/>
      <c r="D116" s="175"/>
      <c r="E116" s="175"/>
    </row>
    <row r="117" spans="1:5" ht="12.6" customHeight="1" x14ac:dyDescent="0.25">
      <c r="A117" s="173" t="s">
        <v>284</v>
      </c>
      <c r="B117" s="172" t="s">
        <v>256</v>
      </c>
      <c r="C117" s="187"/>
      <c r="D117" s="175"/>
      <c r="E117" s="175"/>
    </row>
    <row r="118" spans="1:5" ht="12.6" customHeight="1" x14ac:dyDescent="0.25">
      <c r="A118" s="173" t="s">
        <v>1239</v>
      </c>
      <c r="B118" s="172" t="s">
        <v>256</v>
      </c>
      <c r="C118" s="187"/>
      <c r="D118" s="175"/>
      <c r="E118" s="175"/>
    </row>
    <row r="119" spans="1:5" ht="12.6" customHeight="1" x14ac:dyDescent="0.25">
      <c r="A119" s="173" t="s">
        <v>285</v>
      </c>
      <c r="B119" s="172" t="s">
        <v>256</v>
      </c>
      <c r="C119" s="187"/>
      <c r="D119" s="175"/>
      <c r="E119" s="175"/>
    </row>
    <row r="120" spans="1:5" ht="12.6" customHeight="1" x14ac:dyDescent="0.25">
      <c r="A120" s="173" t="s">
        <v>286</v>
      </c>
      <c r="B120" s="172" t="s">
        <v>256</v>
      </c>
      <c r="C120" s="187"/>
      <c r="D120" s="175"/>
      <c r="E120" s="175"/>
    </row>
    <row r="121" spans="1:5" ht="12.6" customHeight="1" x14ac:dyDescent="0.25">
      <c r="A121" s="173" t="s">
        <v>287</v>
      </c>
      <c r="B121" s="172" t="s">
        <v>256</v>
      </c>
      <c r="C121" s="187"/>
      <c r="D121" s="175"/>
      <c r="E121" s="175"/>
    </row>
    <row r="122" spans="1:5" ht="12.6" customHeight="1" x14ac:dyDescent="0.25">
      <c r="A122" s="173" t="s">
        <v>97</v>
      </c>
      <c r="B122" s="172" t="s">
        <v>256</v>
      </c>
      <c r="C122" s="187"/>
      <c r="D122" s="175"/>
      <c r="E122" s="175"/>
    </row>
    <row r="123" spans="1:5" ht="12.6" customHeight="1" x14ac:dyDescent="0.25">
      <c r="A123" s="173" t="s">
        <v>288</v>
      </c>
      <c r="B123" s="172" t="s">
        <v>256</v>
      </c>
      <c r="C123" s="187"/>
      <c r="D123" s="175"/>
      <c r="E123" s="175"/>
    </row>
    <row r="124" spans="1:5" ht="12.6" customHeight="1" x14ac:dyDescent="0.25">
      <c r="A124" s="173" t="s">
        <v>289</v>
      </c>
      <c r="B124" s="172"/>
      <c r="C124" s="187">
        <v>11</v>
      </c>
      <c r="D124" s="175"/>
      <c r="E124" s="175"/>
    </row>
    <row r="125" spans="1:5" ht="12.6" customHeight="1" x14ac:dyDescent="0.25">
      <c r="A125" s="173" t="s">
        <v>280</v>
      </c>
      <c r="B125" s="172" t="s">
        <v>256</v>
      </c>
      <c r="C125" s="187">
        <v>14</v>
      </c>
      <c r="D125" s="175"/>
      <c r="E125" s="175"/>
    </row>
    <row r="126" spans="1:5" ht="12.6" customHeight="1" x14ac:dyDescent="0.25">
      <c r="A126" s="173" t="s">
        <v>290</v>
      </c>
      <c r="B126" s="172" t="s">
        <v>256</v>
      </c>
      <c r="C126" s="187"/>
      <c r="D126" s="175"/>
      <c r="E126" s="175"/>
    </row>
    <row r="127" spans="1:5" ht="12.6" customHeight="1" x14ac:dyDescent="0.25">
      <c r="A127" s="173" t="s">
        <v>291</v>
      </c>
      <c r="B127" s="175"/>
      <c r="C127" s="189"/>
      <c r="D127" s="175"/>
      <c r="E127" s="175">
        <f>SUM(C116:C126)</f>
        <v>25</v>
      </c>
    </row>
    <row r="128" spans="1:5" ht="12.6" customHeight="1" x14ac:dyDescent="0.25">
      <c r="A128" s="173" t="s">
        <v>292</v>
      </c>
      <c r="B128" s="172" t="s">
        <v>256</v>
      </c>
      <c r="C128" s="187">
        <v>25</v>
      </c>
      <c r="D128" s="175"/>
      <c r="E128" s="175"/>
    </row>
    <row r="129" spans="1:6" ht="12.6" customHeight="1" x14ac:dyDescent="0.25">
      <c r="A129" s="173" t="s">
        <v>293</v>
      </c>
      <c r="B129" s="172" t="s">
        <v>256</v>
      </c>
      <c r="C129" s="187">
        <v>5</v>
      </c>
      <c r="D129" s="175"/>
      <c r="E129" s="175"/>
    </row>
    <row r="130" spans="1:6" ht="12.6" customHeight="1" x14ac:dyDescent="0.25">
      <c r="A130" s="173"/>
      <c r="B130" s="175"/>
      <c r="C130" s="189"/>
      <c r="D130" s="175"/>
      <c r="E130" s="175"/>
    </row>
    <row r="131" spans="1:6" ht="12.6" customHeight="1" x14ac:dyDescent="0.25">
      <c r="A131" s="173" t="s">
        <v>294</v>
      </c>
      <c r="B131" s="172" t="s">
        <v>256</v>
      </c>
      <c r="C131" s="187"/>
      <c r="D131" s="175"/>
      <c r="E131" s="175"/>
    </row>
    <row r="132" spans="1:6" ht="12.6" customHeight="1" x14ac:dyDescent="0.25">
      <c r="A132" s="173"/>
      <c r="B132" s="173"/>
      <c r="C132" s="189"/>
      <c r="D132" s="175"/>
      <c r="E132" s="175"/>
    </row>
    <row r="133" spans="1:6" ht="12.6" customHeight="1" x14ac:dyDescent="0.25">
      <c r="A133" s="173"/>
      <c r="B133" s="173"/>
      <c r="C133" s="189"/>
      <c r="D133" s="175"/>
      <c r="E133" s="175"/>
    </row>
    <row r="134" spans="1:6" ht="12.6" customHeight="1" x14ac:dyDescent="0.25">
      <c r="A134" s="173"/>
      <c r="B134" s="173"/>
      <c r="C134" s="189"/>
      <c r="D134" s="175"/>
      <c r="E134" s="175"/>
    </row>
    <row r="135" spans="1:6" ht="18" customHeight="1" x14ac:dyDescent="0.25">
      <c r="A135" s="173"/>
      <c r="B135" s="173"/>
      <c r="C135" s="189"/>
      <c r="D135" s="175"/>
      <c r="E135" s="175"/>
    </row>
    <row r="136" spans="1:6" ht="12.6" customHeight="1" x14ac:dyDescent="0.25">
      <c r="A136" s="206" t="s">
        <v>1240</v>
      </c>
      <c r="B136" s="205"/>
      <c r="C136" s="205"/>
      <c r="D136" s="205"/>
      <c r="E136" s="205"/>
    </row>
    <row r="137" spans="1:6" ht="12.6" customHeight="1" x14ac:dyDescent="0.25">
      <c r="A137" s="254" t="s">
        <v>295</v>
      </c>
      <c r="B137" s="176" t="s">
        <v>296</v>
      </c>
      <c r="C137" s="190" t="s">
        <v>297</v>
      </c>
      <c r="D137" s="176" t="s">
        <v>132</v>
      </c>
      <c r="E137" s="176" t="s">
        <v>203</v>
      </c>
    </row>
    <row r="138" spans="1:6" ht="12.6" customHeight="1" x14ac:dyDescent="0.25">
      <c r="A138" s="173" t="s">
        <v>277</v>
      </c>
      <c r="B138" s="396">
        <v>100</v>
      </c>
      <c r="C138" s="396">
        <v>5</v>
      </c>
      <c r="D138" s="396">
        <v>69</v>
      </c>
      <c r="E138" s="175">
        <f>SUM(B138:D138)</f>
        <v>174</v>
      </c>
    </row>
    <row r="139" spans="1:6" ht="12.6" customHeight="1" x14ac:dyDescent="0.25">
      <c r="A139" s="173" t="s">
        <v>215</v>
      </c>
      <c r="B139" s="396">
        <v>301</v>
      </c>
      <c r="C139" s="396">
        <v>44</v>
      </c>
      <c r="D139" s="396">
        <v>341</v>
      </c>
      <c r="E139" s="175">
        <f>SUM(B139:D139)</f>
        <v>686</v>
      </c>
    </row>
    <row r="140" spans="1:6" ht="12.6" customHeight="1" x14ac:dyDescent="0.25">
      <c r="A140" s="173" t="s">
        <v>298</v>
      </c>
      <c r="B140" s="396">
        <v>3390</v>
      </c>
      <c r="C140" s="396"/>
      <c r="D140" s="396">
        <v>1793</v>
      </c>
      <c r="E140" s="175">
        <f>SUM(B140:D140)</f>
        <v>5183</v>
      </c>
    </row>
    <row r="141" spans="1:6" ht="12.6" customHeight="1" x14ac:dyDescent="0.25">
      <c r="A141" s="173" t="s">
        <v>245</v>
      </c>
      <c r="B141" s="396">
        <v>3153175.709999999</v>
      </c>
      <c r="C141" s="396">
        <v>1449727.63</v>
      </c>
      <c r="D141" s="396">
        <v>1474193.8399999999</v>
      </c>
      <c r="E141" s="175">
        <f>SUM(B141:D141)</f>
        <v>6077097.1799999988</v>
      </c>
      <c r="F141" s="197"/>
    </row>
    <row r="142" spans="1:6" ht="12.6" customHeight="1" x14ac:dyDescent="0.25">
      <c r="A142" s="173" t="s">
        <v>246</v>
      </c>
      <c r="B142" s="396">
        <v>11636627.860000001</v>
      </c>
      <c r="C142" s="396">
        <v>7760989.2352499999</v>
      </c>
      <c r="D142" s="396">
        <v>13999032.832849998</v>
      </c>
      <c r="E142" s="175">
        <f>SUM(B142:D142)</f>
        <v>33396649.928100001</v>
      </c>
      <c r="F142" s="197"/>
    </row>
    <row r="143" spans="1:6" ht="12.6" customHeight="1" x14ac:dyDescent="0.25">
      <c r="A143" s="254" t="s">
        <v>299</v>
      </c>
      <c r="B143" s="176" t="s">
        <v>296</v>
      </c>
      <c r="C143" s="190" t="s">
        <v>297</v>
      </c>
      <c r="D143" s="176" t="s">
        <v>132</v>
      </c>
      <c r="E143" s="176" t="s">
        <v>203</v>
      </c>
    </row>
    <row r="144" spans="1:6" ht="12.6" customHeight="1" x14ac:dyDescent="0.25">
      <c r="A144" s="173" t="s">
        <v>277</v>
      </c>
      <c r="B144" s="397">
        <v>198</v>
      </c>
      <c r="C144" s="398"/>
      <c r="D144" s="397">
        <v>7</v>
      </c>
      <c r="E144" s="175">
        <f>SUM(B144:D144)</f>
        <v>205</v>
      </c>
    </row>
    <row r="145" spans="1:5" ht="12.6" customHeight="1" x14ac:dyDescent="0.25">
      <c r="A145" s="173" t="s">
        <v>215</v>
      </c>
      <c r="B145" s="397">
        <v>3866</v>
      </c>
      <c r="C145" s="398"/>
      <c r="D145" s="397">
        <v>117</v>
      </c>
      <c r="E145" s="175">
        <f>SUM(B145:D145)</f>
        <v>3983</v>
      </c>
    </row>
    <row r="146" spans="1:5" ht="12.6" customHeight="1" x14ac:dyDescent="0.25">
      <c r="A146" s="173" t="s">
        <v>298</v>
      </c>
      <c r="B146" s="397"/>
      <c r="C146" s="398"/>
      <c r="D146" s="397"/>
      <c r="E146" s="175">
        <f>SUM(B146:D146)</f>
        <v>0</v>
      </c>
    </row>
    <row r="147" spans="1:5" ht="12.6" customHeight="1" x14ac:dyDescent="0.25">
      <c r="A147" s="173" t="s">
        <v>245</v>
      </c>
      <c r="B147" s="397">
        <v>4216791</v>
      </c>
      <c r="C147" s="397">
        <v>0</v>
      </c>
      <c r="D147" s="397">
        <v>134633</v>
      </c>
      <c r="E147" s="175">
        <f>SUM(B147:D147)</f>
        <v>4351424</v>
      </c>
    </row>
    <row r="148" spans="1:5" ht="12.6" customHeight="1" x14ac:dyDescent="0.25">
      <c r="A148" s="173" t="s">
        <v>246</v>
      </c>
      <c r="B148" s="397">
        <v>0</v>
      </c>
      <c r="C148" s="397">
        <v>0</v>
      </c>
      <c r="D148" s="397">
        <v>0</v>
      </c>
      <c r="E148" s="175">
        <f>SUM(B148:D148)</f>
        <v>0</v>
      </c>
    </row>
    <row r="149" spans="1:5" ht="12.6" customHeight="1" x14ac:dyDescent="0.25">
      <c r="A149" s="254" t="s">
        <v>300</v>
      </c>
      <c r="B149" s="176" t="s">
        <v>296</v>
      </c>
      <c r="C149" s="190" t="s">
        <v>297</v>
      </c>
      <c r="D149" s="176" t="s">
        <v>132</v>
      </c>
      <c r="E149" s="176" t="s">
        <v>203</v>
      </c>
    </row>
    <row r="150" spans="1:5" ht="12.6" customHeight="1" x14ac:dyDescent="0.25">
      <c r="A150" s="173" t="s">
        <v>277</v>
      </c>
      <c r="B150" s="399">
        <v>143</v>
      </c>
      <c r="C150" s="400"/>
      <c r="D150" s="399">
        <v>4</v>
      </c>
      <c r="E150" s="175">
        <f>SUM(B150:D150)</f>
        <v>147</v>
      </c>
    </row>
    <row r="151" spans="1:5" ht="12.6" customHeight="1" x14ac:dyDescent="0.25">
      <c r="A151" s="173" t="s">
        <v>215</v>
      </c>
      <c r="B151" s="399">
        <v>426</v>
      </c>
      <c r="C151" s="400"/>
      <c r="D151" s="399">
        <v>12</v>
      </c>
      <c r="E151" s="175">
        <f>SUM(B151:D151)</f>
        <v>438</v>
      </c>
    </row>
    <row r="152" spans="1:5" ht="12.6" customHeight="1" x14ac:dyDescent="0.25">
      <c r="A152" s="173" t="s">
        <v>298</v>
      </c>
      <c r="B152" s="399"/>
      <c r="C152" s="400"/>
      <c r="D152" s="399"/>
      <c r="E152" s="175">
        <f>SUM(B152:D152)</f>
        <v>0</v>
      </c>
    </row>
    <row r="153" spans="1:5" ht="12.6" customHeight="1" x14ac:dyDescent="0.25">
      <c r="A153" s="173" t="s">
        <v>245</v>
      </c>
      <c r="B153" s="399">
        <v>503164</v>
      </c>
      <c r="C153" s="399">
        <v>0</v>
      </c>
      <c r="D153" s="399">
        <v>11748</v>
      </c>
      <c r="E153" s="175">
        <f>SUM(B153:D153)</f>
        <v>514912</v>
      </c>
    </row>
    <row r="154" spans="1:5" ht="12.6" customHeight="1" x14ac:dyDescent="0.25">
      <c r="A154" s="173" t="s">
        <v>246</v>
      </c>
      <c r="B154" s="399">
        <v>144864.43</v>
      </c>
      <c r="C154" s="399">
        <v>4840.4399999999996</v>
      </c>
      <c r="D154" s="399">
        <v>28624.3</v>
      </c>
      <c r="E154" s="175">
        <f>SUM(B154:D154)</f>
        <v>178329.16999999998</v>
      </c>
    </row>
    <row r="155" spans="1:5" ht="12.6" customHeight="1" x14ac:dyDescent="0.25">
      <c r="A155" s="177"/>
      <c r="B155" s="177"/>
      <c r="C155" s="191"/>
      <c r="D155" s="178"/>
      <c r="E155" s="175"/>
    </row>
    <row r="156" spans="1:5" ht="12.6" customHeight="1" x14ac:dyDescent="0.25">
      <c r="A156" s="254" t="s">
        <v>301</v>
      </c>
      <c r="B156" s="176" t="s">
        <v>302</v>
      </c>
      <c r="C156" s="190" t="s">
        <v>303</v>
      </c>
      <c r="D156" s="175"/>
      <c r="E156" s="175"/>
    </row>
    <row r="157" spans="1:5" ht="12.6" customHeight="1" x14ac:dyDescent="0.25">
      <c r="A157" s="177" t="s">
        <v>304</v>
      </c>
      <c r="B157" s="174">
        <v>3556046</v>
      </c>
      <c r="C157" s="174">
        <v>2373746</v>
      </c>
      <c r="D157" s="175"/>
      <c r="E157" s="175"/>
    </row>
    <row r="158" spans="1:5" ht="12.6" customHeight="1" x14ac:dyDescent="0.25">
      <c r="A158" s="177"/>
      <c r="B158" s="178"/>
      <c r="C158" s="191"/>
      <c r="D158" s="175"/>
      <c r="E158" s="175"/>
    </row>
    <row r="159" spans="1:5" ht="12.6" customHeight="1" x14ac:dyDescent="0.25">
      <c r="A159" s="177"/>
      <c r="B159" s="177"/>
      <c r="C159" s="191"/>
      <c r="D159" s="178"/>
      <c r="E159" s="175"/>
    </row>
    <row r="160" spans="1:5" ht="12.6" customHeight="1" x14ac:dyDescent="0.25">
      <c r="A160" s="177"/>
      <c r="B160" s="177"/>
      <c r="C160" s="191"/>
      <c r="D160" s="178"/>
      <c r="E160" s="175"/>
    </row>
    <row r="161" spans="1:5" ht="12.6" customHeight="1" x14ac:dyDescent="0.25">
      <c r="A161" s="177"/>
      <c r="B161" s="177"/>
      <c r="C161" s="191"/>
      <c r="D161" s="178"/>
      <c r="E161" s="175"/>
    </row>
    <row r="162" spans="1:5" ht="21.75" customHeight="1" x14ac:dyDescent="0.25">
      <c r="A162" s="177"/>
      <c r="B162" s="177"/>
      <c r="C162" s="191"/>
      <c r="D162" s="178"/>
      <c r="E162" s="175"/>
    </row>
    <row r="163" spans="1:5" ht="11.4" customHeight="1" x14ac:dyDescent="0.25">
      <c r="A163" s="205" t="s">
        <v>305</v>
      </c>
      <c r="B163" s="206"/>
      <c r="C163" s="206"/>
      <c r="D163" s="206"/>
      <c r="E163" s="206"/>
    </row>
    <row r="164" spans="1:5" ht="11.4" customHeight="1" x14ac:dyDescent="0.25">
      <c r="A164" s="253" t="s">
        <v>306</v>
      </c>
      <c r="B164" s="253"/>
      <c r="C164" s="253"/>
      <c r="D164" s="253"/>
      <c r="E164" s="253"/>
    </row>
    <row r="165" spans="1:5" ht="11.4" customHeight="1" x14ac:dyDescent="0.25">
      <c r="A165" s="173" t="s">
        <v>307</v>
      </c>
      <c r="B165" s="172" t="s">
        <v>256</v>
      </c>
      <c r="C165" s="368" t="e">
        <f ca="1">_xll.cw_map("BR","5095.0110.03")</f>
        <v>#NAME?</v>
      </c>
      <c r="D165" s="175"/>
      <c r="E165" s="175"/>
    </row>
    <row r="166" spans="1:5" ht="11.4" customHeight="1" x14ac:dyDescent="0.25">
      <c r="A166" s="173" t="s">
        <v>308</v>
      </c>
      <c r="B166" s="172" t="s">
        <v>256</v>
      </c>
      <c r="C166" s="368" t="e">
        <f ca="1">_xll.cw_map("BR","5095.0110.06")</f>
        <v>#NAME?</v>
      </c>
      <c r="D166" s="175"/>
      <c r="E166" s="175"/>
    </row>
    <row r="167" spans="1:5" ht="11.4" customHeight="1" x14ac:dyDescent="0.25">
      <c r="A167" s="177" t="s">
        <v>309</v>
      </c>
      <c r="B167" s="172" t="s">
        <v>256</v>
      </c>
      <c r="C167" s="368" t="e">
        <f ca="1">_xll.cw_map("BR","5095.0110.10")</f>
        <v>#NAME?</v>
      </c>
      <c r="D167" s="175"/>
      <c r="E167" s="175"/>
    </row>
    <row r="168" spans="1:5" ht="11.4" customHeight="1" x14ac:dyDescent="0.25">
      <c r="A168" s="173" t="s">
        <v>310</v>
      </c>
      <c r="B168" s="172" t="s">
        <v>256</v>
      </c>
      <c r="C168" s="368" t="e">
        <f ca="1">_xll.cw_map("BR","5095.0110.09")</f>
        <v>#NAME?</v>
      </c>
      <c r="D168" s="175"/>
      <c r="E168" s="175"/>
    </row>
    <row r="169" spans="1:5" ht="11.4" customHeight="1" x14ac:dyDescent="0.25">
      <c r="A169" s="173" t="s">
        <v>311</v>
      </c>
      <c r="B169" s="172" t="s">
        <v>256</v>
      </c>
      <c r="C169" s="368"/>
      <c r="D169" s="175"/>
      <c r="E169" s="175"/>
    </row>
    <row r="170" spans="1:5" ht="11.4" customHeight="1" x14ac:dyDescent="0.25">
      <c r="A170" s="173" t="s">
        <v>312</v>
      </c>
      <c r="B170" s="172" t="s">
        <v>256</v>
      </c>
      <c r="C170" s="368">
        <v>494905</v>
      </c>
      <c r="D170" s="175"/>
      <c r="E170" s="175"/>
    </row>
    <row r="171" spans="1:5" ht="11.4" customHeight="1" x14ac:dyDescent="0.25">
      <c r="A171" s="173" t="s">
        <v>313</v>
      </c>
      <c r="B171" s="172" t="s">
        <v>256</v>
      </c>
      <c r="C171" s="368">
        <v>24733</v>
      </c>
      <c r="D171" s="175"/>
      <c r="E171" s="175"/>
    </row>
    <row r="172" spans="1:5" ht="11.4" customHeight="1" x14ac:dyDescent="0.25">
      <c r="A172" s="173" t="s">
        <v>313</v>
      </c>
      <c r="B172" s="172" t="s">
        <v>256</v>
      </c>
      <c r="C172" s="368"/>
      <c r="D172" s="175"/>
      <c r="E172" s="175"/>
    </row>
    <row r="173" spans="1:5" ht="11.4" customHeight="1" x14ac:dyDescent="0.25">
      <c r="A173" s="173" t="s">
        <v>203</v>
      </c>
      <c r="B173" s="175"/>
      <c r="C173" s="189"/>
      <c r="D173" s="175" t="e">
        <f ca="1">SUM(C165:C172)</f>
        <v>#NAME?</v>
      </c>
      <c r="E173" s="175"/>
    </row>
    <row r="174" spans="1:5" ht="11.4" customHeight="1" x14ac:dyDescent="0.25">
      <c r="A174" s="253" t="s">
        <v>314</v>
      </c>
      <c r="B174" s="253"/>
      <c r="C174" s="253"/>
      <c r="D174" s="253"/>
      <c r="E174" s="253"/>
    </row>
    <row r="175" spans="1:5" ht="11.4" customHeight="1" x14ac:dyDescent="0.3">
      <c r="A175" s="173" t="s">
        <v>315</v>
      </c>
      <c r="B175" s="172" t="s">
        <v>256</v>
      </c>
      <c r="C175" s="379">
        <v>209610.68799999999</v>
      </c>
      <c r="D175" s="175"/>
      <c r="E175" s="175"/>
    </row>
    <row r="176" spans="1:5" ht="11.4" customHeight="1" x14ac:dyDescent="0.3">
      <c r="A176" s="173" t="s">
        <v>316</v>
      </c>
      <c r="B176" s="172" t="s">
        <v>256</v>
      </c>
      <c r="C176" s="380">
        <v>190648.31200000001</v>
      </c>
      <c r="D176" s="175"/>
      <c r="E176" s="175"/>
    </row>
    <row r="177" spans="1:5" ht="11.4" customHeight="1" x14ac:dyDescent="0.25">
      <c r="A177" s="173" t="s">
        <v>203</v>
      </c>
      <c r="B177" s="175"/>
      <c r="C177" s="189"/>
      <c r="D177" s="175">
        <f>SUM(C175:C176)</f>
        <v>400259</v>
      </c>
      <c r="E177" s="175"/>
    </row>
    <row r="178" spans="1:5" ht="11.4" customHeight="1" x14ac:dyDescent="0.25">
      <c r="A178" s="253" t="s">
        <v>317</v>
      </c>
      <c r="B178" s="253"/>
      <c r="C178" s="253"/>
      <c r="D178" s="253"/>
      <c r="E178" s="253"/>
    </row>
    <row r="179" spans="1:5" ht="11.4" customHeight="1" x14ac:dyDescent="0.25">
      <c r="A179" s="173" t="s">
        <v>318</v>
      </c>
      <c r="B179" s="172" t="s">
        <v>256</v>
      </c>
      <c r="C179" s="187">
        <v>239400</v>
      </c>
      <c r="D179" s="175"/>
      <c r="E179" s="175"/>
    </row>
    <row r="180" spans="1:5" ht="11.4" customHeight="1" x14ac:dyDescent="0.25">
      <c r="A180" s="173" t="s">
        <v>319</v>
      </c>
      <c r="B180" s="172" t="s">
        <v>256</v>
      </c>
      <c r="C180" s="187">
        <v>32043</v>
      </c>
      <c r="D180" s="175"/>
      <c r="E180" s="175"/>
    </row>
    <row r="181" spans="1:5" ht="11.4" customHeight="1" x14ac:dyDescent="0.25">
      <c r="A181" s="173" t="s">
        <v>203</v>
      </c>
      <c r="B181" s="175"/>
      <c r="C181" s="189"/>
      <c r="D181" s="175">
        <f>SUM(C179:C180)</f>
        <v>271443</v>
      </c>
      <c r="E181" s="175"/>
    </row>
    <row r="182" spans="1:5" ht="11.4" customHeight="1" x14ac:dyDescent="0.25">
      <c r="A182" s="253" t="s">
        <v>320</v>
      </c>
      <c r="B182" s="253"/>
      <c r="C182" s="253"/>
      <c r="D182" s="253"/>
      <c r="E182" s="253"/>
    </row>
    <row r="183" spans="1:5" ht="11.4" customHeight="1" x14ac:dyDescent="0.25">
      <c r="A183" s="173" t="s">
        <v>321</v>
      </c>
      <c r="B183" s="172" t="s">
        <v>256</v>
      </c>
      <c r="C183" s="187">
        <v>15780</v>
      </c>
      <c r="D183" s="175"/>
      <c r="E183" s="175"/>
    </row>
    <row r="184" spans="1:5" ht="11.4" customHeight="1" x14ac:dyDescent="0.25">
      <c r="A184" s="173" t="s">
        <v>322</v>
      </c>
      <c r="B184" s="172" t="s">
        <v>256</v>
      </c>
      <c r="C184" s="187">
        <v>183792</v>
      </c>
      <c r="D184" s="175"/>
      <c r="E184" s="175"/>
    </row>
    <row r="185" spans="1:5" ht="11.4" customHeight="1" x14ac:dyDescent="0.25">
      <c r="A185" s="173" t="s">
        <v>132</v>
      </c>
      <c r="B185" s="172" t="s">
        <v>256</v>
      </c>
      <c r="C185" s="187"/>
      <c r="D185" s="175"/>
      <c r="E185" s="175"/>
    </row>
    <row r="186" spans="1:5" ht="11.4" customHeight="1" x14ac:dyDescent="0.25">
      <c r="A186" s="173" t="s">
        <v>203</v>
      </c>
      <c r="B186" s="175"/>
      <c r="C186" s="189"/>
      <c r="D186" s="175">
        <f>SUM(C183:C185)</f>
        <v>199572</v>
      </c>
      <c r="E186" s="175"/>
    </row>
    <row r="187" spans="1:5" ht="11.4" customHeight="1" x14ac:dyDescent="0.25">
      <c r="A187" s="253" t="s">
        <v>323</v>
      </c>
      <c r="B187" s="253"/>
      <c r="C187" s="253"/>
      <c r="D187" s="253"/>
      <c r="E187" s="253"/>
    </row>
    <row r="188" spans="1:5" ht="11.4" customHeight="1" x14ac:dyDescent="0.25">
      <c r="A188" s="173" t="s">
        <v>324</v>
      </c>
      <c r="B188" s="172" t="s">
        <v>256</v>
      </c>
      <c r="C188" s="187">
        <v>1233913</v>
      </c>
      <c r="D188" s="175"/>
      <c r="E188" s="175"/>
    </row>
    <row r="189" spans="1:5" ht="11.4" customHeight="1" x14ac:dyDescent="0.25">
      <c r="A189" s="173" t="s">
        <v>325</v>
      </c>
      <c r="B189" s="172" t="s">
        <v>256</v>
      </c>
      <c r="C189" s="187">
        <v>12600</v>
      </c>
      <c r="D189" s="175"/>
      <c r="E189" s="175"/>
    </row>
    <row r="190" spans="1:5" ht="11.4" customHeight="1" x14ac:dyDescent="0.25">
      <c r="A190" s="173" t="s">
        <v>203</v>
      </c>
      <c r="B190" s="175"/>
      <c r="C190" s="189"/>
      <c r="D190" s="175">
        <f>SUM(C188:C189)</f>
        <v>1246513</v>
      </c>
      <c r="E190" s="175"/>
    </row>
    <row r="191" spans="1:5" ht="18" customHeight="1" x14ac:dyDescent="0.25">
      <c r="A191" s="173"/>
      <c r="B191" s="175"/>
      <c r="C191" s="189"/>
      <c r="D191" s="175"/>
      <c r="E191" s="175"/>
    </row>
    <row r="192" spans="1:5" ht="12.6" customHeight="1" x14ac:dyDescent="0.25">
      <c r="A192" s="206" t="s">
        <v>326</v>
      </c>
      <c r="B192" s="206"/>
      <c r="C192" s="206"/>
      <c r="D192" s="206"/>
      <c r="E192" s="206"/>
    </row>
    <row r="193" spans="1:8" ht="12.6" customHeight="1" x14ac:dyDescent="0.25">
      <c r="A193" s="205" t="s">
        <v>327</v>
      </c>
      <c r="B193" s="206"/>
      <c r="C193" s="206"/>
      <c r="D193" s="206"/>
      <c r="E193" s="206"/>
    </row>
    <row r="194" spans="1:8" ht="12.6" customHeight="1" x14ac:dyDescent="0.25">
      <c r="A194" s="171"/>
      <c r="B194" s="170" t="s">
        <v>328</v>
      </c>
      <c r="C194" s="182" t="s">
        <v>329</v>
      </c>
      <c r="D194" s="170" t="s">
        <v>330</v>
      </c>
      <c r="E194" s="170" t="s">
        <v>331</v>
      </c>
    </row>
    <row r="195" spans="1:8" ht="12.6" customHeight="1" x14ac:dyDescent="0.25">
      <c r="A195" s="173" t="s">
        <v>332</v>
      </c>
      <c r="B195" s="174" t="e">
        <f ca="1">_xll.cw_map("BR:YR1","1610.0100")</f>
        <v>#NAME?</v>
      </c>
      <c r="C195" s="187"/>
      <c r="D195" s="174"/>
      <c r="E195" s="175" t="e">
        <f t="shared" ref="E195:E203" ca="1" si="10">SUM(B195:C195)-D195</f>
        <v>#NAME?</v>
      </c>
    </row>
    <row r="196" spans="1:8" ht="12.6" customHeight="1" x14ac:dyDescent="0.25">
      <c r="A196" s="173" t="s">
        <v>333</v>
      </c>
      <c r="B196" s="174" t="e">
        <f ca="1">_xll.cw_map("BR:YR1","1630")</f>
        <v>#NAME?</v>
      </c>
      <c r="C196" s="187"/>
      <c r="D196" s="174"/>
      <c r="E196" s="175" t="e">
        <f t="shared" ca="1" si="10"/>
        <v>#NAME?</v>
      </c>
    </row>
    <row r="197" spans="1:8" ht="12.6" customHeight="1" x14ac:dyDescent="0.25">
      <c r="A197" s="173" t="s">
        <v>334</v>
      </c>
      <c r="B197" s="174" t="e">
        <f ca="1">_xll.cw_map("BR:YR1","1620.0100")</f>
        <v>#NAME?</v>
      </c>
      <c r="C197" s="187"/>
      <c r="D197" s="174"/>
      <c r="E197" s="175" t="e">
        <f t="shared" ca="1" si="10"/>
        <v>#NAME?</v>
      </c>
    </row>
    <row r="198" spans="1:8" ht="12.6" customHeight="1" x14ac:dyDescent="0.25">
      <c r="A198" s="173" t="s">
        <v>335</v>
      </c>
      <c r="B198" s="174" t="e">
        <f ca="1">_xll.cw_map("BR:YR1","1620.0105")</f>
        <v>#NAME?</v>
      </c>
      <c r="C198" s="187"/>
      <c r="D198" s="174"/>
      <c r="E198" s="175" t="e">
        <f t="shared" ca="1" si="10"/>
        <v>#NAME?</v>
      </c>
    </row>
    <row r="199" spans="1:8" ht="12.6" customHeight="1" x14ac:dyDescent="0.25">
      <c r="A199" s="173" t="s">
        <v>336</v>
      </c>
      <c r="B199" s="174"/>
      <c r="C199" s="187"/>
      <c r="D199" s="174"/>
      <c r="E199" s="175">
        <f t="shared" si="10"/>
        <v>0</v>
      </c>
    </row>
    <row r="200" spans="1:8" ht="12.6" customHeight="1" x14ac:dyDescent="0.25">
      <c r="A200" s="173" t="s">
        <v>337</v>
      </c>
      <c r="B200" s="174" t="e">
        <f ca="1">_xll.cw_map("BR:YR1","1640")+_xll.cw_map("BR:YR1","1670")</f>
        <v>#NAME?</v>
      </c>
      <c r="C200" s="187">
        <f>464993+24848</f>
        <v>489841</v>
      </c>
      <c r="D200" s="174">
        <v>178116</v>
      </c>
      <c r="E200" s="175" t="e">
        <f t="shared" ca="1" si="10"/>
        <v>#NAME?</v>
      </c>
    </row>
    <row r="201" spans="1:8" ht="12.6" customHeight="1" x14ac:dyDescent="0.25">
      <c r="A201" s="173" t="s">
        <v>338</v>
      </c>
      <c r="B201" s="174"/>
      <c r="C201" s="187"/>
      <c r="D201" s="174"/>
      <c r="E201" s="175">
        <f t="shared" si="10"/>
        <v>0</v>
      </c>
    </row>
    <row r="202" spans="1:8" ht="12.6" customHeight="1" x14ac:dyDescent="0.25">
      <c r="A202" s="173" t="s">
        <v>339</v>
      </c>
      <c r="B202" s="174"/>
      <c r="C202" s="187"/>
      <c r="D202" s="174"/>
      <c r="E202" s="175">
        <f t="shared" si="10"/>
        <v>0</v>
      </c>
    </row>
    <row r="203" spans="1:8" ht="12.6" customHeight="1" x14ac:dyDescent="0.25">
      <c r="A203" s="173" t="s">
        <v>340</v>
      </c>
      <c r="B203" s="174" t="e">
        <f ca="1">_xll.cw_map("BR:YR1","1675")</f>
        <v>#NAME?</v>
      </c>
      <c r="C203" s="187">
        <v>1283635</v>
      </c>
      <c r="D203" s="174"/>
      <c r="E203" s="175" t="e">
        <f t="shared" ca="1" si="10"/>
        <v>#NAME?</v>
      </c>
    </row>
    <row r="204" spans="1:8" ht="12.6" customHeight="1" x14ac:dyDescent="0.25">
      <c r="A204" s="173" t="s">
        <v>203</v>
      </c>
      <c r="B204" s="175" t="e">
        <f ca="1">SUM(B195:B203)</f>
        <v>#NAME?</v>
      </c>
      <c r="C204" s="189">
        <f>SUM(C195:C203)</f>
        <v>1773476</v>
      </c>
      <c r="D204" s="175">
        <f>SUM(D195:D203)</f>
        <v>178116</v>
      </c>
      <c r="E204" s="175" t="e">
        <f ca="1">SUM(E195:E203)</f>
        <v>#NAME?</v>
      </c>
    </row>
    <row r="205" spans="1:8" ht="12.6" customHeight="1" x14ac:dyDescent="0.25">
      <c r="A205" s="173"/>
      <c r="B205" s="173"/>
      <c r="C205" s="189"/>
      <c r="D205" s="175"/>
      <c r="E205" s="175"/>
    </row>
    <row r="206" spans="1:8" ht="12.6" customHeight="1" x14ac:dyDescent="0.25">
      <c r="A206" s="205" t="s">
        <v>341</v>
      </c>
      <c r="B206" s="205"/>
      <c r="C206" s="205"/>
      <c r="D206" s="205"/>
      <c r="E206" s="205"/>
    </row>
    <row r="207" spans="1:8" ht="12.6" customHeight="1" x14ac:dyDescent="0.25">
      <c r="A207" s="171"/>
      <c r="B207" s="170" t="s">
        <v>328</v>
      </c>
      <c r="C207" s="182" t="s">
        <v>329</v>
      </c>
      <c r="D207" s="170" t="s">
        <v>330</v>
      </c>
      <c r="E207" s="170" t="s">
        <v>331</v>
      </c>
      <c r="H207" s="255"/>
    </row>
    <row r="208" spans="1:8" ht="12.6" customHeight="1" x14ac:dyDescent="0.25">
      <c r="A208" s="173" t="s">
        <v>332</v>
      </c>
      <c r="B208" s="178"/>
      <c r="C208" s="191"/>
      <c r="D208" s="178"/>
      <c r="E208" s="175"/>
      <c r="H208" s="255"/>
    </row>
    <row r="209" spans="1:8" ht="12.6" customHeight="1" x14ac:dyDescent="0.25">
      <c r="A209" s="173" t="s">
        <v>333</v>
      </c>
      <c r="B209" s="174" t="e">
        <f ca="1">-_xll.cw_map("BR:YR1","1680.0110")</f>
        <v>#NAME?</v>
      </c>
      <c r="C209" s="187">
        <v>43247.01</v>
      </c>
      <c r="D209" s="174"/>
      <c r="E209" s="175" t="e">
        <f t="shared" ref="E209:E216" ca="1" si="11">SUM(B209:C209)-D209</f>
        <v>#NAME?</v>
      </c>
      <c r="H209" s="255"/>
    </row>
    <row r="210" spans="1:8" ht="12.6" customHeight="1" x14ac:dyDescent="0.25">
      <c r="A210" s="173" t="s">
        <v>334</v>
      </c>
      <c r="B210" s="174">
        <v>4183715</v>
      </c>
      <c r="C210" s="187">
        <v>139996.35999999999</v>
      </c>
      <c r="D210" s="174"/>
      <c r="E210" s="175">
        <f t="shared" si="11"/>
        <v>4323711.3600000003</v>
      </c>
      <c r="H210" s="255"/>
    </row>
    <row r="211" spans="1:8" ht="12.6" customHeight="1" x14ac:dyDescent="0.25">
      <c r="A211" s="173" t="s">
        <v>335</v>
      </c>
      <c r="B211" s="174">
        <v>854874.45</v>
      </c>
      <c r="C211" s="187">
        <v>15657.14</v>
      </c>
      <c r="D211" s="174"/>
      <c r="E211" s="175">
        <f t="shared" si="11"/>
        <v>870531.59</v>
      </c>
      <c r="H211" s="255"/>
    </row>
    <row r="212" spans="1:8" ht="12.6" customHeight="1" x14ac:dyDescent="0.25">
      <c r="A212" s="173" t="s">
        <v>336</v>
      </c>
      <c r="B212" s="174"/>
      <c r="C212" s="187"/>
      <c r="D212" s="174"/>
      <c r="E212" s="175">
        <f t="shared" si="11"/>
        <v>0</v>
      </c>
      <c r="H212" s="255"/>
    </row>
    <row r="213" spans="1:8" ht="12.6" customHeight="1" x14ac:dyDescent="0.25">
      <c r="A213" s="173" t="s">
        <v>337</v>
      </c>
      <c r="B213" s="174" t="e">
        <f ca="1">-(_xll.cw_map("BR:YR1","1680.0145")+_xll.cw_map("BR:YR1","1680.0130"))</f>
        <v>#NAME?</v>
      </c>
      <c r="C213" s="187">
        <v>560188</v>
      </c>
      <c r="D213" s="174">
        <v>178116</v>
      </c>
      <c r="E213" s="175" t="e">
        <f t="shared" ca="1" si="11"/>
        <v>#NAME?</v>
      </c>
      <c r="H213" s="255"/>
    </row>
    <row r="214" spans="1:8" ht="12.6" customHeight="1" x14ac:dyDescent="0.25">
      <c r="A214" s="173" t="s">
        <v>338</v>
      </c>
      <c r="B214" s="174"/>
      <c r="C214" s="187"/>
      <c r="D214" s="174"/>
      <c r="E214" s="175">
        <f t="shared" si="11"/>
        <v>0</v>
      </c>
      <c r="H214" s="255"/>
    </row>
    <row r="215" spans="1:8" ht="12.6" customHeight="1" x14ac:dyDescent="0.25">
      <c r="A215" s="173" t="s">
        <v>339</v>
      </c>
      <c r="B215" s="174"/>
      <c r="C215" s="187"/>
      <c r="D215" s="174"/>
      <c r="E215" s="175">
        <f t="shared" si="11"/>
        <v>0</v>
      </c>
      <c r="H215" s="255"/>
    </row>
    <row r="216" spans="1:8" ht="12.6" customHeight="1" x14ac:dyDescent="0.25">
      <c r="A216" s="173" t="s">
        <v>340</v>
      </c>
      <c r="B216" s="174"/>
      <c r="C216" s="187"/>
      <c r="D216" s="174"/>
      <c r="E216" s="175">
        <f t="shared" si="11"/>
        <v>0</v>
      </c>
      <c r="H216" s="255"/>
    </row>
    <row r="217" spans="1:8" ht="12.6" customHeight="1" x14ac:dyDescent="0.25">
      <c r="A217" s="173" t="s">
        <v>203</v>
      </c>
      <c r="B217" s="175" t="e">
        <f ca="1">SUM(B208:B216)</f>
        <v>#NAME?</v>
      </c>
      <c r="C217" s="189">
        <f>SUM(C208:C216)</f>
        <v>759088.51</v>
      </c>
      <c r="D217" s="175">
        <f>SUM(D208:D216)</f>
        <v>178116</v>
      </c>
      <c r="E217" s="175" t="e">
        <f ca="1">SUM(E208:E216)</f>
        <v>#NAME?</v>
      </c>
    </row>
    <row r="218" spans="1:8" ht="21.75" customHeight="1" x14ac:dyDescent="0.25">
      <c r="A218" s="173"/>
      <c r="B218" s="175"/>
      <c r="C218" s="189"/>
      <c r="D218" s="175"/>
      <c r="E218" s="175"/>
    </row>
    <row r="219" spans="1:8" ht="12.6" customHeight="1" x14ac:dyDescent="0.25">
      <c r="A219" s="206" t="s">
        <v>342</v>
      </c>
      <c r="B219" s="206"/>
      <c r="C219" s="206"/>
      <c r="D219" s="206"/>
      <c r="E219" s="206"/>
    </row>
    <row r="220" spans="1:8" ht="12.6" customHeight="1" x14ac:dyDescent="0.25">
      <c r="A220" s="206"/>
      <c r="B220" s="420" t="s">
        <v>1257</v>
      </c>
      <c r="C220" s="420"/>
      <c r="D220" s="206"/>
      <c r="E220" s="206"/>
    </row>
    <row r="221" spans="1:8" ht="12.6" customHeight="1" x14ac:dyDescent="0.25">
      <c r="A221" s="266" t="s">
        <v>1257</v>
      </c>
      <c r="B221" s="206"/>
      <c r="C221" s="187">
        <v>2739717</v>
      </c>
      <c r="D221" s="172">
        <f>C221</f>
        <v>2739717</v>
      </c>
      <c r="E221" s="206"/>
    </row>
    <row r="222" spans="1:8" ht="12.6" customHeight="1" x14ac:dyDescent="0.25">
      <c r="A222" s="253" t="s">
        <v>343</v>
      </c>
      <c r="B222" s="253"/>
      <c r="C222" s="253"/>
      <c r="D222" s="253"/>
      <c r="E222" s="253"/>
    </row>
    <row r="223" spans="1:8" ht="12.6" customHeight="1" x14ac:dyDescent="0.25">
      <c r="A223" s="173" t="s">
        <v>344</v>
      </c>
      <c r="B223" s="172" t="s">
        <v>256</v>
      </c>
      <c r="C223" s="381" t="e">
        <f ca="1">_xll.cw_map("BR","4095.0200.02")</f>
        <v>#NAME?</v>
      </c>
      <c r="D223" s="175"/>
      <c r="E223" s="175"/>
    </row>
    <row r="224" spans="1:8" ht="12.6" customHeight="1" x14ac:dyDescent="0.25">
      <c r="A224" s="173" t="s">
        <v>345</v>
      </c>
      <c r="B224" s="172" t="s">
        <v>256</v>
      </c>
      <c r="C224" s="381" t="e">
        <f ca="1">_xll.cw_map("BR","4095.0200.01")</f>
        <v>#NAME?</v>
      </c>
      <c r="D224" s="175"/>
      <c r="E224" s="175"/>
    </row>
    <row r="225" spans="1:5" ht="12.6" customHeight="1" x14ac:dyDescent="0.25">
      <c r="A225" s="173" t="s">
        <v>346</v>
      </c>
      <c r="B225" s="172" t="s">
        <v>256</v>
      </c>
      <c r="C225" s="381"/>
      <c r="D225" s="175"/>
      <c r="E225" s="175"/>
    </row>
    <row r="226" spans="1:5" ht="12.6" customHeight="1" x14ac:dyDescent="0.25">
      <c r="A226" s="173" t="s">
        <v>347</v>
      </c>
      <c r="B226" s="172" t="s">
        <v>256</v>
      </c>
      <c r="C226" s="381"/>
      <c r="D226" s="175"/>
      <c r="E226" s="175"/>
    </row>
    <row r="227" spans="1:5" ht="12.6" customHeight="1" x14ac:dyDescent="0.25">
      <c r="A227" s="173" t="s">
        <v>348</v>
      </c>
      <c r="B227" s="172" t="s">
        <v>256</v>
      </c>
      <c r="C227" s="381" t="e">
        <f ca="1">_xll.cw_map("BR","4095.0200.05")+_xll.cw_map("BR","4095.0200.04")+_xll.cw_map("BR","4095.0200.06")-C238</f>
        <v>#NAME?</v>
      </c>
      <c r="D227" s="175"/>
      <c r="E227" s="175"/>
    </row>
    <row r="228" spans="1:5" ht="12.6" customHeight="1" x14ac:dyDescent="0.25">
      <c r="A228" s="173" t="s">
        <v>349</v>
      </c>
      <c r="B228" s="172" t="s">
        <v>256</v>
      </c>
      <c r="C228" s="187"/>
      <c r="D228" s="175"/>
      <c r="E228" s="175"/>
    </row>
    <row r="229" spans="1:5" ht="12.6" customHeight="1" x14ac:dyDescent="0.25">
      <c r="A229" s="173" t="s">
        <v>350</v>
      </c>
      <c r="B229" s="175"/>
      <c r="C229" s="189"/>
      <c r="D229" s="175" t="e">
        <f ca="1">SUM(C223:C228)</f>
        <v>#NAME?</v>
      </c>
      <c r="E229" s="175"/>
    </row>
    <row r="230" spans="1:5" ht="12.6" customHeight="1" x14ac:dyDescent="0.25">
      <c r="A230" s="253" t="s">
        <v>351</v>
      </c>
      <c r="B230" s="253"/>
      <c r="C230" s="253"/>
      <c r="D230" s="253"/>
      <c r="E230" s="253"/>
    </row>
    <row r="231" spans="1:5" ht="12.6" customHeight="1" x14ac:dyDescent="0.25">
      <c r="A231" s="171" t="s">
        <v>352</v>
      </c>
      <c r="B231" s="172" t="s">
        <v>256</v>
      </c>
      <c r="C231" s="187">
        <v>169</v>
      </c>
      <c r="D231" s="175"/>
      <c r="E231" s="175"/>
    </row>
    <row r="232" spans="1:5" ht="12.6" customHeight="1" x14ac:dyDescent="0.25">
      <c r="A232" s="171"/>
      <c r="B232" s="172"/>
      <c r="C232" s="189"/>
      <c r="D232" s="175"/>
      <c r="E232" s="175"/>
    </row>
    <row r="233" spans="1:5" ht="12.6" customHeight="1" x14ac:dyDescent="0.25">
      <c r="A233" s="171" t="s">
        <v>353</v>
      </c>
      <c r="B233" s="172" t="s">
        <v>256</v>
      </c>
      <c r="C233" s="382">
        <v>174772</v>
      </c>
      <c r="D233" s="175"/>
      <c r="E233" s="175"/>
    </row>
    <row r="234" spans="1:5" ht="12.6" customHeight="1" x14ac:dyDescent="0.25">
      <c r="A234" s="171" t="s">
        <v>354</v>
      </c>
      <c r="B234" s="172" t="s">
        <v>256</v>
      </c>
      <c r="C234" s="382">
        <v>536208</v>
      </c>
      <c r="D234" s="175"/>
      <c r="E234" s="175"/>
    </row>
    <row r="235" spans="1:5" ht="12.6" customHeight="1" x14ac:dyDescent="0.25">
      <c r="A235" s="173"/>
      <c r="B235" s="175"/>
      <c r="C235" s="189"/>
      <c r="D235" s="175"/>
      <c r="E235" s="175"/>
    </row>
    <row r="236" spans="1:5" ht="12.6" customHeight="1" x14ac:dyDescent="0.25">
      <c r="A236" s="171" t="s">
        <v>355</v>
      </c>
      <c r="B236" s="175"/>
      <c r="C236" s="189"/>
      <c r="D236" s="175">
        <f>SUM(C233:C235)</f>
        <v>710980</v>
      </c>
      <c r="E236" s="175"/>
    </row>
    <row r="237" spans="1:5" ht="12.6" customHeight="1" x14ac:dyDescent="0.25">
      <c r="A237" s="253" t="s">
        <v>356</v>
      </c>
      <c r="B237" s="253"/>
      <c r="C237" s="253"/>
      <c r="D237" s="253"/>
      <c r="E237" s="253"/>
    </row>
    <row r="238" spans="1:5" ht="12.6" customHeight="1" x14ac:dyDescent="0.25">
      <c r="A238" s="173" t="s">
        <v>357</v>
      </c>
      <c r="B238" s="172" t="s">
        <v>256</v>
      </c>
      <c r="C238" s="187">
        <v>57733</v>
      </c>
      <c r="D238" s="175"/>
      <c r="E238" s="175"/>
    </row>
    <row r="239" spans="1:5" ht="12.6" customHeight="1" x14ac:dyDescent="0.25">
      <c r="A239" s="173" t="s">
        <v>356</v>
      </c>
      <c r="B239" s="172" t="s">
        <v>256</v>
      </c>
      <c r="C239" s="187"/>
      <c r="D239" s="175"/>
      <c r="E239" s="175"/>
    </row>
    <row r="240" spans="1:5" ht="12.6" customHeight="1" x14ac:dyDescent="0.25">
      <c r="A240" s="173" t="s">
        <v>358</v>
      </c>
      <c r="B240" s="175"/>
      <c r="C240" s="189"/>
      <c r="D240" s="175">
        <f>SUM(C238:C239)</f>
        <v>57733</v>
      </c>
      <c r="E240" s="175"/>
    </row>
    <row r="241" spans="1:5" ht="12.6" customHeight="1" x14ac:dyDescent="0.25">
      <c r="A241" s="173"/>
      <c r="B241" s="175"/>
      <c r="C241" s="189"/>
      <c r="D241" s="175"/>
      <c r="E241" s="175"/>
    </row>
    <row r="242" spans="1:5" ht="12.6" customHeight="1" x14ac:dyDescent="0.25">
      <c r="A242" s="173" t="s">
        <v>359</v>
      </c>
      <c r="B242" s="175"/>
      <c r="C242" s="189"/>
      <c r="D242" s="175" t="e">
        <f ca="1">D221+D229+D236+D240</f>
        <v>#NAME?</v>
      </c>
      <c r="E242" s="175"/>
    </row>
    <row r="243" spans="1:5" ht="12.6" customHeight="1" x14ac:dyDescent="0.25">
      <c r="A243" s="173"/>
      <c r="B243" s="173"/>
      <c r="C243" s="189"/>
      <c r="D243" s="175"/>
      <c r="E243" s="175"/>
    </row>
    <row r="244" spans="1:5" ht="12.6" customHeight="1" x14ac:dyDescent="0.25">
      <c r="A244" s="173"/>
      <c r="B244" s="173"/>
      <c r="C244" s="189"/>
      <c r="D244" s="175"/>
      <c r="E244" s="175"/>
    </row>
    <row r="245" spans="1:5" ht="12.6" customHeight="1" x14ac:dyDescent="0.25">
      <c r="A245" s="173"/>
      <c r="B245" s="173"/>
      <c r="C245" s="189"/>
      <c r="D245" s="175"/>
      <c r="E245" s="175"/>
    </row>
    <row r="246" spans="1:5" ht="12.6" customHeight="1" x14ac:dyDescent="0.25">
      <c r="A246" s="173"/>
      <c r="B246" s="173"/>
      <c r="C246" s="189"/>
      <c r="D246" s="175"/>
      <c r="E246" s="175"/>
    </row>
    <row r="247" spans="1:5" ht="21.75" customHeight="1" x14ac:dyDescent="0.25">
      <c r="A247" s="173"/>
      <c r="B247" s="173"/>
      <c r="C247" s="189"/>
      <c r="D247" s="175"/>
      <c r="E247" s="175"/>
    </row>
    <row r="248" spans="1:5" ht="12.45" customHeight="1" x14ac:dyDescent="0.25">
      <c r="A248" s="206" t="s">
        <v>360</v>
      </c>
      <c r="B248" s="206"/>
      <c r="C248" s="206"/>
      <c r="D248" s="206"/>
      <c r="E248" s="206"/>
    </row>
    <row r="249" spans="1:5" ht="11.25" customHeight="1" x14ac:dyDescent="0.25">
      <c r="A249" s="253" t="s">
        <v>361</v>
      </c>
      <c r="B249" s="253"/>
      <c r="C249" s="253"/>
      <c r="D249" s="253"/>
      <c r="E249" s="253"/>
    </row>
    <row r="250" spans="1:5" ht="12.45" customHeight="1" x14ac:dyDescent="0.25">
      <c r="A250" s="173" t="s">
        <v>362</v>
      </c>
      <c r="B250" s="172" t="s">
        <v>256</v>
      </c>
      <c r="C250" s="187" t="e">
        <f ca="1">_xll.cw_map("BR","1110.0105")</f>
        <v>#NAME?</v>
      </c>
      <c r="D250" s="175"/>
      <c r="E250" s="175"/>
    </row>
    <row r="251" spans="1:5" ht="12.45" customHeight="1" x14ac:dyDescent="0.25">
      <c r="A251" s="173" t="s">
        <v>363</v>
      </c>
      <c r="B251" s="172" t="s">
        <v>256</v>
      </c>
      <c r="C251" s="187"/>
      <c r="D251" s="175"/>
      <c r="E251" s="175"/>
    </row>
    <row r="252" spans="1:5" ht="12.45" customHeight="1" x14ac:dyDescent="0.25">
      <c r="A252" s="173" t="s">
        <v>364</v>
      </c>
      <c r="B252" s="172" t="s">
        <v>256</v>
      </c>
      <c r="C252" s="187" t="e">
        <f ca="1">_xll.cw_map("BR","1140.0100")</f>
        <v>#NAME?</v>
      </c>
      <c r="D252" s="175"/>
      <c r="E252" s="175"/>
    </row>
    <row r="253" spans="1:5" ht="12.45" customHeight="1" x14ac:dyDescent="0.25">
      <c r="A253" s="173" t="s">
        <v>365</v>
      </c>
      <c r="B253" s="172" t="s">
        <v>256</v>
      </c>
      <c r="C253" s="187" t="e">
        <f ca="1">-(_xll.cw_map("BR","1140.0105")+_xll.cw_map("BR","1140.0110"))</f>
        <v>#NAME?</v>
      </c>
      <c r="D253" s="175"/>
      <c r="E253" s="175"/>
    </row>
    <row r="254" spans="1:5" ht="12.45" customHeight="1" x14ac:dyDescent="0.25">
      <c r="A254" s="173" t="s">
        <v>1241</v>
      </c>
      <c r="B254" s="172" t="s">
        <v>256</v>
      </c>
      <c r="C254" s="187"/>
      <c r="D254" s="175"/>
      <c r="E254" s="175"/>
    </row>
    <row r="255" spans="1:5" ht="12.45" customHeight="1" x14ac:dyDescent="0.25">
      <c r="A255" s="173" t="s">
        <v>366</v>
      </c>
      <c r="B255" s="172" t="s">
        <v>256</v>
      </c>
      <c r="C255" s="187" t="e">
        <f ca="1">_xll.cw_map("BR","1145.0120")+_xll.cw_map("BR","1145.0130")+_xll.cw_map("BR","1148")</f>
        <v>#NAME?</v>
      </c>
      <c r="D255" s="175"/>
      <c r="E255" s="175"/>
    </row>
    <row r="256" spans="1:5" ht="12.45" customHeight="1" x14ac:dyDescent="0.25">
      <c r="A256" s="173" t="s">
        <v>367</v>
      </c>
      <c r="B256" s="172" t="s">
        <v>256</v>
      </c>
      <c r="C256" s="187"/>
      <c r="D256" s="175"/>
      <c r="E256" s="175"/>
    </row>
    <row r="257" spans="1:5" ht="12.45" customHeight="1" x14ac:dyDescent="0.25">
      <c r="A257" s="173" t="s">
        <v>368</v>
      </c>
      <c r="B257" s="172" t="s">
        <v>256</v>
      </c>
      <c r="C257" s="187" t="e">
        <f ca="1">_xll.cw_map("BR","1150")</f>
        <v>#NAME?</v>
      </c>
      <c r="D257" s="175"/>
      <c r="E257" s="175"/>
    </row>
    <row r="258" spans="1:5" ht="12.45" customHeight="1" x14ac:dyDescent="0.25">
      <c r="A258" s="173" t="s">
        <v>369</v>
      </c>
      <c r="B258" s="172" t="s">
        <v>256</v>
      </c>
      <c r="C258" s="187" t="e">
        <f ca="1">_xll.cw_map("BR","1160")</f>
        <v>#NAME?</v>
      </c>
      <c r="D258" s="175"/>
      <c r="E258" s="175"/>
    </row>
    <row r="259" spans="1:5" ht="12.45" customHeight="1" x14ac:dyDescent="0.25">
      <c r="A259" s="173" t="s">
        <v>370</v>
      </c>
      <c r="B259" s="172" t="s">
        <v>256</v>
      </c>
      <c r="C259" s="187"/>
      <c r="D259" s="175"/>
      <c r="E259" s="175"/>
    </row>
    <row r="260" spans="1:5" ht="12.45" customHeight="1" x14ac:dyDescent="0.25">
      <c r="A260" s="173" t="s">
        <v>371</v>
      </c>
      <c r="B260" s="175"/>
      <c r="C260" s="189"/>
      <c r="D260" s="175" t="e">
        <f ca="1">SUM(C250:C252)-C253+SUM(C254:C259)</f>
        <v>#NAME?</v>
      </c>
      <c r="E260" s="175"/>
    </row>
    <row r="261" spans="1:5" ht="11.25" customHeight="1" x14ac:dyDescent="0.25">
      <c r="A261" s="253" t="s">
        <v>372</v>
      </c>
      <c r="B261" s="253"/>
      <c r="C261" s="253"/>
      <c r="D261" s="253"/>
      <c r="E261" s="253"/>
    </row>
    <row r="262" spans="1:5" ht="12.45" customHeight="1" x14ac:dyDescent="0.25">
      <c r="A262" s="173" t="s">
        <v>362</v>
      </c>
      <c r="B262" s="172" t="s">
        <v>256</v>
      </c>
      <c r="C262" s="187" t="e">
        <f ca="1">_xll.cw_map("BR","1110.0100")+_xll.cw_map("BR","1110.0120")</f>
        <v>#NAME?</v>
      </c>
      <c r="D262" s="175"/>
      <c r="E262" s="175"/>
    </row>
    <row r="263" spans="1:5" ht="12.45" customHeight="1" x14ac:dyDescent="0.25">
      <c r="A263" s="173" t="s">
        <v>363</v>
      </c>
      <c r="B263" s="172" t="s">
        <v>256</v>
      </c>
      <c r="C263" s="187"/>
      <c r="D263" s="175"/>
      <c r="E263" s="175"/>
    </row>
    <row r="264" spans="1:5" ht="12.45" customHeight="1" x14ac:dyDescent="0.25">
      <c r="A264" s="173" t="s">
        <v>373</v>
      </c>
      <c r="B264" s="172" t="s">
        <v>256</v>
      </c>
      <c r="C264" s="187" t="e">
        <f ca="1">_xll.cw_map("BR","2510.0155")</f>
        <v>#NAME?</v>
      </c>
      <c r="D264" s="175"/>
      <c r="E264" s="175"/>
    </row>
    <row r="265" spans="1:5" ht="12.45" customHeight="1" x14ac:dyDescent="0.25">
      <c r="A265" s="173" t="s">
        <v>374</v>
      </c>
      <c r="B265" s="175"/>
      <c r="C265" s="189"/>
      <c r="D265" s="175" t="e">
        <f ca="1">SUM(C262:C264)</f>
        <v>#NAME?</v>
      </c>
      <c r="E265" s="175"/>
    </row>
    <row r="266" spans="1:5" ht="11.25" customHeight="1" x14ac:dyDescent="0.25">
      <c r="A266" s="253" t="s">
        <v>375</v>
      </c>
      <c r="B266" s="253"/>
      <c r="C266" s="253"/>
      <c r="D266" s="253"/>
      <c r="E266" s="253"/>
    </row>
    <row r="267" spans="1:5" ht="12.45" customHeight="1" x14ac:dyDescent="0.25">
      <c r="A267" s="173" t="s">
        <v>332</v>
      </c>
      <c r="B267" s="172" t="s">
        <v>256</v>
      </c>
      <c r="C267" s="187" t="e">
        <f ca="1">_xll.cw_map("BR","1610.0100")</f>
        <v>#NAME?</v>
      </c>
      <c r="D267" s="175"/>
      <c r="E267" s="175"/>
    </row>
    <row r="268" spans="1:5" ht="12.45" customHeight="1" x14ac:dyDescent="0.25">
      <c r="A268" s="173" t="s">
        <v>333</v>
      </c>
      <c r="B268" s="172" t="s">
        <v>256</v>
      </c>
      <c r="C268" s="187" t="e">
        <f ca="1">_xll.cw_map("BR","1630.0100")</f>
        <v>#NAME?</v>
      </c>
      <c r="D268" s="175"/>
      <c r="E268" s="175"/>
    </row>
    <row r="269" spans="1:5" ht="12.45" customHeight="1" x14ac:dyDescent="0.25">
      <c r="A269" s="173" t="s">
        <v>334</v>
      </c>
      <c r="B269" s="172" t="s">
        <v>256</v>
      </c>
      <c r="C269" s="187" t="e">
        <f ca="1">_xll.cw_map("BR","1620")</f>
        <v>#NAME?</v>
      </c>
      <c r="D269" s="175"/>
      <c r="E269" s="175"/>
    </row>
    <row r="270" spans="1:5" ht="12.45" customHeight="1" x14ac:dyDescent="0.25">
      <c r="A270" s="173" t="s">
        <v>376</v>
      </c>
      <c r="B270" s="172" t="s">
        <v>256</v>
      </c>
      <c r="C270" s="187"/>
      <c r="D270" s="175"/>
      <c r="E270" s="175"/>
    </row>
    <row r="271" spans="1:5" ht="12.45" customHeight="1" x14ac:dyDescent="0.25">
      <c r="A271" s="173" t="s">
        <v>377</v>
      </c>
      <c r="B271" s="172" t="s">
        <v>256</v>
      </c>
      <c r="C271" s="187" t="e">
        <f ca="1">_xll.cw_map("BR","1670")</f>
        <v>#NAME?</v>
      </c>
      <c r="D271" s="175"/>
      <c r="E271" s="175"/>
    </row>
    <row r="272" spans="1:5" ht="12.45" customHeight="1" x14ac:dyDescent="0.25">
      <c r="A272" s="173" t="s">
        <v>378</v>
      </c>
      <c r="B272" s="172" t="s">
        <v>256</v>
      </c>
      <c r="C272" s="187" t="e">
        <f ca="1">_xll.cw_map("BR","1640")</f>
        <v>#NAME?</v>
      </c>
      <c r="D272" s="175"/>
      <c r="E272" s="175"/>
    </row>
    <row r="273" spans="1:5" ht="12.45" customHeight="1" x14ac:dyDescent="0.25">
      <c r="A273" s="173" t="s">
        <v>339</v>
      </c>
      <c r="B273" s="172" t="s">
        <v>256</v>
      </c>
      <c r="C273" s="187"/>
      <c r="D273" s="175"/>
      <c r="E273" s="175"/>
    </row>
    <row r="274" spans="1:5" ht="12.45" customHeight="1" x14ac:dyDescent="0.25">
      <c r="A274" s="173" t="s">
        <v>340</v>
      </c>
      <c r="B274" s="172" t="s">
        <v>256</v>
      </c>
      <c r="C274" s="187" t="e">
        <f ca="1">_xll.cw_map("BR","1675")</f>
        <v>#NAME?</v>
      </c>
      <c r="D274" s="175"/>
      <c r="E274" s="175"/>
    </row>
    <row r="275" spans="1:5" ht="12.45" customHeight="1" x14ac:dyDescent="0.25">
      <c r="A275" s="173" t="s">
        <v>379</v>
      </c>
      <c r="B275" s="175"/>
      <c r="C275" s="189"/>
      <c r="D275" s="175" t="e">
        <f ca="1">SUM(C267:C274)</f>
        <v>#NAME?</v>
      </c>
      <c r="E275" s="175"/>
    </row>
    <row r="276" spans="1:5" ht="12.6" customHeight="1" x14ac:dyDescent="0.25">
      <c r="A276" s="173" t="s">
        <v>380</v>
      </c>
      <c r="B276" s="172" t="s">
        <v>256</v>
      </c>
      <c r="C276" s="187" t="e">
        <f ca="1">-_xll.cw_map("BR","1680")</f>
        <v>#NAME?</v>
      </c>
      <c r="D276" s="175"/>
      <c r="E276" s="175"/>
    </row>
    <row r="277" spans="1:5" ht="12.6" customHeight="1" x14ac:dyDescent="0.25">
      <c r="A277" s="173" t="s">
        <v>381</v>
      </c>
      <c r="B277" s="175"/>
      <c r="C277" s="189"/>
      <c r="D277" s="175" t="e">
        <f ca="1">D275-C276</f>
        <v>#NAME?</v>
      </c>
      <c r="E277" s="175"/>
    </row>
    <row r="278" spans="1:5" ht="12.6" customHeight="1" x14ac:dyDescent="0.25">
      <c r="A278" s="253" t="s">
        <v>382</v>
      </c>
      <c r="B278" s="253"/>
      <c r="C278" s="253"/>
      <c r="D278" s="253"/>
      <c r="E278" s="253"/>
    </row>
    <row r="279" spans="1:5" ht="12.6" customHeight="1" x14ac:dyDescent="0.25">
      <c r="A279" s="173" t="s">
        <v>383</v>
      </c>
      <c r="B279" s="172" t="s">
        <v>256</v>
      </c>
      <c r="C279" s="187"/>
      <c r="D279" s="175"/>
      <c r="E279" s="175"/>
    </row>
    <row r="280" spans="1:5" ht="12.6" customHeight="1" x14ac:dyDescent="0.25">
      <c r="A280" s="173" t="s">
        <v>384</v>
      </c>
      <c r="B280" s="172" t="s">
        <v>256</v>
      </c>
      <c r="C280" s="187"/>
      <c r="D280" s="175"/>
      <c r="E280" s="175"/>
    </row>
    <row r="281" spans="1:5" ht="12.6" customHeight="1" x14ac:dyDescent="0.25">
      <c r="A281" s="173" t="s">
        <v>385</v>
      </c>
      <c r="B281" s="172" t="s">
        <v>256</v>
      </c>
      <c r="C281" s="187"/>
      <c r="D281" s="175"/>
      <c r="E281" s="175"/>
    </row>
    <row r="282" spans="1:5" ht="12.6" customHeight="1" x14ac:dyDescent="0.25">
      <c r="A282" s="173" t="s">
        <v>373</v>
      </c>
      <c r="B282" s="172" t="s">
        <v>256</v>
      </c>
      <c r="C282" s="187" t="e">
        <f ca="1">_xll.cw_map("BR","1800")</f>
        <v>#NAME?</v>
      </c>
      <c r="D282" s="175"/>
      <c r="E282" s="175"/>
    </row>
    <row r="283" spans="1:5" ht="12.6" customHeight="1" x14ac:dyDescent="0.25">
      <c r="A283" s="173" t="s">
        <v>386</v>
      </c>
      <c r="B283" s="175"/>
      <c r="C283" s="189"/>
      <c r="D283" s="175" t="e">
        <f ca="1">C279-C280+C281+C282</f>
        <v>#NAME?</v>
      </c>
      <c r="E283" s="175"/>
    </row>
    <row r="284" spans="1:5" ht="12.6" customHeight="1" x14ac:dyDescent="0.25">
      <c r="A284" s="173"/>
      <c r="B284" s="175"/>
      <c r="C284" s="189"/>
      <c r="D284" s="175"/>
      <c r="E284" s="175"/>
    </row>
    <row r="285" spans="1:5" ht="12.6" customHeight="1" x14ac:dyDescent="0.25">
      <c r="A285" s="253" t="s">
        <v>387</v>
      </c>
      <c r="B285" s="253"/>
      <c r="C285" s="253"/>
      <c r="D285" s="253"/>
      <c r="E285" s="253"/>
    </row>
    <row r="286" spans="1:5" ht="12.6" customHeight="1" x14ac:dyDescent="0.25">
      <c r="A286" s="173" t="s">
        <v>388</v>
      </c>
      <c r="B286" s="172" t="s">
        <v>256</v>
      </c>
      <c r="C286" s="187"/>
      <c r="D286" s="175"/>
      <c r="E286" s="175"/>
    </row>
    <row r="287" spans="1:5" ht="12.6" customHeight="1" x14ac:dyDescent="0.25">
      <c r="A287" s="173" t="s">
        <v>389</v>
      </c>
      <c r="B287" s="172" t="s">
        <v>256</v>
      </c>
      <c r="C287" s="187"/>
      <c r="D287" s="175"/>
      <c r="E287" s="175"/>
    </row>
    <row r="288" spans="1:5" ht="12.6" customHeight="1" x14ac:dyDescent="0.25">
      <c r="A288" s="173" t="s">
        <v>390</v>
      </c>
      <c r="B288" s="172" t="s">
        <v>256</v>
      </c>
      <c r="C288" s="187"/>
      <c r="D288" s="175"/>
      <c r="E288" s="175"/>
    </row>
    <row r="289" spans="1:5" ht="12.6" customHeight="1" x14ac:dyDescent="0.25">
      <c r="A289" s="173" t="s">
        <v>391</v>
      </c>
      <c r="B289" s="172" t="s">
        <v>256</v>
      </c>
      <c r="C289" s="187"/>
      <c r="D289" s="175"/>
      <c r="E289" s="175"/>
    </row>
    <row r="290" spans="1:5" ht="12.6" customHeight="1" x14ac:dyDescent="0.25">
      <c r="A290" s="173" t="s">
        <v>392</v>
      </c>
      <c r="B290" s="175"/>
      <c r="C290" s="189"/>
      <c r="D290" s="175">
        <f>SUM(C286:C289)</f>
        <v>0</v>
      </c>
      <c r="E290" s="175"/>
    </row>
    <row r="291" spans="1:5" ht="12.6" customHeight="1" x14ac:dyDescent="0.25">
      <c r="A291" s="173"/>
      <c r="B291" s="175"/>
      <c r="C291" s="189"/>
      <c r="D291" s="175"/>
      <c r="E291" s="175"/>
    </row>
    <row r="292" spans="1:5" ht="12.6" customHeight="1" x14ac:dyDescent="0.25">
      <c r="A292" s="173" t="s">
        <v>393</v>
      </c>
      <c r="B292" s="175"/>
      <c r="C292" s="189"/>
      <c r="D292" s="175" t="e">
        <f ca="1">D260+D265+D277+D283+D290</f>
        <v>#NAME?</v>
      </c>
      <c r="E292" s="175"/>
    </row>
    <row r="293" spans="1:5" ht="12.6" customHeight="1" x14ac:dyDescent="0.25">
      <c r="A293" s="173"/>
      <c r="B293" s="173"/>
      <c r="C293" s="189"/>
      <c r="D293" s="175"/>
      <c r="E293" s="175"/>
    </row>
    <row r="294" spans="1:5" ht="12.6" customHeight="1" x14ac:dyDescent="0.25">
      <c r="A294" s="173"/>
      <c r="B294" s="173"/>
      <c r="C294" s="189"/>
      <c r="D294" s="175"/>
      <c r="E294" s="175"/>
    </row>
    <row r="295" spans="1:5" ht="12.6" customHeight="1" x14ac:dyDescent="0.25">
      <c r="A295" s="173"/>
      <c r="B295" s="173"/>
      <c r="C295" s="189"/>
      <c r="D295" s="175"/>
      <c r="E295" s="175"/>
    </row>
    <row r="296" spans="1:5" ht="12.6" customHeight="1" x14ac:dyDescent="0.25">
      <c r="A296" s="173"/>
      <c r="B296" s="173"/>
      <c r="C296" s="189"/>
      <c r="D296" s="175"/>
      <c r="E296" s="175"/>
    </row>
    <row r="297" spans="1:5" ht="12.6" customHeight="1" x14ac:dyDescent="0.25">
      <c r="A297" s="173"/>
      <c r="B297" s="173"/>
      <c r="C297" s="189"/>
      <c r="D297" s="175"/>
      <c r="E297" s="175"/>
    </row>
    <row r="298" spans="1:5" ht="12.6" customHeight="1" x14ac:dyDescent="0.25">
      <c r="A298" s="173"/>
      <c r="B298" s="173"/>
      <c r="C298" s="189"/>
      <c r="D298" s="175"/>
      <c r="E298" s="175"/>
    </row>
    <row r="299" spans="1:5" ht="12.6" customHeight="1" x14ac:dyDescent="0.25">
      <c r="A299" s="173"/>
      <c r="B299" s="173"/>
      <c r="C299" s="189"/>
      <c r="D299" s="175"/>
      <c r="E299" s="175"/>
    </row>
    <row r="300" spans="1:5" ht="12.6" customHeight="1" x14ac:dyDescent="0.25">
      <c r="A300" s="173"/>
      <c r="B300" s="173"/>
      <c r="C300" s="189"/>
      <c r="D300" s="175"/>
      <c r="E300" s="175"/>
    </row>
    <row r="301" spans="1:5" ht="20.25" customHeight="1" x14ac:dyDescent="0.25">
      <c r="A301" s="173"/>
      <c r="B301" s="173"/>
      <c r="C301" s="189"/>
      <c r="D301" s="175"/>
      <c r="E301" s="175"/>
    </row>
    <row r="302" spans="1:5" ht="12.6" customHeight="1" x14ac:dyDescent="0.25">
      <c r="A302" s="206" t="s">
        <v>394</v>
      </c>
      <c r="B302" s="206"/>
      <c r="C302" s="206"/>
      <c r="D302" s="206"/>
      <c r="E302" s="206"/>
    </row>
    <row r="303" spans="1:5" ht="14.25" customHeight="1" x14ac:dyDescent="0.25">
      <c r="A303" s="253" t="s">
        <v>395</v>
      </c>
      <c r="B303" s="253"/>
      <c r="C303" s="253"/>
      <c r="D303" s="253"/>
      <c r="E303" s="253"/>
    </row>
    <row r="304" spans="1:5" ht="12.6" customHeight="1" x14ac:dyDescent="0.25">
      <c r="A304" s="173" t="s">
        <v>396</v>
      </c>
      <c r="B304" s="172" t="s">
        <v>256</v>
      </c>
      <c r="C304" s="187">
        <v>350000</v>
      </c>
      <c r="D304" s="175"/>
      <c r="E304" s="175"/>
    </row>
    <row r="305" spans="1:5" ht="12.6" customHeight="1" x14ac:dyDescent="0.25">
      <c r="A305" s="173" t="s">
        <v>397</v>
      </c>
      <c r="B305" s="172" t="s">
        <v>256</v>
      </c>
      <c r="C305" s="187">
        <v>2355003</v>
      </c>
      <c r="D305" s="175"/>
      <c r="E305" s="175"/>
    </row>
    <row r="306" spans="1:5" ht="12.6" customHeight="1" x14ac:dyDescent="0.25">
      <c r="A306" s="173" t="s">
        <v>398</v>
      </c>
      <c r="B306" s="172" t="s">
        <v>256</v>
      </c>
      <c r="C306" s="187" t="e">
        <f ca="1">-(_xll.cw_map("BR","2125.0135")+_xll.cw_map("BR","2170.0110.01"))</f>
        <v>#NAME?</v>
      </c>
      <c r="D306" s="175"/>
      <c r="E306" s="175"/>
    </row>
    <row r="307" spans="1:5" ht="12.6" customHeight="1" x14ac:dyDescent="0.25">
      <c r="A307" s="173" t="s">
        <v>399</v>
      </c>
      <c r="B307" s="172" t="s">
        <v>256</v>
      </c>
      <c r="C307" s="187" t="e">
        <f ca="1">-_xll.cw_map("BR","2170.0120")</f>
        <v>#NAME?</v>
      </c>
      <c r="D307" s="175"/>
      <c r="E307" s="175"/>
    </row>
    <row r="308" spans="1:5" ht="12.6" customHeight="1" x14ac:dyDescent="0.25">
      <c r="A308" s="173" t="s">
        <v>400</v>
      </c>
      <c r="B308" s="172" t="s">
        <v>256</v>
      </c>
      <c r="C308" s="187"/>
      <c r="D308" s="175"/>
      <c r="E308" s="175"/>
    </row>
    <row r="309" spans="1:5" ht="12.6" customHeight="1" x14ac:dyDescent="0.25">
      <c r="A309" s="173" t="s">
        <v>1242</v>
      </c>
      <c r="B309" s="172" t="s">
        <v>256</v>
      </c>
      <c r="C309" s="187"/>
      <c r="D309" s="175"/>
      <c r="E309" s="175"/>
    </row>
    <row r="310" spans="1:5" ht="12.6" customHeight="1" x14ac:dyDescent="0.25">
      <c r="A310" s="173" t="s">
        <v>401</v>
      </c>
      <c r="B310" s="172" t="s">
        <v>256</v>
      </c>
      <c r="C310" s="187" t="e">
        <f ca="1">-_xll.cw_map("BR","2185")</f>
        <v>#NAME?</v>
      </c>
      <c r="D310" s="175"/>
      <c r="E310" s="175"/>
    </row>
    <row r="311" spans="1:5" ht="12.6" customHeight="1" x14ac:dyDescent="0.25">
      <c r="A311" s="173" t="s">
        <v>402</v>
      </c>
      <c r="B311" s="172" t="s">
        <v>256</v>
      </c>
      <c r="C311" s="187"/>
      <c r="D311" s="175"/>
      <c r="E311" s="175"/>
    </row>
    <row r="312" spans="1:5" ht="12.6" customHeight="1" x14ac:dyDescent="0.25">
      <c r="A312" s="173" t="s">
        <v>403</v>
      </c>
      <c r="B312" s="172" t="s">
        <v>256</v>
      </c>
      <c r="C312" s="187"/>
      <c r="D312" s="175"/>
      <c r="E312" s="175"/>
    </row>
    <row r="313" spans="1:5" ht="12.6" customHeight="1" x14ac:dyDescent="0.25">
      <c r="A313" s="173" t="s">
        <v>404</v>
      </c>
      <c r="B313" s="172" t="s">
        <v>256</v>
      </c>
      <c r="C313" s="187" t="e">
        <f ca="1">-(_xll.cw_map("BR","2125.0100")+_xll.cw_map("BR","2125.0130"))</f>
        <v>#NAME?</v>
      </c>
      <c r="D313" s="175"/>
      <c r="E313" s="175"/>
    </row>
    <row r="314" spans="1:5" ht="12.6" customHeight="1" x14ac:dyDescent="0.25">
      <c r="A314" s="173" t="s">
        <v>405</v>
      </c>
      <c r="B314" s="175"/>
      <c r="C314" s="189"/>
      <c r="D314" s="175" t="e">
        <f ca="1">SUM(C304:C313)</f>
        <v>#NAME?</v>
      </c>
      <c r="E314" s="175"/>
    </row>
    <row r="315" spans="1:5" ht="12.6" customHeight="1" x14ac:dyDescent="0.25">
      <c r="A315" s="253" t="s">
        <v>406</v>
      </c>
      <c r="B315" s="253"/>
      <c r="C315" s="253"/>
      <c r="D315" s="253"/>
      <c r="E315" s="253"/>
    </row>
    <row r="316" spans="1:5" ht="12.6" customHeight="1" x14ac:dyDescent="0.25">
      <c r="A316" s="173" t="s">
        <v>407</v>
      </c>
      <c r="B316" s="172" t="s">
        <v>256</v>
      </c>
      <c r="C316" s="187"/>
      <c r="D316" s="175"/>
      <c r="E316" s="175"/>
    </row>
    <row r="317" spans="1:5" ht="12.6" customHeight="1" x14ac:dyDescent="0.25">
      <c r="A317" s="173" t="s">
        <v>408</v>
      </c>
      <c r="B317" s="172" t="s">
        <v>256</v>
      </c>
      <c r="C317" s="187"/>
      <c r="D317" s="175"/>
      <c r="E317" s="175"/>
    </row>
    <row r="318" spans="1:5" ht="12.6" customHeight="1" x14ac:dyDescent="0.25">
      <c r="A318" s="173" t="s">
        <v>409</v>
      </c>
      <c r="B318" s="172" t="s">
        <v>256</v>
      </c>
      <c r="C318" s="187"/>
      <c r="D318" s="175"/>
      <c r="E318" s="175"/>
    </row>
    <row r="319" spans="1:5" ht="12.6" customHeight="1" x14ac:dyDescent="0.25">
      <c r="A319" s="173" t="s">
        <v>410</v>
      </c>
      <c r="B319" s="175"/>
      <c r="C319" s="189"/>
      <c r="D319" s="175">
        <f>SUM(C316:C318)</f>
        <v>0</v>
      </c>
      <c r="E319" s="175"/>
    </row>
    <row r="320" spans="1:5" ht="12.6" customHeight="1" x14ac:dyDescent="0.25">
      <c r="A320" s="253" t="s">
        <v>411</v>
      </c>
      <c r="B320" s="253"/>
      <c r="C320" s="253"/>
      <c r="D320" s="253"/>
      <c r="E320" s="253"/>
    </row>
    <row r="321" spans="1:5" ht="12.6" customHeight="1" x14ac:dyDescent="0.25">
      <c r="A321" s="173" t="s">
        <v>412</v>
      </c>
      <c r="B321" s="172" t="s">
        <v>256</v>
      </c>
      <c r="C321" s="187"/>
      <c r="D321" s="175"/>
      <c r="E321" s="175"/>
    </row>
    <row r="322" spans="1:5" ht="12.6" customHeight="1" x14ac:dyDescent="0.25">
      <c r="A322" s="173" t="s">
        <v>413</v>
      </c>
      <c r="B322" s="172" t="s">
        <v>256</v>
      </c>
      <c r="C322" s="187"/>
      <c r="D322" s="175"/>
      <c r="E322" s="175"/>
    </row>
    <row r="323" spans="1:5" ht="12.6" customHeight="1" x14ac:dyDescent="0.25">
      <c r="A323" s="173" t="s">
        <v>414</v>
      </c>
      <c r="B323" s="172" t="s">
        <v>256</v>
      </c>
      <c r="C323" s="187"/>
      <c r="D323" s="175"/>
      <c r="E323" s="175"/>
    </row>
    <row r="324" spans="1:5" ht="12.6" customHeight="1" x14ac:dyDescent="0.25">
      <c r="A324" s="171" t="s">
        <v>415</v>
      </c>
      <c r="B324" s="172" t="s">
        <v>256</v>
      </c>
      <c r="C324" s="187" t="e">
        <f ca="1">-_xll.cw_map("BR","2510.0145")</f>
        <v>#NAME?</v>
      </c>
      <c r="D324" s="175"/>
      <c r="E324" s="175"/>
    </row>
    <row r="325" spans="1:5" ht="12.6" customHeight="1" x14ac:dyDescent="0.25">
      <c r="A325" s="173" t="s">
        <v>416</v>
      </c>
      <c r="B325" s="172" t="s">
        <v>256</v>
      </c>
      <c r="C325" s="187" t="e">
        <f ca="1">-_xll.cw_map("BR","2510.0105")</f>
        <v>#NAME?</v>
      </c>
      <c r="D325" s="175"/>
      <c r="E325" s="175"/>
    </row>
    <row r="326" spans="1:5" ht="12.6" customHeight="1" x14ac:dyDescent="0.25">
      <c r="A326" s="171" t="s">
        <v>417</v>
      </c>
      <c r="B326" s="172" t="s">
        <v>256</v>
      </c>
      <c r="C326" s="187"/>
      <c r="D326" s="175"/>
      <c r="E326" s="175"/>
    </row>
    <row r="327" spans="1:5" ht="12.6" customHeight="1" x14ac:dyDescent="0.25">
      <c r="A327" s="173" t="s">
        <v>418</v>
      </c>
      <c r="B327" s="172" t="s">
        <v>256</v>
      </c>
      <c r="C327" s="187" t="e">
        <f ca="1">-(_xll.cw_map("BR","2170.0110.03")+_xll.cw_map("BR","2520.0120"))</f>
        <v>#NAME?</v>
      </c>
      <c r="D327" s="175"/>
      <c r="E327" s="175"/>
    </row>
    <row r="328" spans="1:5" ht="19.5" customHeight="1" x14ac:dyDescent="0.25">
      <c r="A328" s="173" t="s">
        <v>203</v>
      </c>
      <c r="B328" s="175"/>
      <c r="C328" s="189"/>
      <c r="D328" s="175" t="e">
        <f ca="1">SUM(C321:C327)</f>
        <v>#NAME?</v>
      </c>
      <c r="E328" s="175"/>
    </row>
    <row r="329" spans="1:5" ht="12.6" customHeight="1" x14ac:dyDescent="0.25">
      <c r="A329" s="173" t="s">
        <v>419</v>
      </c>
      <c r="B329" s="175"/>
      <c r="C329" s="189"/>
      <c r="D329" s="175" t="e">
        <f ca="1">C313</f>
        <v>#NAME?</v>
      </c>
      <c r="E329" s="175"/>
    </row>
    <row r="330" spans="1:5" ht="12.6" customHeight="1" x14ac:dyDescent="0.25">
      <c r="A330" s="173" t="s">
        <v>420</v>
      </c>
      <c r="B330" s="175"/>
      <c r="C330" s="189"/>
      <c r="D330" s="175" t="e">
        <f ca="1">D328-D329</f>
        <v>#NAME?</v>
      </c>
      <c r="E330" s="175"/>
    </row>
    <row r="331" spans="1:5" ht="12.6" customHeight="1" x14ac:dyDescent="0.25">
      <c r="A331" s="173"/>
      <c r="B331" s="175"/>
      <c r="C331" s="189"/>
      <c r="D331" s="175"/>
      <c r="E331" s="175"/>
    </row>
    <row r="332" spans="1:5" ht="12.6" customHeight="1" x14ac:dyDescent="0.25">
      <c r="A332" s="173" t="s">
        <v>421</v>
      </c>
      <c r="B332" s="172" t="s">
        <v>256</v>
      </c>
      <c r="C332" s="219" t="e">
        <f ca="1">-_xll.cw_map("BR","3100")</f>
        <v>#NAME?</v>
      </c>
      <c r="D332" s="175"/>
      <c r="E332" s="175"/>
    </row>
    <row r="333" spans="1:5" ht="12.6" customHeight="1" x14ac:dyDescent="0.25">
      <c r="A333" s="173"/>
      <c r="B333" s="172"/>
      <c r="C333" s="225"/>
      <c r="D333" s="175"/>
      <c r="E333" s="175"/>
    </row>
    <row r="334" spans="1:5" ht="12.6" customHeight="1" x14ac:dyDescent="0.25">
      <c r="A334" s="173" t="s">
        <v>1142</v>
      </c>
      <c r="B334" s="172" t="s">
        <v>256</v>
      </c>
      <c r="C334" s="219"/>
      <c r="D334" s="175"/>
      <c r="E334" s="175"/>
    </row>
    <row r="335" spans="1:5" ht="12.6" customHeight="1" x14ac:dyDescent="0.25">
      <c r="A335" s="173" t="s">
        <v>1143</v>
      </c>
      <c r="B335" s="172" t="s">
        <v>256</v>
      </c>
      <c r="C335" s="219"/>
      <c r="D335" s="175"/>
      <c r="E335" s="175"/>
    </row>
    <row r="336" spans="1:5" ht="12.6" customHeight="1" x14ac:dyDescent="0.25">
      <c r="A336" s="173" t="s">
        <v>423</v>
      </c>
      <c r="B336" s="172" t="s">
        <v>256</v>
      </c>
      <c r="C336" s="219"/>
      <c r="D336" s="175"/>
      <c r="E336" s="175"/>
    </row>
    <row r="337" spans="1:5" ht="12.6" customHeight="1" x14ac:dyDescent="0.25">
      <c r="A337" s="173" t="s">
        <v>422</v>
      </c>
      <c r="B337" s="172" t="s">
        <v>256</v>
      </c>
      <c r="C337" s="187"/>
      <c r="D337" s="175"/>
      <c r="E337" s="175"/>
    </row>
    <row r="338" spans="1:5" ht="12.6" customHeight="1" x14ac:dyDescent="0.25">
      <c r="A338" s="173" t="s">
        <v>1253</v>
      </c>
      <c r="B338" s="172" t="s">
        <v>256</v>
      </c>
      <c r="C338" s="187"/>
      <c r="D338" s="175"/>
      <c r="E338" s="175"/>
    </row>
    <row r="339" spans="1:5" ht="12.6" customHeight="1" x14ac:dyDescent="0.25">
      <c r="A339" s="173" t="s">
        <v>424</v>
      </c>
      <c r="B339" s="175"/>
      <c r="C339" s="189"/>
      <c r="D339" s="175" t="e">
        <f ca="1">D314+D319+D330+C332+C336+C337</f>
        <v>#NAME?</v>
      </c>
      <c r="E339" s="175"/>
    </row>
    <row r="340" spans="1:5" ht="12.6" customHeight="1" x14ac:dyDescent="0.25">
      <c r="A340" s="173"/>
      <c r="B340" s="175"/>
      <c r="C340" s="189"/>
      <c r="D340" s="175"/>
      <c r="E340" s="175"/>
    </row>
    <row r="341" spans="1:5" ht="12.6" customHeight="1" x14ac:dyDescent="0.25">
      <c r="A341" s="173" t="s">
        <v>425</v>
      </c>
      <c r="B341" s="175"/>
      <c r="C341" s="189"/>
      <c r="D341" s="175" t="e">
        <f ca="1">D292</f>
        <v>#NAME?</v>
      </c>
      <c r="E341" s="175"/>
    </row>
    <row r="342" spans="1:5" ht="12.6" customHeight="1" x14ac:dyDescent="0.25">
      <c r="A342" s="173"/>
      <c r="B342" s="173"/>
      <c r="C342" s="189"/>
      <c r="D342" s="175"/>
      <c r="E342" s="175"/>
    </row>
    <row r="343" spans="1:5" ht="12.6" customHeight="1" x14ac:dyDescent="0.25">
      <c r="A343" s="173"/>
      <c r="B343" s="173"/>
      <c r="C343" s="189"/>
      <c r="D343" s="175"/>
      <c r="E343" s="175"/>
    </row>
    <row r="344" spans="1:5" ht="12.6" customHeight="1" x14ac:dyDescent="0.25">
      <c r="A344" s="173"/>
      <c r="B344" s="173"/>
      <c r="C344" s="189"/>
      <c r="D344" s="175"/>
      <c r="E344" s="175"/>
    </row>
    <row r="345" spans="1:5" ht="12.6" customHeight="1" x14ac:dyDescent="0.25">
      <c r="A345" s="173"/>
      <c r="B345" s="173"/>
      <c r="C345" s="189"/>
      <c r="D345" s="175"/>
      <c r="E345" s="175"/>
    </row>
    <row r="346" spans="1:5" ht="12.6" customHeight="1" x14ac:dyDescent="0.25">
      <c r="A346" s="173"/>
      <c r="B346" s="173"/>
      <c r="C346" s="189"/>
      <c r="D346" s="175"/>
      <c r="E346" s="175"/>
    </row>
    <row r="347" spans="1:5" ht="12.6" customHeight="1" x14ac:dyDescent="0.25">
      <c r="A347" s="173"/>
      <c r="B347" s="173"/>
      <c r="C347" s="189"/>
      <c r="D347" s="175"/>
      <c r="E347" s="175"/>
    </row>
    <row r="348" spans="1:5" ht="12.6" customHeight="1" x14ac:dyDescent="0.25">
      <c r="A348" s="173"/>
      <c r="B348" s="173"/>
      <c r="C348" s="189"/>
      <c r="D348" s="175"/>
      <c r="E348" s="175"/>
    </row>
    <row r="349" spans="1:5" ht="12.6" customHeight="1" x14ac:dyDescent="0.25">
      <c r="A349" s="173"/>
      <c r="B349" s="173"/>
      <c r="C349" s="189"/>
      <c r="D349" s="175"/>
      <c r="E349" s="175"/>
    </row>
    <row r="350" spans="1:5" ht="12.6" customHeight="1" x14ac:dyDescent="0.25">
      <c r="A350" s="173"/>
      <c r="B350" s="173"/>
      <c r="C350" s="189"/>
      <c r="D350" s="175"/>
      <c r="E350" s="175"/>
    </row>
    <row r="351" spans="1:5" ht="12.6" customHeight="1" x14ac:dyDescent="0.25">
      <c r="A351" s="173"/>
      <c r="B351" s="173"/>
      <c r="C351" s="189"/>
      <c r="D351" s="175"/>
      <c r="E351" s="175"/>
    </row>
    <row r="352" spans="1:5" ht="12.6" customHeight="1" x14ac:dyDescent="0.25">
      <c r="A352" s="173"/>
      <c r="B352" s="173"/>
      <c r="C352" s="189"/>
      <c r="D352" s="175"/>
      <c r="E352" s="175"/>
    </row>
    <row r="353" spans="1:5" ht="12.6" customHeight="1" x14ac:dyDescent="0.25">
      <c r="A353" s="173"/>
      <c r="B353" s="173"/>
      <c r="C353" s="189"/>
      <c r="D353" s="175"/>
      <c r="E353" s="175"/>
    </row>
    <row r="354" spans="1:5" ht="12.6" customHeight="1" x14ac:dyDescent="0.25">
      <c r="A354" s="173"/>
      <c r="B354" s="173"/>
      <c r="C354" s="189"/>
      <c r="D354" s="175"/>
      <c r="E354" s="175"/>
    </row>
    <row r="355" spans="1:5" ht="12.6" customHeight="1" x14ac:dyDescent="0.25">
      <c r="A355" s="173"/>
      <c r="B355" s="173"/>
      <c r="C355" s="189"/>
      <c r="D355" s="175"/>
      <c r="E355" s="175"/>
    </row>
    <row r="356" spans="1:5" ht="20.25" customHeight="1" x14ac:dyDescent="0.25">
      <c r="A356" s="173"/>
      <c r="B356" s="173"/>
      <c r="C356" s="189"/>
      <c r="D356" s="175"/>
      <c r="E356" s="175"/>
    </row>
    <row r="357" spans="1:5" ht="12.6" customHeight="1" x14ac:dyDescent="0.25">
      <c r="A357" s="206" t="s">
        <v>426</v>
      </c>
      <c r="B357" s="206"/>
      <c r="C357" s="206"/>
      <c r="D357" s="206"/>
      <c r="E357" s="206"/>
    </row>
    <row r="358" spans="1:5" ht="12.6" customHeight="1" x14ac:dyDescent="0.25">
      <c r="A358" s="253" t="s">
        <v>427</v>
      </c>
      <c r="B358" s="253"/>
      <c r="C358" s="253"/>
      <c r="D358" s="253"/>
      <c r="E358" s="253"/>
    </row>
    <row r="359" spans="1:5" ht="12.6" customHeight="1" x14ac:dyDescent="0.25">
      <c r="A359" s="173" t="s">
        <v>428</v>
      </c>
      <c r="B359" s="172" t="s">
        <v>256</v>
      </c>
      <c r="C359" s="187" t="e">
        <f ca="1">-_xll.cw_map("BR","4095.0100.01")</f>
        <v>#NAME?</v>
      </c>
      <c r="D359" s="175"/>
      <c r="E359" s="175"/>
    </row>
    <row r="360" spans="1:5" ht="12.6" customHeight="1" x14ac:dyDescent="0.25">
      <c r="A360" s="173" t="s">
        <v>429</v>
      </c>
      <c r="B360" s="172" t="s">
        <v>256</v>
      </c>
      <c r="C360" s="187" t="e">
        <f ca="1">-(_xll.cw_map("BR","4095.0100.02")+_xll.cw_map("BR","4095.0100.03")+_xll.cw_map("BR","4095.0100.04")+_xll.cw_map("BR","4095.0100.05"))</f>
        <v>#NAME?</v>
      </c>
      <c r="D360" s="175"/>
      <c r="E360" s="175"/>
    </row>
    <row r="361" spans="1:5" ht="12.6" customHeight="1" x14ac:dyDescent="0.25">
      <c r="A361" s="173" t="s">
        <v>430</v>
      </c>
      <c r="B361" s="175"/>
      <c r="C361" s="189"/>
      <c r="D361" s="175" t="e">
        <f ca="1">SUM(C359:C360)</f>
        <v>#NAME?</v>
      </c>
      <c r="E361" s="175"/>
    </row>
    <row r="362" spans="1:5" ht="12.6" customHeight="1" x14ac:dyDescent="0.25">
      <c r="A362" s="253" t="s">
        <v>431</v>
      </c>
      <c r="B362" s="253"/>
      <c r="C362" s="253"/>
      <c r="D362" s="253"/>
      <c r="E362" s="253"/>
    </row>
    <row r="363" spans="1:5" ht="12.6" customHeight="1" x14ac:dyDescent="0.25">
      <c r="A363" s="173" t="s">
        <v>1257</v>
      </c>
      <c r="B363" s="253"/>
      <c r="C363" s="187" t="e">
        <f ca="1">_xll.cw_map("BR","4095.0300.01")</f>
        <v>#NAME?</v>
      </c>
      <c r="D363" s="175"/>
      <c r="E363" s="253"/>
    </row>
    <row r="364" spans="1:5" ht="12.6" customHeight="1" x14ac:dyDescent="0.25">
      <c r="A364" s="173" t="s">
        <v>432</v>
      </c>
      <c r="B364" s="172" t="s">
        <v>256</v>
      </c>
      <c r="C364" s="187" t="e">
        <f ca="1">_xll.cw_map("BR","4095.0200")</f>
        <v>#NAME?</v>
      </c>
      <c r="D364" s="175"/>
      <c r="E364" s="175"/>
    </row>
    <row r="365" spans="1:5" ht="12.6" customHeight="1" x14ac:dyDescent="0.25">
      <c r="A365" s="173" t="s">
        <v>433</v>
      </c>
      <c r="B365" s="172" t="s">
        <v>256</v>
      </c>
      <c r="C365" s="187" t="e">
        <f ca="1">_xll.cw_map("BR","4095.0400.01")</f>
        <v>#NAME?</v>
      </c>
      <c r="D365" s="175"/>
      <c r="E365" s="175"/>
    </row>
    <row r="366" spans="1:5" ht="12.6" customHeight="1" x14ac:dyDescent="0.25">
      <c r="A366" s="173" t="s">
        <v>434</v>
      </c>
      <c r="B366" s="172" t="s">
        <v>256</v>
      </c>
      <c r="C366" s="187"/>
      <c r="D366" s="175"/>
      <c r="E366" s="175"/>
    </row>
    <row r="367" spans="1:5" ht="12.6" customHeight="1" x14ac:dyDescent="0.25">
      <c r="A367" s="173" t="s">
        <v>359</v>
      </c>
      <c r="B367" s="175"/>
      <c r="C367" s="189"/>
      <c r="D367" s="175" t="e">
        <f ca="1">SUM(C363:C366)</f>
        <v>#NAME?</v>
      </c>
      <c r="E367" s="175"/>
    </row>
    <row r="368" spans="1:5" ht="12.6" customHeight="1" x14ac:dyDescent="0.25">
      <c r="A368" s="173" t="s">
        <v>435</v>
      </c>
      <c r="B368" s="175"/>
      <c r="C368" s="189"/>
      <c r="D368" s="175" t="e">
        <f ca="1">D361-D367</f>
        <v>#NAME?</v>
      </c>
      <c r="E368" s="175"/>
    </row>
    <row r="369" spans="1:5" ht="12.6" customHeight="1" x14ac:dyDescent="0.25">
      <c r="A369" s="253" t="s">
        <v>436</v>
      </c>
      <c r="B369" s="253"/>
      <c r="C369" s="253"/>
      <c r="D369" s="253"/>
      <c r="E369" s="253"/>
    </row>
    <row r="370" spans="1:5" ht="12.6" customHeight="1" x14ac:dyDescent="0.25">
      <c r="A370" s="173" t="s">
        <v>437</v>
      </c>
      <c r="B370" s="172" t="s">
        <v>256</v>
      </c>
      <c r="C370" s="187" t="e">
        <f ca="1">-_xll.cw_map("BR","4800")</f>
        <v>#NAME?</v>
      </c>
      <c r="D370" s="175"/>
      <c r="E370" s="175"/>
    </row>
    <row r="371" spans="1:5" ht="12.6" customHeight="1" x14ac:dyDescent="0.25">
      <c r="A371" s="173" t="s">
        <v>438</v>
      </c>
      <c r="B371" s="172" t="s">
        <v>256</v>
      </c>
      <c r="C371" s="187" t="e">
        <f ca="1">-_xll.cw_map("BR","6700.0120")</f>
        <v>#NAME?</v>
      </c>
      <c r="D371" s="175"/>
      <c r="E371" s="175"/>
    </row>
    <row r="372" spans="1:5" ht="12.6" customHeight="1" x14ac:dyDescent="0.25">
      <c r="A372" s="173" t="s">
        <v>439</v>
      </c>
      <c r="B372" s="175"/>
      <c r="C372" s="189"/>
      <c r="D372" s="175" t="e">
        <f ca="1">SUM(C370:C371)</f>
        <v>#NAME?</v>
      </c>
      <c r="E372" s="175"/>
    </row>
    <row r="373" spans="1:5" ht="12.6" customHeight="1" x14ac:dyDescent="0.25">
      <c r="A373" s="173" t="s">
        <v>440</v>
      </c>
      <c r="B373" s="175"/>
      <c r="C373" s="189"/>
      <c r="D373" s="175" t="e">
        <f ca="1">D368+D372</f>
        <v>#NAME?</v>
      </c>
      <c r="E373" s="175"/>
    </row>
    <row r="374" spans="1:5" ht="12.6" customHeight="1" x14ac:dyDescent="0.25">
      <c r="A374" s="173"/>
      <c r="B374" s="175"/>
      <c r="C374" s="189"/>
      <c r="D374" s="175"/>
      <c r="E374" s="175"/>
    </row>
    <row r="375" spans="1:5" ht="12.6" customHeight="1" x14ac:dyDescent="0.25">
      <c r="A375" s="173"/>
      <c r="B375" s="175"/>
      <c r="C375" s="189"/>
      <c r="D375" s="175"/>
      <c r="E375" s="175"/>
    </row>
    <row r="376" spans="1:5" ht="12.6" customHeight="1" x14ac:dyDescent="0.25">
      <c r="A376" s="173"/>
      <c r="B376" s="175"/>
      <c r="C376" s="189"/>
      <c r="D376" s="175"/>
      <c r="E376" s="175"/>
    </row>
    <row r="377" spans="1:5" ht="12.6" customHeight="1" x14ac:dyDescent="0.25">
      <c r="A377" s="253" t="s">
        <v>441</v>
      </c>
      <c r="B377" s="253"/>
      <c r="C377" s="253"/>
      <c r="D377" s="253"/>
      <c r="E377" s="253"/>
    </row>
    <row r="378" spans="1:5" ht="12.6" customHeight="1" x14ac:dyDescent="0.25">
      <c r="A378" s="173" t="s">
        <v>442</v>
      </c>
      <c r="B378" s="172" t="s">
        <v>256</v>
      </c>
      <c r="C378" s="187" t="e">
        <f ca="1">_xll.cw_map("BR","5095.0100.01")</f>
        <v>#NAME?</v>
      </c>
      <c r="D378" s="175"/>
      <c r="E378" s="175"/>
    </row>
    <row r="379" spans="1:5" ht="12.6" customHeight="1" x14ac:dyDescent="0.25">
      <c r="A379" s="173" t="s">
        <v>3</v>
      </c>
      <c r="B379" s="172" t="s">
        <v>256</v>
      </c>
      <c r="C379" s="187" t="e">
        <f ca="1">_xll.cw_map("BR","5095.0110")</f>
        <v>#NAME?</v>
      </c>
      <c r="D379" s="175"/>
      <c r="E379" s="175"/>
    </row>
    <row r="380" spans="1:5" ht="12.6" customHeight="1" x14ac:dyDescent="0.25">
      <c r="A380" s="173" t="s">
        <v>236</v>
      </c>
      <c r="B380" s="172" t="s">
        <v>256</v>
      </c>
      <c r="C380" s="187" t="e">
        <f ca="1">_xll.cw_map("BR","5095.0140")</f>
        <v>#NAME?</v>
      </c>
      <c r="D380" s="175"/>
      <c r="E380" s="175"/>
    </row>
    <row r="381" spans="1:5" ht="12.6" customHeight="1" x14ac:dyDescent="0.25">
      <c r="A381" s="173" t="s">
        <v>443</v>
      </c>
      <c r="B381" s="172" t="s">
        <v>256</v>
      </c>
      <c r="C381" s="187" t="e">
        <f ca="1">_xll.cw_map("BR","5095.0135")</f>
        <v>#NAME?</v>
      </c>
      <c r="D381" s="175"/>
      <c r="E381" s="175"/>
    </row>
    <row r="382" spans="1:5" ht="12.6" customHeight="1" x14ac:dyDescent="0.25">
      <c r="A382" s="173" t="s">
        <v>444</v>
      </c>
      <c r="B382" s="172" t="s">
        <v>256</v>
      </c>
      <c r="C382" s="187" t="e">
        <f ca="1">_xll.cw_map("BR","5095.0175")</f>
        <v>#NAME?</v>
      </c>
      <c r="D382" s="175"/>
      <c r="E382" s="175"/>
    </row>
    <row r="383" spans="1:5" ht="12.6" customHeight="1" x14ac:dyDescent="0.25">
      <c r="A383" s="173" t="s">
        <v>445</v>
      </c>
      <c r="B383" s="172" t="s">
        <v>256</v>
      </c>
      <c r="C383" s="187" t="e">
        <f ca="1">_xll.cw_map("BR","5095.0180")</f>
        <v>#NAME?</v>
      </c>
      <c r="D383" s="175"/>
      <c r="E383" s="175"/>
    </row>
    <row r="384" spans="1:5" ht="12.6" customHeight="1" x14ac:dyDescent="0.25">
      <c r="A384" s="173" t="s">
        <v>6</v>
      </c>
      <c r="B384" s="172" t="s">
        <v>256</v>
      </c>
      <c r="C384" s="187" t="e">
        <f ca="1">_xll.cw_map("BR","6100")</f>
        <v>#NAME?</v>
      </c>
      <c r="D384" s="175"/>
      <c r="E384" s="175"/>
    </row>
    <row r="385" spans="1:6" ht="12.6" customHeight="1" x14ac:dyDescent="0.25">
      <c r="A385" s="173" t="s">
        <v>446</v>
      </c>
      <c r="B385" s="172" t="s">
        <v>256</v>
      </c>
      <c r="C385" s="187" t="e">
        <f ca="1">_xll.cw_map("BR","5095.0190")</f>
        <v>#NAME?</v>
      </c>
      <c r="D385" s="175"/>
      <c r="E385" s="175"/>
    </row>
    <row r="386" spans="1:6" ht="12.6" customHeight="1" x14ac:dyDescent="0.25">
      <c r="A386" s="173" t="s">
        <v>447</v>
      </c>
      <c r="B386" s="172" t="s">
        <v>256</v>
      </c>
      <c r="C386" s="187" t="e">
        <f ca="1">_xll.cw_map("BR","5095.0265")</f>
        <v>#NAME?</v>
      </c>
      <c r="D386" s="175"/>
      <c r="E386" s="175"/>
    </row>
    <row r="387" spans="1:6" ht="12.6" customHeight="1" x14ac:dyDescent="0.25">
      <c r="A387" s="173" t="s">
        <v>448</v>
      </c>
      <c r="B387" s="172" t="s">
        <v>256</v>
      </c>
      <c r="C387" s="187">
        <f>D186</f>
        <v>199572</v>
      </c>
      <c r="D387" s="175"/>
      <c r="E387" s="175"/>
    </row>
    <row r="388" spans="1:6" ht="12.6" customHeight="1" x14ac:dyDescent="0.25">
      <c r="A388" s="173" t="s">
        <v>449</v>
      </c>
      <c r="B388" s="172" t="s">
        <v>256</v>
      </c>
      <c r="C388" s="187">
        <f>D190</f>
        <v>1246513</v>
      </c>
      <c r="D388" s="175"/>
      <c r="E388" s="175"/>
    </row>
    <row r="389" spans="1:6" ht="12.6" customHeight="1" x14ac:dyDescent="0.25">
      <c r="A389" s="173" t="s">
        <v>451</v>
      </c>
      <c r="B389" s="172" t="s">
        <v>256</v>
      </c>
      <c r="C389" s="187">
        <v>1309143</v>
      </c>
      <c r="D389" s="175"/>
      <c r="E389" s="175"/>
    </row>
    <row r="390" spans="1:6" ht="12.6" customHeight="1" x14ac:dyDescent="0.25">
      <c r="A390" s="173" t="s">
        <v>452</v>
      </c>
      <c r="B390" s="175"/>
      <c r="C390" s="189"/>
      <c r="D390" s="175" t="e">
        <f ca="1">SUM(C378:C389)</f>
        <v>#NAME?</v>
      </c>
      <c r="E390" s="175"/>
    </row>
    <row r="391" spans="1:6" ht="12.6" customHeight="1" x14ac:dyDescent="0.25">
      <c r="A391" s="173" t="s">
        <v>453</v>
      </c>
      <c r="B391" s="175"/>
      <c r="C391" s="189"/>
      <c r="D391" s="175" t="e">
        <f ca="1">D373-D390</f>
        <v>#NAME?</v>
      </c>
      <c r="E391" s="175"/>
    </row>
    <row r="392" spans="1:6" ht="12.6" customHeight="1" x14ac:dyDescent="0.25">
      <c r="A392" s="173" t="s">
        <v>454</v>
      </c>
      <c r="B392" s="172" t="s">
        <v>256</v>
      </c>
      <c r="C392" s="187">
        <v>2203230</v>
      </c>
      <c r="D392" s="175"/>
      <c r="E392" s="175"/>
    </row>
    <row r="393" spans="1:6" ht="12.6" customHeight="1" x14ac:dyDescent="0.25">
      <c r="A393" s="173" t="s">
        <v>455</v>
      </c>
      <c r="B393" s="175"/>
      <c r="C393" s="189"/>
      <c r="D393" s="193" t="e">
        <f ca="1">D391+C392</f>
        <v>#NAME?</v>
      </c>
      <c r="E393" s="175"/>
      <c r="F393" s="195"/>
    </row>
    <row r="394" spans="1:6" ht="12.6" customHeight="1" x14ac:dyDescent="0.25">
      <c r="A394" s="173" t="s">
        <v>456</v>
      </c>
      <c r="B394" s="172" t="s">
        <v>256</v>
      </c>
      <c r="C394" s="187"/>
      <c r="D394" s="175"/>
      <c r="E394" s="175"/>
    </row>
    <row r="395" spans="1:6" ht="12.6" customHeight="1" x14ac:dyDescent="0.25">
      <c r="A395" s="173" t="s">
        <v>457</v>
      </c>
      <c r="B395" s="172" t="s">
        <v>256</v>
      </c>
      <c r="C395" s="187"/>
      <c r="D395" s="175"/>
      <c r="E395" s="175"/>
    </row>
    <row r="396" spans="1:6" ht="12.6" customHeight="1" x14ac:dyDescent="0.25">
      <c r="A396" s="173" t="s">
        <v>458</v>
      </c>
      <c r="B396" s="175"/>
      <c r="C396" s="189"/>
      <c r="D396" s="175" t="e">
        <f ca="1">D393+C394-C395</f>
        <v>#NAME?</v>
      </c>
      <c r="E396" s="175"/>
    </row>
    <row r="397" spans="1:6" ht="13.5" customHeight="1" x14ac:dyDescent="0.25">
      <c r="A397" s="179"/>
      <c r="B397" s="179"/>
    </row>
    <row r="398" spans="1:6" ht="12.6" customHeight="1" x14ac:dyDescent="0.25">
      <c r="A398" s="179"/>
      <c r="B398" s="179"/>
    </row>
    <row r="399" spans="1:6" ht="12.6" customHeight="1" x14ac:dyDescent="0.25">
      <c r="A399" s="179"/>
      <c r="B399" s="179"/>
    </row>
    <row r="400" spans="1:6" ht="12" customHeight="1" x14ac:dyDescent="0.25">
      <c r="A400" s="179"/>
      <c r="B400" s="179"/>
    </row>
    <row r="401" spans="1:5" ht="12" customHeight="1" x14ac:dyDescent="0.25">
      <c r="A401" s="179"/>
      <c r="B401" s="179"/>
    </row>
    <row r="402" spans="1:5" ht="12" customHeight="1" x14ac:dyDescent="0.25">
      <c r="A402" s="179"/>
      <c r="B402" s="179"/>
    </row>
    <row r="403" spans="1:5" ht="12" customHeight="1" x14ac:dyDescent="0.25">
      <c r="A403" s="179"/>
      <c r="B403" s="179"/>
    </row>
    <row r="404" spans="1:5" ht="12" customHeight="1" x14ac:dyDescent="0.25">
      <c r="A404" s="179"/>
      <c r="B404" s="179"/>
    </row>
    <row r="405" spans="1:5" ht="12.6" customHeight="1" x14ac:dyDescent="0.25">
      <c r="A405" s="179"/>
      <c r="B405" s="179"/>
    </row>
    <row r="406" spans="1:5" ht="12.6" customHeight="1" x14ac:dyDescent="0.25">
      <c r="A406" s="179"/>
      <c r="B406" s="179"/>
    </row>
    <row r="407" spans="1:5" ht="12.6" customHeight="1" x14ac:dyDescent="0.25">
      <c r="A407" s="179"/>
      <c r="B407" s="179"/>
    </row>
    <row r="408" spans="1:5" ht="12.6" customHeight="1" x14ac:dyDescent="0.25">
      <c r="A408" s="179"/>
      <c r="B408" s="179"/>
    </row>
    <row r="409" spans="1:5" ht="12.6" customHeight="1" x14ac:dyDescent="0.25">
      <c r="A409" s="179"/>
      <c r="B409" s="179"/>
    </row>
    <row r="410" spans="1:5" ht="12.6" customHeight="1" x14ac:dyDescent="0.25">
      <c r="A410" s="179"/>
      <c r="B410" s="179"/>
    </row>
    <row r="411" spans="1:5" ht="12.6" customHeight="1" x14ac:dyDescent="0.25">
      <c r="A411" s="179"/>
      <c r="B411" s="179"/>
      <c r="C411" s="181" t="s">
        <v>459</v>
      </c>
      <c r="D411" s="179"/>
      <c r="E411" s="256"/>
    </row>
    <row r="412" spans="1:5" ht="12.6" customHeight="1" x14ac:dyDescent="0.25">
      <c r="A412" s="179" t="str">
        <f>C84&amp;"   "&amp;"H-"&amp;FIXED(C83,0,TRUE)&amp;"     FYE "&amp;C82</f>
        <v>Lake Chelan Community Hospital   H-0     FYE 12/31/2019</v>
      </c>
      <c r="B412" s="179"/>
      <c r="C412" s="179"/>
      <c r="D412" s="179"/>
      <c r="E412" s="256"/>
    </row>
    <row r="413" spans="1:5" ht="12.6" customHeight="1" x14ac:dyDescent="0.25">
      <c r="A413" s="179" t="s">
        <v>460</v>
      </c>
      <c r="B413" s="181" t="s">
        <v>461</v>
      </c>
      <c r="C413" s="181" t="s">
        <v>1243</v>
      </c>
      <c r="D413" s="181" t="s">
        <v>462</v>
      </c>
    </row>
    <row r="414" spans="1:5" ht="12.6" customHeight="1" x14ac:dyDescent="0.25">
      <c r="A414" s="179" t="s">
        <v>463</v>
      </c>
      <c r="B414" s="179">
        <f>C111</f>
        <v>195</v>
      </c>
      <c r="C414" s="192">
        <f>E138</f>
        <v>174</v>
      </c>
      <c r="D414" s="179"/>
    </row>
    <row r="415" spans="1:5" ht="12.6" customHeight="1" x14ac:dyDescent="0.25">
      <c r="A415" s="179" t="s">
        <v>464</v>
      </c>
      <c r="B415" s="179">
        <f>D111</f>
        <v>659</v>
      </c>
      <c r="C415" s="179">
        <f>E139</f>
        <v>686</v>
      </c>
      <c r="D415" s="192">
        <f>SUM(C59:H59)+N59</f>
        <v>659</v>
      </c>
    </row>
    <row r="416" spans="1:5" ht="12.6" customHeight="1" x14ac:dyDescent="0.25">
      <c r="A416" s="179"/>
      <c r="B416" s="179"/>
      <c r="C416" s="192"/>
      <c r="D416" s="179"/>
    </row>
    <row r="417" spans="1:7" ht="12.6" customHeight="1" x14ac:dyDescent="0.25">
      <c r="A417" s="179" t="s">
        <v>465</v>
      </c>
      <c r="B417" s="179">
        <f>C112</f>
        <v>205</v>
      </c>
      <c r="C417" s="192">
        <f>E144</f>
        <v>205</v>
      </c>
      <c r="D417" s="179"/>
    </row>
    <row r="418" spans="1:7" ht="12.6" customHeight="1" x14ac:dyDescent="0.25">
      <c r="A418" s="179" t="s">
        <v>466</v>
      </c>
      <c r="B418" s="179">
        <f>D112</f>
        <v>3983</v>
      </c>
      <c r="C418" s="179">
        <f>E145</f>
        <v>3983</v>
      </c>
      <c r="D418" s="179">
        <f>K59+L59</f>
        <v>3983</v>
      </c>
    </row>
    <row r="419" spans="1:7" ht="12.6" customHeight="1" x14ac:dyDescent="0.25">
      <c r="A419" s="179"/>
      <c r="B419" s="179"/>
      <c r="C419" s="192"/>
      <c r="D419" s="179"/>
    </row>
    <row r="420" spans="1:7" ht="12.6" customHeight="1" x14ac:dyDescent="0.25">
      <c r="A420" s="179" t="s">
        <v>467</v>
      </c>
      <c r="B420" s="179">
        <f>C113</f>
        <v>147</v>
      </c>
      <c r="C420" s="179">
        <f>E150</f>
        <v>147</v>
      </c>
      <c r="D420" s="179"/>
    </row>
    <row r="421" spans="1:7" ht="12.6" customHeight="1" x14ac:dyDescent="0.25">
      <c r="A421" s="179" t="s">
        <v>468</v>
      </c>
      <c r="B421" s="179">
        <f>D113</f>
        <v>438</v>
      </c>
      <c r="C421" s="179">
        <f>E151</f>
        <v>438</v>
      </c>
      <c r="D421" s="179">
        <f>I59</f>
        <v>438</v>
      </c>
    </row>
    <row r="422" spans="1:7" ht="12.6" customHeight="1" x14ac:dyDescent="0.25">
      <c r="A422" s="204"/>
      <c r="B422" s="204"/>
      <c r="C422" s="181"/>
      <c r="D422" s="179"/>
    </row>
    <row r="423" spans="1:7" ht="12.6" customHeight="1" x14ac:dyDescent="0.25">
      <c r="A423" s="180" t="s">
        <v>469</v>
      </c>
      <c r="B423" s="180">
        <f>C114</f>
        <v>83</v>
      </c>
    </row>
    <row r="424" spans="1:7" ht="12.6" customHeight="1" x14ac:dyDescent="0.25">
      <c r="A424" s="179" t="s">
        <v>1244</v>
      </c>
      <c r="B424" s="179">
        <f>D114</f>
        <v>133</v>
      </c>
      <c r="D424" s="179">
        <f>J59</f>
        <v>133</v>
      </c>
    </row>
    <row r="425" spans="1:7" ht="12.6" customHeight="1" x14ac:dyDescent="0.25">
      <c r="A425" s="204"/>
      <c r="B425" s="204"/>
      <c r="C425" s="204"/>
      <c r="D425" s="204"/>
      <c r="F425" s="204"/>
      <c r="G425" s="204"/>
    </row>
    <row r="426" spans="1:7" ht="12.6" customHeight="1" x14ac:dyDescent="0.25">
      <c r="A426" s="179" t="s">
        <v>470</v>
      </c>
      <c r="B426" s="181" t="s">
        <v>471</v>
      </c>
      <c r="C426" s="181" t="s">
        <v>462</v>
      </c>
      <c r="D426" s="181" t="s">
        <v>472</v>
      </c>
    </row>
    <row r="427" spans="1:7" ht="12.6" customHeight="1" x14ac:dyDescent="0.25">
      <c r="A427" s="179" t="s">
        <v>473</v>
      </c>
      <c r="B427" s="179" t="e">
        <f t="shared" ref="B427:B437" ca="1" si="12">C378</f>
        <v>#NAME?</v>
      </c>
      <c r="C427" s="179">
        <f t="shared" ref="C427:C434" si="13">CE61</f>
        <v>17122593</v>
      </c>
      <c r="D427" s="179"/>
    </row>
    <row r="428" spans="1:7" ht="12.6" customHeight="1" x14ac:dyDescent="0.25">
      <c r="A428" s="179" t="s">
        <v>3</v>
      </c>
      <c r="B428" s="179" t="e">
        <f t="shared" ca="1" si="12"/>
        <v>#NAME?</v>
      </c>
      <c r="C428" s="179">
        <f t="shared" si="13"/>
        <v>3483071</v>
      </c>
      <c r="D428" s="179" t="e">
        <f ca="1">D173</f>
        <v>#NAME?</v>
      </c>
    </row>
    <row r="429" spans="1:7" ht="12.6" customHeight="1" x14ac:dyDescent="0.25">
      <c r="A429" s="179" t="s">
        <v>236</v>
      </c>
      <c r="B429" s="179" t="e">
        <f t="shared" ca="1" si="12"/>
        <v>#NAME?</v>
      </c>
      <c r="C429" s="179">
        <f t="shared" si="13"/>
        <v>562571</v>
      </c>
      <c r="D429" s="179"/>
    </row>
    <row r="430" spans="1:7" ht="12.6" customHeight="1" x14ac:dyDescent="0.25">
      <c r="A430" s="179" t="s">
        <v>237</v>
      </c>
      <c r="B430" s="179" t="e">
        <f t="shared" ca="1" si="12"/>
        <v>#NAME?</v>
      </c>
      <c r="C430" s="179">
        <f t="shared" si="13"/>
        <v>2315694</v>
      </c>
      <c r="D430" s="179"/>
    </row>
    <row r="431" spans="1:7" ht="12.6" customHeight="1" x14ac:dyDescent="0.25">
      <c r="A431" s="179" t="s">
        <v>444</v>
      </c>
      <c r="B431" s="179" t="e">
        <f t="shared" ca="1" si="12"/>
        <v>#NAME?</v>
      </c>
      <c r="C431" s="179">
        <f t="shared" si="13"/>
        <v>231131</v>
      </c>
      <c r="D431" s="179"/>
    </row>
    <row r="432" spans="1:7" ht="12.6" customHeight="1" x14ac:dyDescent="0.25">
      <c r="A432" s="179" t="s">
        <v>445</v>
      </c>
      <c r="B432" s="179" t="e">
        <f t="shared" ca="1" si="12"/>
        <v>#NAME?</v>
      </c>
      <c r="C432" s="179">
        <f t="shared" si="13"/>
        <v>1864310</v>
      </c>
      <c r="D432" s="179"/>
    </row>
    <row r="433" spans="1:7" ht="12.6" customHeight="1" x14ac:dyDescent="0.25">
      <c r="A433" s="179" t="s">
        <v>6</v>
      </c>
      <c r="B433" s="179" t="e">
        <f t="shared" ca="1" si="12"/>
        <v>#NAME?</v>
      </c>
      <c r="C433" s="179">
        <f t="shared" si="13"/>
        <v>880833</v>
      </c>
      <c r="D433" s="179">
        <f>C217</f>
        <v>759088.51</v>
      </c>
    </row>
    <row r="434" spans="1:7" ht="12.6" customHeight="1" x14ac:dyDescent="0.25">
      <c r="A434" s="179" t="s">
        <v>474</v>
      </c>
      <c r="B434" s="179" t="e">
        <f t="shared" ca="1" si="12"/>
        <v>#NAME?</v>
      </c>
      <c r="C434" s="179">
        <f t="shared" si="13"/>
        <v>400259</v>
      </c>
      <c r="D434" s="179">
        <f>D177</f>
        <v>400259</v>
      </c>
    </row>
    <row r="435" spans="1:7" ht="12.6" customHeight="1" x14ac:dyDescent="0.25">
      <c r="A435" s="179" t="s">
        <v>447</v>
      </c>
      <c r="B435" s="179" t="e">
        <f t="shared" ca="1" si="12"/>
        <v>#NAME?</v>
      </c>
      <c r="C435" s="179"/>
      <c r="D435" s="179">
        <f>D181</f>
        <v>271443</v>
      </c>
    </row>
    <row r="436" spans="1:7" ht="12.6" customHeight="1" x14ac:dyDescent="0.25">
      <c r="A436" s="179" t="s">
        <v>475</v>
      </c>
      <c r="B436" s="179">
        <f t="shared" si="12"/>
        <v>199572</v>
      </c>
      <c r="C436" s="179"/>
      <c r="D436" s="179">
        <f>D186</f>
        <v>199572</v>
      </c>
    </row>
    <row r="437" spans="1:7" ht="12.6" customHeight="1" x14ac:dyDescent="0.25">
      <c r="A437" s="192" t="s">
        <v>449</v>
      </c>
      <c r="B437" s="192">
        <f t="shared" si="12"/>
        <v>1246513</v>
      </c>
      <c r="C437" s="192"/>
      <c r="D437" s="192">
        <f>D190</f>
        <v>1246513</v>
      </c>
    </row>
    <row r="438" spans="1:7" ht="12.6" customHeight="1" x14ac:dyDescent="0.25">
      <c r="A438" s="192" t="s">
        <v>476</v>
      </c>
      <c r="B438" s="192" t="e">
        <f ca="1">C386+C387+C388</f>
        <v>#NAME?</v>
      </c>
      <c r="C438" s="192">
        <f>CD69</f>
        <v>1243420</v>
      </c>
      <c r="D438" s="192">
        <f>D181+D186+D190</f>
        <v>1717528</v>
      </c>
    </row>
    <row r="439" spans="1:7" ht="12.6" customHeight="1" x14ac:dyDescent="0.25">
      <c r="A439" s="179" t="s">
        <v>451</v>
      </c>
      <c r="B439" s="192">
        <f>C389</f>
        <v>1309143</v>
      </c>
      <c r="C439" s="192">
        <f>SUM(C69:CC69)</f>
        <v>1309143</v>
      </c>
      <c r="D439" s="179"/>
    </row>
    <row r="440" spans="1:7" ht="12.6" customHeight="1" x14ac:dyDescent="0.25">
      <c r="A440" s="179" t="s">
        <v>477</v>
      </c>
      <c r="B440" s="192" t="e">
        <f ca="1">B438+B439</f>
        <v>#NAME?</v>
      </c>
      <c r="C440" s="192">
        <f>CE69</f>
        <v>2552563</v>
      </c>
      <c r="D440" s="179"/>
    </row>
    <row r="441" spans="1:7" ht="12.6" customHeight="1" x14ac:dyDescent="0.25">
      <c r="A441" s="179" t="s">
        <v>478</v>
      </c>
      <c r="B441" s="179" t="e">
        <f ca="1">D390</f>
        <v>#NAME?</v>
      </c>
      <c r="C441" s="179">
        <f>SUM(C427:C437)+C440</f>
        <v>29413025</v>
      </c>
      <c r="D441" s="179"/>
    </row>
    <row r="442" spans="1:7" ht="12.6" customHeight="1" x14ac:dyDescent="0.25">
      <c r="A442" s="204"/>
      <c r="B442" s="204"/>
      <c r="C442" s="204"/>
      <c r="D442" s="204"/>
      <c r="F442" s="204"/>
      <c r="G442" s="204"/>
    </row>
    <row r="443" spans="1:7" ht="12.6" customHeight="1" x14ac:dyDescent="0.25">
      <c r="A443" s="179" t="s">
        <v>479</v>
      </c>
      <c r="B443" s="181" t="s">
        <v>480</v>
      </c>
      <c r="C443" s="181" t="s">
        <v>471</v>
      </c>
      <c r="D443" s="179"/>
    </row>
    <row r="444" spans="1:7" ht="12.6" customHeight="1" x14ac:dyDescent="0.25">
      <c r="A444" s="179" t="s">
        <v>1258</v>
      </c>
      <c r="B444" s="179">
        <f>D221</f>
        <v>2739717</v>
      </c>
      <c r="C444" s="179" t="e">
        <f ca="1">C363</f>
        <v>#NAME?</v>
      </c>
      <c r="D444" s="179"/>
    </row>
    <row r="445" spans="1:7" ht="12.6" customHeight="1" x14ac:dyDescent="0.25">
      <c r="A445" s="179" t="s">
        <v>343</v>
      </c>
      <c r="B445" s="179" t="e">
        <f ca="1">D229</f>
        <v>#NAME?</v>
      </c>
      <c r="C445" s="179" t="e">
        <f ca="1">C364</f>
        <v>#NAME?</v>
      </c>
      <c r="D445" s="179"/>
    </row>
    <row r="446" spans="1:7" ht="12.6" customHeight="1" x14ac:dyDescent="0.25">
      <c r="A446" s="179" t="s">
        <v>351</v>
      </c>
      <c r="B446" s="179">
        <f>D236</f>
        <v>710980</v>
      </c>
      <c r="C446" s="179" t="e">
        <f ca="1">C365</f>
        <v>#NAME?</v>
      </c>
      <c r="D446" s="179"/>
    </row>
    <row r="447" spans="1:7" ht="12.6" customHeight="1" x14ac:dyDescent="0.25">
      <c r="A447" s="179" t="s">
        <v>356</v>
      </c>
      <c r="B447" s="179">
        <f>D240</f>
        <v>57733</v>
      </c>
      <c r="C447" s="179">
        <f>C366</f>
        <v>0</v>
      </c>
      <c r="D447" s="179"/>
    </row>
    <row r="448" spans="1:7" ht="12.6" customHeight="1" x14ac:dyDescent="0.25">
      <c r="A448" s="179" t="s">
        <v>358</v>
      </c>
      <c r="B448" s="179" t="e">
        <f ca="1">D242</f>
        <v>#NAME?</v>
      </c>
      <c r="C448" s="179" t="e">
        <f ca="1">D367</f>
        <v>#NAME?</v>
      </c>
      <c r="D448" s="179"/>
    </row>
    <row r="449" spans="1:7" ht="12.6" customHeight="1" x14ac:dyDescent="0.25">
      <c r="A449" s="204"/>
      <c r="B449" s="204"/>
      <c r="C449" s="204"/>
      <c r="D449" s="204"/>
      <c r="F449" s="204"/>
      <c r="G449" s="204"/>
    </row>
    <row r="450" spans="1:7" ht="12.6" customHeight="1" x14ac:dyDescent="0.25">
      <c r="A450" s="180" t="s">
        <v>481</v>
      </c>
      <c r="B450" s="181" t="s">
        <v>482</v>
      </c>
      <c r="C450" s="204"/>
      <c r="D450" s="204"/>
      <c r="F450" s="204"/>
      <c r="G450" s="204"/>
    </row>
    <row r="451" spans="1:7" ht="12.6" customHeight="1" x14ac:dyDescent="0.25">
      <c r="B451" s="181" t="s">
        <v>483</v>
      </c>
    </row>
    <row r="452" spans="1:7" ht="12.6" customHeight="1" x14ac:dyDescent="0.25">
      <c r="B452" s="181" t="s">
        <v>472</v>
      </c>
    </row>
    <row r="453" spans="1:7" ht="12.6" customHeight="1" x14ac:dyDescent="0.25">
      <c r="A453" s="197" t="s">
        <v>484</v>
      </c>
      <c r="B453" s="180">
        <f>C231</f>
        <v>169</v>
      </c>
    </row>
    <row r="454" spans="1:7" ht="12.6" customHeight="1" x14ac:dyDescent="0.25">
      <c r="A454" s="179" t="s">
        <v>168</v>
      </c>
      <c r="B454" s="179">
        <f>C233</f>
        <v>174772</v>
      </c>
      <c r="C454" s="179"/>
      <c r="D454" s="179"/>
    </row>
    <row r="455" spans="1:7" ht="12.6" customHeight="1" x14ac:dyDescent="0.25">
      <c r="A455" s="179" t="s">
        <v>131</v>
      </c>
      <c r="B455" s="179">
        <f>C234</f>
        <v>536208</v>
      </c>
      <c r="C455" s="179"/>
      <c r="D455" s="179"/>
    </row>
    <row r="456" spans="1:7" ht="12.6" customHeight="1" x14ac:dyDescent="0.25">
      <c r="A456" s="204"/>
      <c r="B456" s="204"/>
      <c r="C456" s="204"/>
      <c r="D456" s="204"/>
      <c r="F456" s="204"/>
      <c r="G456" s="204"/>
    </row>
    <row r="457" spans="1:7" ht="12.6" customHeight="1" x14ac:dyDescent="0.25">
      <c r="A457" s="179" t="s">
        <v>485</v>
      </c>
      <c r="B457" s="181" t="s">
        <v>471</v>
      </c>
      <c r="C457" s="181" t="s">
        <v>486</v>
      </c>
      <c r="D457" s="179"/>
    </row>
    <row r="458" spans="1:7" ht="12.6" customHeight="1" x14ac:dyDescent="0.25">
      <c r="A458" s="179" t="s">
        <v>487</v>
      </c>
      <c r="B458" s="192" t="e">
        <f ca="1">C370</f>
        <v>#NAME?</v>
      </c>
      <c r="C458" s="192">
        <f>CE70</f>
        <v>772404</v>
      </c>
      <c r="D458" s="192"/>
    </row>
    <row r="459" spans="1:7" ht="12.6" customHeight="1" x14ac:dyDescent="0.25">
      <c r="A459" s="179" t="s">
        <v>244</v>
      </c>
      <c r="B459" s="192" t="e">
        <f ca="1">C371</f>
        <v>#NAME?</v>
      </c>
      <c r="C459" s="192">
        <f>CE72</f>
        <v>1770120</v>
      </c>
      <c r="D459" s="192"/>
    </row>
    <row r="460" spans="1:7" ht="12.6" customHeight="1" x14ac:dyDescent="0.25">
      <c r="A460" s="204"/>
      <c r="B460" s="204"/>
      <c r="C460" s="204"/>
      <c r="D460" s="204"/>
      <c r="F460" s="204"/>
      <c r="G460" s="204"/>
    </row>
    <row r="461" spans="1:7" ht="12.6" customHeight="1" x14ac:dyDescent="0.25">
      <c r="A461" s="179" t="s">
        <v>488</v>
      </c>
      <c r="B461" s="181"/>
      <c r="C461" s="181"/>
      <c r="D461" s="181" t="s">
        <v>1245</v>
      </c>
    </row>
    <row r="462" spans="1:7" ht="12.6" customHeight="1" x14ac:dyDescent="0.25">
      <c r="B462" s="181" t="s">
        <v>471</v>
      </c>
      <c r="C462" s="181" t="s">
        <v>486</v>
      </c>
      <c r="D462" s="181" t="s">
        <v>490</v>
      </c>
    </row>
    <row r="463" spans="1:7" ht="12.6" customHeight="1" x14ac:dyDescent="0.25">
      <c r="A463" s="179" t="s">
        <v>245</v>
      </c>
      <c r="B463" s="192" t="e">
        <f ca="1">C359</f>
        <v>#NAME?</v>
      </c>
      <c r="C463" s="192">
        <f>CE73</f>
        <v>10943433.18</v>
      </c>
      <c r="D463" s="192">
        <f>E141+E147+E153</f>
        <v>10943433.18</v>
      </c>
    </row>
    <row r="464" spans="1:7" ht="12.6" customHeight="1" x14ac:dyDescent="0.25">
      <c r="A464" s="179" t="s">
        <v>246</v>
      </c>
      <c r="B464" s="192" t="e">
        <f ca="1">C360</f>
        <v>#NAME?</v>
      </c>
      <c r="C464" s="192">
        <f>CE74</f>
        <v>33574979.098099999</v>
      </c>
      <c r="D464" s="192">
        <f>E142+E148+E154</f>
        <v>33574979.098099999</v>
      </c>
    </row>
    <row r="465" spans="1:7" ht="12.6" customHeight="1" x14ac:dyDescent="0.25">
      <c r="A465" s="179" t="s">
        <v>247</v>
      </c>
      <c r="B465" s="192" t="e">
        <f ca="1">D361</f>
        <v>#NAME?</v>
      </c>
      <c r="C465" s="192">
        <f>CE75</f>
        <v>44518412.278100006</v>
      </c>
      <c r="D465" s="192">
        <f>D463+D464</f>
        <v>44518412.278099999</v>
      </c>
    </row>
    <row r="466" spans="1:7" ht="12.6" customHeight="1" x14ac:dyDescent="0.25">
      <c r="A466" s="204"/>
      <c r="B466" s="204"/>
      <c r="C466" s="204"/>
      <c r="D466" s="204"/>
      <c r="F466" s="204"/>
      <c r="G466" s="204"/>
    </row>
    <row r="467" spans="1:7" ht="12.6" customHeight="1" x14ac:dyDescent="0.25">
      <c r="A467" s="179" t="s">
        <v>491</v>
      </c>
      <c r="B467" s="181" t="s">
        <v>492</v>
      </c>
      <c r="C467" s="181" t="s">
        <v>493</v>
      </c>
      <c r="D467" s="179"/>
    </row>
    <row r="468" spans="1:7" ht="12.6" customHeight="1" x14ac:dyDescent="0.25">
      <c r="A468" s="179" t="s">
        <v>332</v>
      </c>
      <c r="B468" s="179" t="e">
        <f t="shared" ref="B468:B475" ca="1" si="14">C267</f>
        <v>#NAME?</v>
      </c>
      <c r="C468" s="179" t="e">
        <f ca="1">E195</f>
        <v>#NAME?</v>
      </c>
      <c r="D468" s="179"/>
    </row>
    <row r="469" spans="1:7" ht="12.6" customHeight="1" x14ac:dyDescent="0.25">
      <c r="A469" s="179" t="s">
        <v>333</v>
      </c>
      <c r="B469" s="179" t="e">
        <f t="shared" ca="1" si="14"/>
        <v>#NAME?</v>
      </c>
      <c r="C469" s="179" t="e">
        <f ca="1">E196</f>
        <v>#NAME?</v>
      </c>
      <c r="D469" s="179"/>
    </row>
    <row r="470" spans="1:7" ht="12.6" customHeight="1" x14ac:dyDescent="0.25">
      <c r="A470" s="179" t="s">
        <v>334</v>
      </c>
      <c r="B470" s="179" t="e">
        <f t="shared" ca="1" si="14"/>
        <v>#NAME?</v>
      </c>
      <c r="C470" s="179" t="e">
        <f ca="1">E197</f>
        <v>#NAME?</v>
      </c>
      <c r="D470" s="179"/>
    </row>
    <row r="471" spans="1:7" ht="12.6" customHeight="1" x14ac:dyDescent="0.25">
      <c r="A471" s="179" t="s">
        <v>494</v>
      </c>
      <c r="B471" s="179">
        <f t="shared" si="14"/>
        <v>0</v>
      </c>
      <c r="C471" s="179" t="e">
        <f ca="1">E198</f>
        <v>#NAME?</v>
      </c>
      <c r="D471" s="179"/>
    </row>
    <row r="472" spans="1:7" ht="12.6" customHeight="1" x14ac:dyDescent="0.25">
      <c r="A472" s="179" t="s">
        <v>377</v>
      </c>
      <c r="B472" s="179" t="e">
        <f t="shared" ca="1" si="14"/>
        <v>#NAME?</v>
      </c>
      <c r="C472" s="179">
        <f>E199</f>
        <v>0</v>
      </c>
      <c r="D472" s="179"/>
    </row>
    <row r="473" spans="1:7" ht="12.6" customHeight="1" x14ac:dyDescent="0.25">
      <c r="A473" s="179" t="s">
        <v>495</v>
      </c>
      <c r="B473" s="179" t="e">
        <f t="shared" ca="1" si="14"/>
        <v>#NAME?</v>
      </c>
      <c r="C473" s="179" t="e">
        <f ca="1">SUM(E200:E201)</f>
        <v>#NAME?</v>
      </c>
      <c r="D473" s="179"/>
    </row>
    <row r="474" spans="1:7" ht="12.6" customHeight="1" x14ac:dyDescent="0.25">
      <c r="A474" s="179" t="s">
        <v>339</v>
      </c>
      <c r="B474" s="179">
        <f t="shared" si="14"/>
        <v>0</v>
      </c>
      <c r="C474" s="179">
        <f>E202</f>
        <v>0</v>
      </c>
      <c r="D474" s="179"/>
    </row>
    <row r="475" spans="1:7" ht="12.6" customHeight="1" x14ac:dyDescent="0.25">
      <c r="A475" s="179" t="s">
        <v>340</v>
      </c>
      <c r="B475" s="179" t="e">
        <f t="shared" ca="1" si="14"/>
        <v>#NAME?</v>
      </c>
      <c r="C475" s="179" t="e">
        <f ca="1">E203</f>
        <v>#NAME?</v>
      </c>
      <c r="D475" s="179"/>
    </row>
    <row r="476" spans="1:7" ht="12.6" customHeight="1" x14ac:dyDescent="0.25">
      <c r="A476" s="179" t="s">
        <v>203</v>
      </c>
      <c r="B476" s="179" t="e">
        <f ca="1">D275</f>
        <v>#NAME?</v>
      </c>
      <c r="C476" s="179" t="e">
        <f ca="1">E204</f>
        <v>#NAME?</v>
      </c>
      <c r="D476" s="179"/>
    </row>
    <row r="477" spans="1:7" ht="12.6" customHeight="1" x14ac:dyDescent="0.25">
      <c r="A477" s="179"/>
      <c r="B477" s="179"/>
      <c r="C477" s="179"/>
      <c r="D477" s="179"/>
    </row>
    <row r="478" spans="1:7" ht="12.6" customHeight="1" x14ac:dyDescent="0.25">
      <c r="A478" s="179" t="s">
        <v>496</v>
      </c>
      <c r="B478" s="179" t="e">
        <f ca="1">C276</f>
        <v>#NAME?</v>
      </c>
      <c r="C478" s="179" t="e">
        <f ca="1">E217</f>
        <v>#NAME?</v>
      </c>
      <c r="D478" s="179"/>
    </row>
    <row r="480" spans="1:7" ht="12.6" customHeight="1" x14ac:dyDescent="0.25">
      <c r="A480" s="180" t="s">
        <v>497</v>
      </c>
    </row>
    <row r="481" spans="1:12" ht="12.6" customHeight="1" x14ac:dyDescent="0.25">
      <c r="A481" s="180" t="s">
        <v>498</v>
      </c>
      <c r="C481" s="180" t="e">
        <f ca="1">D341</f>
        <v>#NAME?</v>
      </c>
    </row>
    <row r="482" spans="1:12" ht="12.6" customHeight="1" x14ac:dyDescent="0.25">
      <c r="A482" s="180" t="s">
        <v>499</v>
      </c>
      <c r="C482" s="180" t="e">
        <f ca="1">D339</f>
        <v>#NAME?</v>
      </c>
    </row>
    <row r="485" spans="1:12" ht="12.6" customHeight="1" x14ac:dyDescent="0.25">
      <c r="A485" s="197" t="s">
        <v>500</v>
      </c>
    </row>
    <row r="486" spans="1:12" ht="12.6" customHeight="1" x14ac:dyDescent="0.25">
      <c r="A486" s="197" t="s">
        <v>501</v>
      </c>
    </row>
    <row r="487" spans="1:12" ht="12.6" customHeight="1" x14ac:dyDescent="0.25">
      <c r="A487" s="197" t="s">
        <v>502</v>
      </c>
    </row>
    <row r="488" spans="1:12" ht="12.6" customHeight="1" x14ac:dyDescent="0.25">
      <c r="A488" s="197"/>
    </row>
    <row r="489" spans="1:12" ht="12.6" customHeight="1" x14ac:dyDescent="0.25">
      <c r="A489" s="196" t="s">
        <v>503</v>
      </c>
    </row>
    <row r="490" spans="1:12" ht="12.6" customHeight="1" x14ac:dyDescent="0.25">
      <c r="A490" s="197" t="s">
        <v>504</v>
      </c>
    </row>
    <row r="491" spans="1:12" ht="12.6" customHeight="1" x14ac:dyDescent="0.25">
      <c r="A491" s="197"/>
    </row>
    <row r="493" spans="1:12" ht="12.6" customHeight="1" x14ac:dyDescent="0.25">
      <c r="A493" s="180" t="str">
        <f>C83</f>
        <v>165</v>
      </c>
      <c r="B493" s="257" t="str">
        <f>RIGHT('Prior Year'!C83,4)</f>
        <v>2018</v>
      </c>
      <c r="C493" s="257" t="str">
        <f>RIGHT(C82,4)</f>
        <v>2019</v>
      </c>
      <c r="D493" s="257" t="str">
        <f>RIGHT('Prior Year'!C83,4)</f>
        <v>2018</v>
      </c>
      <c r="E493" s="257" t="str">
        <f>RIGHT(C82,4)</f>
        <v>2019</v>
      </c>
      <c r="F493" s="257" t="str">
        <f>RIGHT('Prior Year'!C83,4)</f>
        <v>2018</v>
      </c>
      <c r="G493" s="257" t="str">
        <f>RIGHT(C82,4)</f>
        <v>2019</v>
      </c>
      <c r="H493" s="257"/>
      <c r="K493" s="257"/>
      <c r="L493" s="257"/>
    </row>
    <row r="494" spans="1:12" ht="12.6" customHeight="1" x14ac:dyDescent="0.25">
      <c r="A494" s="196"/>
      <c r="B494" s="181" t="s">
        <v>505</v>
      </c>
      <c r="C494" s="181" t="s">
        <v>505</v>
      </c>
      <c r="D494" s="258" t="s">
        <v>506</v>
      </c>
      <c r="E494" s="258" t="s">
        <v>506</v>
      </c>
      <c r="F494" s="257" t="s">
        <v>507</v>
      </c>
      <c r="G494" s="257" t="s">
        <v>507</v>
      </c>
      <c r="H494" s="257" t="s">
        <v>508</v>
      </c>
      <c r="K494" s="257"/>
      <c r="L494" s="257"/>
    </row>
    <row r="495" spans="1:12" ht="12.6" customHeight="1" x14ac:dyDescent="0.25">
      <c r="B495" s="181" t="s">
        <v>303</v>
      </c>
      <c r="C495" s="181" t="s">
        <v>303</v>
      </c>
      <c r="D495" s="181" t="s">
        <v>509</v>
      </c>
      <c r="E495" s="181" t="s">
        <v>509</v>
      </c>
      <c r="F495" s="257" t="s">
        <v>510</v>
      </c>
      <c r="G495" s="257" t="s">
        <v>510</v>
      </c>
      <c r="H495" s="257" t="s">
        <v>511</v>
      </c>
      <c r="K495" s="257"/>
      <c r="L495" s="257"/>
    </row>
    <row r="496" spans="1:12" ht="12.6" customHeight="1" x14ac:dyDescent="0.25">
      <c r="A496" s="180" t="s">
        <v>512</v>
      </c>
      <c r="B496" s="236">
        <f>'Prior Year'!C72</f>
        <v>0</v>
      </c>
      <c r="C496" s="236">
        <f>C71</f>
        <v>0</v>
      </c>
      <c r="D496" s="236">
        <f>'Prior Year'!C59</f>
        <v>0</v>
      </c>
      <c r="E496" s="180">
        <f>C59</f>
        <v>0</v>
      </c>
      <c r="F496" s="259" t="str">
        <f t="shared" ref="F496:G511" si="15">IF(B496=0,"",IF(D496=0,"",B496/D496))</f>
        <v/>
      </c>
      <c r="G496" s="260" t="str">
        <f t="shared" si="15"/>
        <v/>
      </c>
      <c r="H496" s="261" t="str">
        <f>IF(B496=0,"",IF(C496=0,"",IF(D496=0,"",IF(E496=0,"",IF(G496/F496-1&lt;-0.25,G496/F496-1,IF(G496/F496-1&gt;0.25,G496/F496-1,""))))))</f>
        <v/>
      </c>
      <c r="I496" s="263"/>
      <c r="K496" s="257"/>
      <c r="L496" s="257"/>
    </row>
    <row r="497" spans="1:12" ht="12.6" customHeight="1" x14ac:dyDescent="0.25">
      <c r="A497" s="180" t="s">
        <v>513</v>
      </c>
      <c r="B497" s="236">
        <f>'Prior Year'!D72</f>
        <v>0</v>
      </c>
      <c r="C497" s="236">
        <f>D71</f>
        <v>0</v>
      </c>
      <c r="D497" s="236">
        <f>'Prior Year'!D59</f>
        <v>0</v>
      </c>
      <c r="E497" s="180">
        <f>D59</f>
        <v>0</v>
      </c>
      <c r="F497" s="259" t="str">
        <f t="shared" si="15"/>
        <v/>
      </c>
      <c r="G497" s="259" t="str">
        <f t="shared" si="15"/>
        <v/>
      </c>
      <c r="H497" s="261" t="str">
        <f t="shared" ref="H497:H550" si="16">IF(B497=0,"",IF(C497=0,"",IF(D497=0,"",IF(E497=0,"",IF(G497/F497-1&lt;-0.25,G497/F497-1,IF(G497/F497-1&gt;0.25,G497/F497-1,""))))))</f>
        <v/>
      </c>
      <c r="I497" s="263"/>
      <c r="K497" s="257"/>
      <c r="L497" s="257"/>
    </row>
    <row r="498" spans="1:12" ht="12.6" customHeight="1" x14ac:dyDescent="0.25">
      <c r="A498" s="180" t="s">
        <v>514</v>
      </c>
      <c r="B498" s="236">
        <f>'Prior Year'!E72</f>
        <v>947060</v>
      </c>
      <c r="C498" s="236">
        <f>E71</f>
        <v>977011</v>
      </c>
      <c r="D498" s="236">
        <f>'Prior Year'!E59</f>
        <v>737</v>
      </c>
      <c r="E498" s="180">
        <f>E59</f>
        <v>659</v>
      </c>
      <c r="F498" s="259">
        <f t="shared" si="15"/>
        <v>1285.0203527815468</v>
      </c>
      <c r="G498" s="259">
        <f t="shared" si="15"/>
        <v>1482.5660091047041</v>
      </c>
      <c r="H498" s="261" t="str">
        <f t="shared" si="16"/>
        <v/>
      </c>
      <c r="I498" s="263"/>
      <c r="K498" s="257"/>
      <c r="L498" s="257"/>
    </row>
    <row r="499" spans="1:12" ht="12.6" customHeight="1" x14ac:dyDescent="0.25">
      <c r="A499" s="180" t="s">
        <v>515</v>
      </c>
      <c r="B499" s="236">
        <f>'Prior Year'!F72</f>
        <v>0</v>
      </c>
      <c r="C499" s="236">
        <f>F71</f>
        <v>0</v>
      </c>
      <c r="D499" s="236">
        <f>'Prior Year'!F59</f>
        <v>0</v>
      </c>
      <c r="E499" s="180">
        <f>F59</f>
        <v>0</v>
      </c>
      <c r="F499" s="259" t="str">
        <f t="shared" si="15"/>
        <v/>
      </c>
      <c r="G499" s="259" t="str">
        <f t="shared" si="15"/>
        <v/>
      </c>
      <c r="H499" s="261" t="str">
        <f t="shared" si="16"/>
        <v/>
      </c>
      <c r="I499" s="263"/>
      <c r="K499" s="257"/>
      <c r="L499" s="257"/>
    </row>
    <row r="500" spans="1:12" ht="12.6" customHeight="1" x14ac:dyDescent="0.25">
      <c r="A500" s="180" t="s">
        <v>516</v>
      </c>
      <c r="B500" s="236">
        <f>'Prior Year'!G72</f>
        <v>0</v>
      </c>
      <c r="C500" s="236">
        <f>G71</f>
        <v>0</v>
      </c>
      <c r="D500" s="236">
        <f>'Prior Year'!G59</f>
        <v>0</v>
      </c>
      <c r="E500" s="180">
        <f>G59</f>
        <v>0</v>
      </c>
      <c r="F500" s="259" t="str">
        <f t="shared" si="15"/>
        <v/>
      </c>
      <c r="G500" s="259" t="str">
        <f t="shared" si="15"/>
        <v/>
      </c>
      <c r="H500" s="261" t="str">
        <f t="shared" si="16"/>
        <v/>
      </c>
      <c r="I500" s="263"/>
      <c r="K500" s="257"/>
      <c r="L500" s="257"/>
    </row>
    <row r="501" spans="1:12" ht="12.6" customHeight="1" x14ac:dyDescent="0.25">
      <c r="A501" s="180" t="s">
        <v>517</v>
      </c>
      <c r="B501" s="236">
        <f>'Prior Year'!H72</f>
        <v>0</v>
      </c>
      <c r="C501" s="236">
        <f>H71</f>
        <v>0</v>
      </c>
      <c r="D501" s="236">
        <f>'Prior Year'!H59</f>
        <v>0</v>
      </c>
      <c r="E501" s="180">
        <f>H59</f>
        <v>0</v>
      </c>
      <c r="F501" s="259" t="str">
        <f t="shared" si="15"/>
        <v/>
      </c>
      <c r="G501" s="259" t="str">
        <f t="shared" si="15"/>
        <v/>
      </c>
      <c r="H501" s="261" t="str">
        <f t="shared" si="16"/>
        <v/>
      </c>
      <c r="I501" s="263"/>
      <c r="K501" s="257"/>
      <c r="L501" s="257"/>
    </row>
    <row r="502" spans="1:12" ht="12.6" customHeight="1" x14ac:dyDescent="0.25">
      <c r="A502" s="180" t="s">
        <v>518</v>
      </c>
      <c r="B502" s="236">
        <f>'Prior Year'!I72</f>
        <v>247066</v>
      </c>
      <c r="C502" s="236">
        <f>I71</f>
        <v>235232</v>
      </c>
      <c r="D502" s="236">
        <f>'Prior Year'!I59</f>
        <v>510</v>
      </c>
      <c r="E502" s="180">
        <f>I59</f>
        <v>438</v>
      </c>
      <c r="F502" s="259">
        <f t="shared" si="15"/>
        <v>484.44313725490196</v>
      </c>
      <c r="G502" s="259">
        <f t="shared" si="15"/>
        <v>537.05936073059365</v>
      </c>
      <c r="H502" s="261" t="str">
        <f t="shared" si="16"/>
        <v/>
      </c>
      <c r="I502" s="263"/>
      <c r="K502" s="257"/>
      <c r="L502" s="257"/>
    </row>
    <row r="503" spans="1:12" ht="12.6" customHeight="1" x14ac:dyDescent="0.25">
      <c r="A503" s="180" t="s">
        <v>519</v>
      </c>
      <c r="B503" s="236">
        <f>'Prior Year'!J72</f>
        <v>11164</v>
      </c>
      <c r="C503" s="236">
        <f>J71</f>
        <v>10914</v>
      </c>
      <c r="D503" s="236">
        <f>'Prior Year'!J59</f>
        <v>0</v>
      </c>
      <c r="E503" s="180">
        <f>J59</f>
        <v>133</v>
      </c>
      <c r="F503" s="259" t="str">
        <f t="shared" si="15"/>
        <v/>
      </c>
      <c r="G503" s="259">
        <f t="shared" si="15"/>
        <v>82.060150375939855</v>
      </c>
      <c r="H503" s="261" t="str">
        <f t="shared" si="16"/>
        <v/>
      </c>
      <c r="I503" s="263"/>
      <c r="K503" s="257"/>
      <c r="L503" s="257"/>
    </row>
    <row r="504" spans="1:12" ht="12.6" customHeight="1" x14ac:dyDescent="0.25">
      <c r="A504" s="180" t="s">
        <v>520</v>
      </c>
      <c r="B504" s="236">
        <f>'Prior Year'!K72</f>
        <v>0</v>
      </c>
      <c r="C504" s="236">
        <f>K71</f>
        <v>0</v>
      </c>
      <c r="D504" s="236">
        <f>'Prior Year'!K59</f>
        <v>0</v>
      </c>
      <c r="E504" s="180">
        <f>K59</f>
        <v>0</v>
      </c>
      <c r="F504" s="259" t="str">
        <f t="shared" si="15"/>
        <v/>
      </c>
      <c r="G504" s="259" t="str">
        <f t="shared" si="15"/>
        <v/>
      </c>
      <c r="H504" s="261" t="str">
        <f t="shared" si="16"/>
        <v/>
      </c>
      <c r="I504" s="263"/>
      <c r="K504" s="257"/>
      <c r="L504" s="257"/>
    </row>
    <row r="505" spans="1:12" ht="12.6" customHeight="1" x14ac:dyDescent="0.25">
      <c r="A505" s="180" t="s">
        <v>521</v>
      </c>
      <c r="B505" s="236">
        <f>'Prior Year'!L72</f>
        <v>2867447</v>
      </c>
      <c r="C505" s="236">
        <f>L71</f>
        <v>2751216</v>
      </c>
      <c r="D505" s="236">
        <f>'Prior Year'!L59</f>
        <v>4910</v>
      </c>
      <c r="E505" s="180">
        <f>L59</f>
        <v>3983</v>
      </c>
      <c r="F505" s="259">
        <f t="shared" si="15"/>
        <v>584.00142566191448</v>
      </c>
      <c r="G505" s="259">
        <f t="shared" si="15"/>
        <v>690.73964348481047</v>
      </c>
      <c r="H505" s="261" t="str">
        <f t="shared" si="16"/>
        <v/>
      </c>
      <c r="I505" s="263"/>
      <c r="K505" s="257"/>
      <c r="L505" s="257"/>
    </row>
    <row r="506" spans="1:12" ht="12.6" customHeight="1" x14ac:dyDescent="0.25">
      <c r="A506" s="180" t="s">
        <v>522</v>
      </c>
      <c r="B506" s="236">
        <f>'Prior Year'!M72</f>
        <v>0</v>
      </c>
      <c r="C506" s="236">
        <f>M71</f>
        <v>0</v>
      </c>
      <c r="D506" s="236">
        <f>'Prior Year'!M59</f>
        <v>0</v>
      </c>
      <c r="E506" s="180">
        <f>M59</f>
        <v>0</v>
      </c>
      <c r="F506" s="259" t="str">
        <f t="shared" si="15"/>
        <v/>
      </c>
      <c r="G506" s="259" t="str">
        <f t="shared" si="15"/>
        <v/>
      </c>
      <c r="H506" s="261" t="str">
        <f t="shared" si="16"/>
        <v/>
      </c>
      <c r="I506" s="263"/>
      <c r="K506" s="257"/>
      <c r="L506" s="257"/>
    </row>
    <row r="507" spans="1:12" ht="12.6" customHeight="1" x14ac:dyDescent="0.25">
      <c r="A507" s="180" t="s">
        <v>523</v>
      </c>
      <c r="B507" s="236">
        <f>'Prior Year'!N72</f>
        <v>0</v>
      </c>
      <c r="C507" s="236">
        <f>N71</f>
        <v>0</v>
      </c>
      <c r="D507" s="236">
        <f>'Prior Year'!N59</f>
        <v>0</v>
      </c>
      <c r="E507" s="180">
        <f>N59</f>
        <v>0</v>
      </c>
      <c r="F507" s="259" t="str">
        <f t="shared" si="15"/>
        <v/>
      </c>
      <c r="G507" s="259" t="str">
        <f t="shared" si="15"/>
        <v/>
      </c>
      <c r="H507" s="261" t="str">
        <f t="shared" si="16"/>
        <v/>
      </c>
      <c r="I507" s="263"/>
      <c r="K507" s="257"/>
      <c r="L507" s="257"/>
    </row>
    <row r="508" spans="1:12" ht="12.6" customHeight="1" x14ac:dyDescent="0.25">
      <c r="A508" s="180" t="s">
        <v>524</v>
      </c>
      <c r="B508" s="236">
        <f>'Prior Year'!O72</f>
        <v>678571</v>
      </c>
      <c r="C508" s="236">
        <f>O71</f>
        <v>596087</v>
      </c>
      <c r="D508" s="236">
        <f>'Prior Year'!O59</f>
        <v>0</v>
      </c>
      <c r="E508" s="180">
        <f>O59</f>
        <v>0</v>
      </c>
      <c r="F508" s="259" t="str">
        <f t="shared" si="15"/>
        <v/>
      </c>
      <c r="G508" s="259" t="str">
        <f t="shared" si="15"/>
        <v/>
      </c>
      <c r="H508" s="261" t="str">
        <f t="shared" si="16"/>
        <v/>
      </c>
      <c r="I508" s="263"/>
      <c r="K508" s="257"/>
      <c r="L508" s="257"/>
    </row>
    <row r="509" spans="1:12" ht="12.6" customHeight="1" x14ac:dyDescent="0.25">
      <c r="A509" s="180" t="s">
        <v>525</v>
      </c>
      <c r="B509" s="236">
        <f>'Prior Year'!P72</f>
        <v>970187</v>
      </c>
      <c r="C509" s="236">
        <f>P71</f>
        <v>956944</v>
      </c>
      <c r="D509" s="236">
        <f>'Prior Year'!P59</f>
        <v>51987</v>
      </c>
      <c r="E509" s="180">
        <f>P59</f>
        <v>0</v>
      </c>
      <c r="F509" s="259">
        <f t="shared" si="15"/>
        <v>18.662107834650971</v>
      </c>
      <c r="G509" s="259" t="str">
        <f t="shared" si="15"/>
        <v/>
      </c>
      <c r="H509" s="261" t="str">
        <f t="shared" si="16"/>
        <v/>
      </c>
      <c r="I509" s="263"/>
      <c r="K509" s="257"/>
      <c r="L509" s="257"/>
    </row>
    <row r="510" spans="1:12" ht="12.6" customHeight="1" x14ac:dyDescent="0.25">
      <c r="A510" s="180" t="s">
        <v>526</v>
      </c>
      <c r="B510" s="236">
        <f>'Prior Year'!Q72</f>
        <v>267688.90000000002</v>
      </c>
      <c r="C510" s="236">
        <f>Q71</f>
        <v>284125</v>
      </c>
      <c r="D510" s="236">
        <f>'Prior Year'!Q59</f>
        <v>39961</v>
      </c>
      <c r="E510" s="180">
        <f>Q59</f>
        <v>0</v>
      </c>
      <c r="F510" s="259">
        <f t="shared" si="15"/>
        <v>6.6987537849403171</v>
      </c>
      <c r="G510" s="259" t="str">
        <f t="shared" si="15"/>
        <v/>
      </c>
      <c r="H510" s="261" t="str">
        <f t="shared" si="16"/>
        <v/>
      </c>
      <c r="I510" s="263"/>
      <c r="K510" s="257"/>
      <c r="L510" s="257"/>
    </row>
    <row r="511" spans="1:12" ht="12.6" customHeight="1" x14ac:dyDescent="0.25">
      <c r="A511" s="180" t="s">
        <v>527</v>
      </c>
      <c r="B511" s="236">
        <f>'Prior Year'!R72</f>
        <v>661868</v>
      </c>
      <c r="C511" s="236">
        <f>R71</f>
        <v>602097</v>
      </c>
      <c r="D511" s="236">
        <f>'Prior Year'!R59</f>
        <v>46218</v>
      </c>
      <c r="E511" s="180">
        <f>R59</f>
        <v>0</v>
      </c>
      <c r="F511" s="259">
        <f t="shared" si="15"/>
        <v>14.320567744168939</v>
      </c>
      <c r="G511" s="259" t="str">
        <f t="shared" si="15"/>
        <v/>
      </c>
      <c r="H511" s="261" t="str">
        <f t="shared" si="16"/>
        <v/>
      </c>
      <c r="I511" s="263"/>
      <c r="K511" s="257"/>
      <c r="L511" s="257"/>
    </row>
    <row r="512" spans="1:12" ht="12.6" customHeight="1" x14ac:dyDescent="0.25">
      <c r="A512" s="180" t="s">
        <v>528</v>
      </c>
      <c r="B512" s="236">
        <f>'Prior Year'!S72</f>
        <v>942384</v>
      </c>
      <c r="C512" s="236">
        <f>S71</f>
        <v>980561</v>
      </c>
      <c r="D512" s="181" t="s">
        <v>529</v>
      </c>
      <c r="E512" s="181" t="s">
        <v>529</v>
      </c>
      <c r="F512" s="259" t="str">
        <f t="shared" ref="F512:G527" si="17">IF(B512=0,"",IF(D512=0,"",B512/D512))</f>
        <v/>
      </c>
      <c r="G512" s="259" t="str">
        <f t="shared" si="17"/>
        <v/>
      </c>
      <c r="H512" s="261" t="str">
        <f t="shared" si="16"/>
        <v/>
      </c>
      <c r="I512" s="263"/>
      <c r="K512" s="257"/>
      <c r="L512" s="257"/>
    </row>
    <row r="513" spans="1:12" ht="12.6" customHeight="1" x14ac:dyDescent="0.25">
      <c r="A513" s="180" t="s">
        <v>1246</v>
      </c>
      <c r="B513" s="236">
        <f>'Prior Year'!T72</f>
        <v>0</v>
      </c>
      <c r="C513" s="236">
        <f>T71</f>
        <v>0</v>
      </c>
      <c r="D513" s="181" t="s">
        <v>529</v>
      </c>
      <c r="E513" s="181" t="s">
        <v>529</v>
      </c>
      <c r="F513" s="259" t="str">
        <f t="shared" si="17"/>
        <v/>
      </c>
      <c r="G513" s="259" t="str">
        <f t="shared" si="17"/>
        <v/>
      </c>
      <c r="H513" s="261" t="str">
        <f t="shared" si="16"/>
        <v/>
      </c>
      <c r="I513" s="263"/>
      <c r="K513" s="257"/>
      <c r="L513" s="257"/>
    </row>
    <row r="514" spans="1:12" ht="12.6" customHeight="1" x14ac:dyDescent="0.25">
      <c r="A514" s="180" t="s">
        <v>530</v>
      </c>
      <c r="B514" s="236">
        <f>'Prior Year'!U72</f>
        <v>1346642</v>
      </c>
      <c r="C514" s="236">
        <f>U71</f>
        <v>1354606</v>
      </c>
      <c r="D514" s="236">
        <f>'Prior Year'!U59</f>
        <v>44695</v>
      </c>
      <c r="E514" s="180">
        <f>U59</f>
        <v>0</v>
      </c>
      <c r="F514" s="259">
        <f t="shared" si="17"/>
        <v>30.129589439534623</v>
      </c>
      <c r="G514" s="259" t="str">
        <f t="shared" si="17"/>
        <v/>
      </c>
      <c r="H514" s="261" t="str">
        <f t="shared" si="16"/>
        <v/>
      </c>
      <c r="I514" s="263"/>
      <c r="K514" s="257"/>
      <c r="L514" s="257"/>
    </row>
    <row r="515" spans="1:12" ht="12.6" customHeight="1" x14ac:dyDescent="0.25">
      <c r="A515" s="180" t="s">
        <v>531</v>
      </c>
      <c r="B515" s="236">
        <f>'Prior Year'!V72</f>
        <v>0</v>
      </c>
      <c r="C515" s="236">
        <f>V71</f>
        <v>0</v>
      </c>
      <c r="D515" s="236">
        <f>'Prior Year'!V59</f>
        <v>0</v>
      </c>
      <c r="E515" s="180">
        <f>V59</f>
        <v>0</v>
      </c>
      <c r="F515" s="259" t="str">
        <f t="shared" si="17"/>
        <v/>
      </c>
      <c r="G515" s="259" t="str">
        <f t="shared" si="17"/>
        <v/>
      </c>
      <c r="H515" s="261" t="str">
        <f t="shared" si="16"/>
        <v/>
      </c>
      <c r="I515" s="263"/>
      <c r="K515" s="257"/>
      <c r="L515" s="257"/>
    </row>
    <row r="516" spans="1:12" ht="12.6" customHeight="1" x14ac:dyDescent="0.25">
      <c r="A516" s="180" t="s">
        <v>532</v>
      </c>
      <c r="B516" s="236">
        <f>'Prior Year'!W72</f>
        <v>0</v>
      </c>
      <c r="C516" s="236">
        <f>W71</f>
        <v>0</v>
      </c>
      <c r="D516" s="236">
        <f>'Prior Year'!W59</f>
        <v>0</v>
      </c>
      <c r="E516" s="180">
        <f>W59</f>
        <v>0</v>
      </c>
      <c r="F516" s="259" t="str">
        <f t="shared" si="17"/>
        <v/>
      </c>
      <c r="G516" s="259" t="str">
        <f t="shared" si="17"/>
        <v/>
      </c>
      <c r="H516" s="261" t="str">
        <f t="shared" si="16"/>
        <v/>
      </c>
      <c r="I516" s="263"/>
      <c r="K516" s="257"/>
      <c r="L516" s="257"/>
    </row>
    <row r="517" spans="1:12" ht="12.6" customHeight="1" x14ac:dyDescent="0.25">
      <c r="A517" s="180" t="s">
        <v>533</v>
      </c>
      <c r="B517" s="236">
        <f>'Prior Year'!X72</f>
        <v>0</v>
      </c>
      <c r="C517" s="236">
        <f>X71</f>
        <v>0</v>
      </c>
      <c r="D517" s="236">
        <f>'Prior Year'!X59</f>
        <v>0</v>
      </c>
      <c r="E517" s="180">
        <f>X59</f>
        <v>0</v>
      </c>
      <c r="F517" s="259" t="str">
        <f t="shared" si="17"/>
        <v/>
      </c>
      <c r="G517" s="259" t="str">
        <f t="shared" si="17"/>
        <v/>
      </c>
      <c r="H517" s="261" t="str">
        <f t="shared" si="16"/>
        <v/>
      </c>
      <c r="I517" s="263"/>
      <c r="K517" s="257"/>
      <c r="L517" s="257"/>
    </row>
    <row r="518" spans="1:12" ht="12.6" customHeight="1" x14ac:dyDescent="0.25">
      <c r="A518" s="180" t="s">
        <v>534</v>
      </c>
      <c r="B518" s="236">
        <f>'Prior Year'!Y72</f>
        <v>1505724</v>
      </c>
      <c r="C518" s="236">
        <f>Y71</f>
        <v>1540815</v>
      </c>
      <c r="D518" s="236">
        <f>'Prior Year'!Y59</f>
        <v>6865</v>
      </c>
      <c r="E518" s="180">
        <f>Y59</f>
        <v>0</v>
      </c>
      <c r="F518" s="259">
        <f t="shared" si="17"/>
        <v>219.33343044428258</v>
      </c>
      <c r="G518" s="259" t="str">
        <f t="shared" si="17"/>
        <v/>
      </c>
      <c r="H518" s="261" t="str">
        <f t="shared" si="16"/>
        <v/>
      </c>
      <c r="I518" s="263"/>
      <c r="K518" s="257"/>
      <c r="L518" s="257"/>
    </row>
    <row r="519" spans="1:12" ht="12.6" customHeight="1" x14ac:dyDescent="0.25">
      <c r="A519" s="180" t="s">
        <v>535</v>
      </c>
      <c r="B519" s="236">
        <f>'Prior Year'!Z72</f>
        <v>0</v>
      </c>
      <c r="C519" s="236">
        <f>Z71</f>
        <v>0</v>
      </c>
      <c r="D519" s="236">
        <f>'Prior Year'!Z59</f>
        <v>0</v>
      </c>
      <c r="E519" s="180">
        <f>Z59</f>
        <v>0</v>
      </c>
      <c r="F519" s="259" t="str">
        <f t="shared" si="17"/>
        <v/>
      </c>
      <c r="G519" s="259" t="str">
        <f t="shared" si="17"/>
        <v/>
      </c>
      <c r="H519" s="261" t="str">
        <f t="shared" si="16"/>
        <v/>
      </c>
      <c r="I519" s="263"/>
      <c r="K519" s="257"/>
      <c r="L519" s="257"/>
    </row>
    <row r="520" spans="1:12" ht="12.6" customHeight="1" x14ac:dyDescent="0.25">
      <c r="A520" s="180" t="s">
        <v>536</v>
      </c>
      <c r="B520" s="236">
        <f>'Prior Year'!AA72</f>
        <v>0</v>
      </c>
      <c r="C520" s="236">
        <f>AA71</f>
        <v>0</v>
      </c>
      <c r="D520" s="236">
        <f>'Prior Year'!AA59</f>
        <v>0</v>
      </c>
      <c r="E520" s="180">
        <f>AA59</f>
        <v>0</v>
      </c>
      <c r="F520" s="259" t="str">
        <f t="shared" si="17"/>
        <v/>
      </c>
      <c r="G520" s="259" t="str">
        <f t="shared" si="17"/>
        <v/>
      </c>
      <c r="H520" s="261" t="str">
        <f t="shared" si="16"/>
        <v/>
      </c>
      <c r="I520" s="263"/>
      <c r="K520" s="257"/>
      <c r="L520" s="257"/>
    </row>
    <row r="521" spans="1:12" ht="12.6" customHeight="1" x14ac:dyDescent="0.25">
      <c r="A521" s="180" t="s">
        <v>537</v>
      </c>
      <c r="B521" s="236">
        <f>'Prior Year'!AB72</f>
        <v>334871.34999999998</v>
      </c>
      <c r="C521" s="236">
        <f>AB71</f>
        <v>130017</v>
      </c>
      <c r="D521" s="181" t="s">
        <v>529</v>
      </c>
      <c r="E521" s="181" t="s">
        <v>529</v>
      </c>
      <c r="F521" s="259" t="str">
        <f t="shared" si="17"/>
        <v/>
      </c>
      <c r="G521" s="259" t="str">
        <f t="shared" si="17"/>
        <v/>
      </c>
      <c r="H521" s="261" t="str">
        <f t="shared" si="16"/>
        <v/>
      </c>
      <c r="I521" s="263"/>
      <c r="K521" s="257"/>
      <c r="L521" s="257"/>
    </row>
    <row r="522" spans="1:12" ht="12.6" customHeight="1" x14ac:dyDescent="0.25">
      <c r="A522" s="180" t="s">
        <v>538</v>
      </c>
      <c r="B522" s="236">
        <f>'Prior Year'!AC72</f>
        <v>161635</v>
      </c>
      <c r="C522" s="236">
        <f>AC71</f>
        <v>109092</v>
      </c>
      <c r="D522" s="236">
        <f>'Prior Year'!AC59</f>
        <v>1798</v>
      </c>
      <c r="E522" s="180">
        <f>AC59</f>
        <v>0</v>
      </c>
      <c r="F522" s="259">
        <f t="shared" si="17"/>
        <v>89.897107897664071</v>
      </c>
      <c r="G522" s="259" t="str">
        <f t="shared" si="17"/>
        <v/>
      </c>
      <c r="H522" s="261" t="str">
        <f t="shared" si="16"/>
        <v/>
      </c>
      <c r="I522" s="263"/>
      <c r="K522" s="257"/>
      <c r="L522" s="257"/>
    </row>
    <row r="523" spans="1:12" ht="12.6" customHeight="1" x14ac:dyDescent="0.25">
      <c r="A523" s="180" t="s">
        <v>539</v>
      </c>
      <c r="B523" s="236">
        <f>'Prior Year'!AD72</f>
        <v>0</v>
      </c>
      <c r="C523" s="236">
        <f>AD71</f>
        <v>0</v>
      </c>
      <c r="D523" s="236">
        <f>'Prior Year'!AD59</f>
        <v>0</v>
      </c>
      <c r="E523" s="180">
        <f>AD59</f>
        <v>0</v>
      </c>
      <c r="F523" s="259" t="str">
        <f t="shared" si="17"/>
        <v/>
      </c>
      <c r="G523" s="259" t="str">
        <f t="shared" si="17"/>
        <v/>
      </c>
      <c r="H523" s="261" t="str">
        <f t="shared" si="16"/>
        <v/>
      </c>
      <c r="I523" s="263"/>
      <c r="K523" s="257"/>
      <c r="L523" s="257"/>
    </row>
    <row r="524" spans="1:12" ht="12.6" customHeight="1" x14ac:dyDescent="0.25">
      <c r="A524" s="180" t="s">
        <v>540</v>
      </c>
      <c r="B524" s="236">
        <f>'Prior Year'!AE72</f>
        <v>539007</v>
      </c>
      <c r="C524" s="236">
        <f>AE71</f>
        <v>466309</v>
      </c>
      <c r="D524" s="236">
        <f>'Prior Year'!AE59</f>
        <v>19913</v>
      </c>
      <c r="E524" s="180">
        <f>AE59</f>
        <v>0</v>
      </c>
      <c r="F524" s="259">
        <f t="shared" si="17"/>
        <v>27.068096218550696</v>
      </c>
      <c r="G524" s="259" t="str">
        <f t="shared" si="17"/>
        <v/>
      </c>
      <c r="H524" s="261" t="str">
        <f t="shared" si="16"/>
        <v/>
      </c>
      <c r="I524" s="263"/>
      <c r="K524" s="257"/>
      <c r="L524" s="257"/>
    </row>
    <row r="525" spans="1:12" ht="12.6" customHeight="1" x14ac:dyDescent="0.25">
      <c r="A525" s="180" t="s">
        <v>541</v>
      </c>
      <c r="B525" s="236">
        <f>'Prior Year'!AF72</f>
        <v>0</v>
      </c>
      <c r="C525" s="236">
        <f>AF71</f>
        <v>0</v>
      </c>
      <c r="D525" s="236">
        <f>'Prior Year'!AF59</f>
        <v>0</v>
      </c>
      <c r="E525" s="180">
        <f>AF59</f>
        <v>0</v>
      </c>
      <c r="F525" s="259" t="str">
        <f t="shared" si="17"/>
        <v/>
      </c>
      <c r="G525" s="259" t="str">
        <f t="shared" si="17"/>
        <v/>
      </c>
      <c r="H525" s="261" t="str">
        <f t="shared" si="16"/>
        <v/>
      </c>
      <c r="I525" s="263"/>
      <c r="K525" s="257"/>
      <c r="L525" s="257"/>
    </row>
    <row r="526" spans="1:12" ht="12.6" customHeight="1" x14ac:dyDescent="0.25">
      <c r="A526" s="180" t="s">
        <v>542</v>
      </c>
      <c r="B526" s="236">
        <f>'Prior Year'!AG72</f>
        <v>2212083</v>
      </c>
      <c r="C526" s="236">
        <f>AG71</f>
        <v>2411021</v>
      </c>
      <c r="D526" s="236">
        <f>'Prior Year'!AG59</f>
        <v>5373</v>
      </c>
      <c r="E526" s="180">
        <f>AG59</f>
        <v>0</v>
      </c>
      <c r="F526" s="259">
        <f t="shared" si="17"/>
        <v>411.7035175879397</v>
      </c>
      <c r="G526" s="259" t="str">
        <f t="shared" si="17"/>
        <v/>
      </c>
      <c r="H526" s="261" t="str">
        <f t="shared" si="16"/>
        <v/>
      </c>
      <c r="I526" s="263"/>
      <c r="K526" s="257"/>
      <c r="L526" s="257"/>
    </row>
    <row r="527" spans="1:12" ht="12.6" customHeight="1" x14ac:dyDescent="0.25">
      <c r="A527" s="180" t="s">
        <v>543</v>
      </c>
      <c r="B527" s="236">
        <f>'Prior Year'!AH72</f>
        <v>1567507</v>
      </c>
      <c r="C527" s="236">
        <f>AH71</f>
        <v>713577</v>
      </c>
      <c r="D527" s="236">
        <f>'Prior Year'!AH59</f>
        <v>1359</v>
      </c>
      <c r="E527" s="180">
        <f>AH59</f>
        <v>0</v>
      </c>
      <c r="F527" s="259">
        <f t="shared" si="17"/>
        <v>1153.4267844002943</v>
      </c>
      <c r="G527" s="259" t="str">
        <f t="shared" si="17"/>
        <v/>
      </c>
      <c r="H527" s="261" t="str">
        <f t="shared" si="16"/>
        <v/>
      </c>
      <c r="I527" s="263"/>
      <c r="K527" s="257"/>
      <c r="L527" s="257"/>
    </row>
    <row r="528" spans="1:12" ht="12.6" customHeight="1" x14ac:dyDescent="0.25">
      <c r="A528" s="180" t="s">
        <v>544</v>
      </c>
      <c r="B528" s="236">
        <f>'Prior Year'!AI72</f>
        <v>0</v>
      </c>
      <c r="C528" s="236">
        <f>AI71</f>
        <v>0</v>
      </c>
      <c r="D528" s="236">
        <f>'Prior Year'!AI59</f>
        <v>0</v>
      </c>
      <c r="E528" s="180">
        <f>AI59</f>
        <v>0</v>
      </c>
      <c r="F528" s="259" t="str">
        <f t="shared" ref="F528:G540" si="18">IF(B528=0,"",IF(D528=0,"",B528/D528))</f>
        <v/>
      </c>
      <c r="G528" s="259" t="str">
        <f t="shared" si="18"/>
        <v/>
      </c>
      <c r="H528" s="261" t="str">
        <f t="shared" si="16"/>
        <v/>
      </c>
      <c r="I528" s="263"/>
      <c r="K528" s="257"/>
      <c r="L528" s="257"/>
    </row>
    <row r="529" spans="1:12" ht="12.6" customHeight="1" x14ac:dyDescent="0.25">
      <c r="A529" s="180" t="s">
        <v>545</v>
      </c>
      <c r="B529" s="236">
        <f>'Prior Year'!AJ72</f>
        <v>5996879.6500000004</v>
      </c>
      <c r="C529" s="236">
        <f>AJ71</f>
        <v>5940211</v>
      </c>
      <c r="D529" s="236">
        <f>'Prior Year'!AJ59</f>
        <v>0</v>
      </c>
      <c r="E529" s="180">
        <f>AJ59</f>
        <v>0</v>
      </c>
      <c r="F529" s="259" t="str">
        <f t="shared" si="18"/>
        <v/>
      </c>
      <c r="G529" s="259" t="str">
        <f t="shared" si="18"/>
        <v/>
      </c>
      <c r="H529" s="261" t="str">
        <f t="shared" si="16"/>
        <v/>
      </c>
      <c r="I529" s="263"/>
      <c r="K529" s="257"/>
      <c r="L529" s="257"/>
    </row>
    <row r="530" spans="1:12" ht="12.6" customHeight="1" x14ac:dyDescent="0.25">
      <c r="A530" s="180" t="s">
        <v>546</v>
      </c>
      <c r="B530" s="236">
        <f>'Prior Year'!AK72</f>
        <v>111605</v>
      </c>
      <c r="C530" s="236">
        <f>AK71</f>
        <v>121994</v>
      </c>
      <c r="D530" s="236">
        <f>'Prior Year'!AK59</f>
        <v>0</v>
      </c>
      <c r="E530" s="180">
        <f>AK59</f>
        <v>0</v>
      </c>
      <c r="F530" s="259" t="str">
        <f t="shared" si="18"/>
        <v/>
      </c>
      <c r="G530" s="259" t="str">
        <f t="shared" si="18"/>
        <v/>
      </c>
      <c r="H530" s="261" t="str">
        <f t="shared" si="16"/>
        <v/>
      </c>
      <c r="I530" s="263"/>
      <c r="K530" s="257"/>
      <c r="L530" s="257"/>
    </row>
    <row r="531" spans="1:12" ht="12.6" customHeight="1" x14ac:dyDescent="0.25">
      <c r="A531" s="180" t="s">
        <v>547</v>
      </c>
      <c r="B531" s="236">
        <f>'Prior Year'!AL72</f>
        <v>0</v>
      </c>
      <c r="C531" s="236">
        <f>AL71</f>
        <v>0</v>
      </c>
      <c r="D531" s="236">
        <f>'Prior Year'!AL59</f>
        <v>0</v>
      </c>
      <c r="E531" s="180">
        <f>AL59</f>
        <v>0</v>
      </c>
      <c r="F531" s="259" t="str">
        <f t="shared" si="18"/>
        <v/>
      </c>
      <c r="G531" s="259" t="str">
        <f t="shared" si="18"/>
        <v/>
      </c>
      <c r="H531" s="261" t="str">
        <f t="shared" si="16"/>
        <v/>
      </c>
      <c r="I531" s="263"/>
      <c r="K531" s="257"/>
      <c r="L531" s="257"/>
    </row>
    <row r="532" spans="1:12" ht="12.6" customHeight="1" x14ac:dyDescent="0.25">
      <c r="A532" s="180" t="s">
        <v>548</v>
      </c>
      <c r="B532" s="236">
        <f>'Prior Year'!AM72</f>
        <v>0</v>
      </c>
      <c r="C532" s="236">
        <f>AM71</f>
        <v>0</v>
      </c>
      <c r="D532" s="236">
        <f>'Prior Year'!AM59</f>
        <v>0</v>
      </c>
      <c r="E532" s="180">
        <f>AM59</f>
        <v>0</v>
      </c>
      <c r="F532" s="259" t="str">
        <f t="shared" si="18"/>
        <v/>
      </c>
      <c r="G532" s="259" t="str">
        <f t="shared" si="18"/>
        <v/>
      </c>
      <c r="H532" s="261" t="str">
        <f t="shared" si="16"/>
        <v/>
      </c>
      <c r="I532" s="263"/>
      <c r="K532" s="257"/>
      <c r="L532" s="257"/>
    </row>
    <row r="533" spans="1:12" ht="12.6" customHeight="1" x14ac:dyDescent="0.25">
      <c r="A533" s="180" t="s">
        <v>1247</v>
      </c>
      <c r="B533" s="236">
        <f>'Prior Year'!AN72</f>
        <v>0</v>
      </c>
      <c r="C533" s="236">
        <f>AN71</f>
        <v>0</v>
      </c>
      <c r="D533" s="236">
        <f>'Prior Year'!AN59</f>
        <v>0</v>
      </c>
      <c r="E533" s="180">
        <f>AN59</f>
        <v>0</v>
      </c>
      <c r="F533" s="259" t="str">
        <f t="shared" si="18"/>
        <v/>
      </c>
      <c r="G533" s="259" t="str">
        <f t="shared" si="18"/>
        <v/>
      </c>
      <c r="H533" s="261" t="str">
        <f t="shared" si="16"/>
        <v/>
      </c>
      <c r="I533" s="263"/>
      <c r="K533" s="257"/>
      <c r="L533" s="257"/>
    </row>
    <row r="534" spans="1:12" ht="12.6" customHeight="1" x14ac:dyDescent="0.25">
      <c r="A534" s="180" t="s">
        <v>549</v>
      </c>
      <c r="B534" s="236">
        <f>'Prior Year'!AO72</f>
        <v>0</v>
      </c>
      <c r="C534" s="236">
        <f>AO71</f>
        <v>0</v>
      </c>
      <c r="D534" s="236">
        <f>'Prior Year'!AO59</f>
        <v>0</v>
      </c>
      <c r="E534" s="180">
        <f>AO59</f>
        <v>0</v>
      </c>
      <c r="F534" s="259" t="str">
        <f t="shared" si="18"/>
        <v/>
      </c>
      <c r="G534" s="259" t="str">
        <f t="shared" si="18"/>
        <v/>
      </c>
      <c r="H534" s="261" t="str">
        <f t="shared" si="16"/>
        <v/>
      </c>
      <c r="I534" s="263"/>
      <c r="K534" s="257"/>
      <c r="L534" s="257"/>
    </row>
    <row r="535" spans="1:12" ht="12.6" customHeight="1" x14ac:dyDescent="0.25">
      <c r="A535" s="180" t="s">
        <v>550</v>
      </c>
      <c r="B535" s="236">
        <f>'Prior Year'!AP72</f>
        <v>0</v>
      </c>
      <c r="C535" s="236">
        <f>AP71</f>
        <v>0</v>
      </c>
      <c r="D535" s="236">
        <f>'Prior Year'!AP59</f>
        <v>0</v>
      </c>
      <c r="E535" s="180">
        <f>AP59</f>
        <v>0</v>
      </c>
      <c r="F535" s="259" t="str">
        <f t="shared" si="18"/>
        <v/>
      </c>
      <c r="G535" s="259" t="str">
        <f t="shared" si="18"/>
        <v/>
      </c>
      <c r="H535" s="261" t="str">
        <f t="shared" si="16"/>
        <v/>
      </c>
      <c r="I535" s="263"/>
      <c r="K535" s="257"/>
      <c r="L535" s="257"/>
    </row>
    <row r="536" spans="1:12" ht="12.6" customHeight="1" x14ac:dyDescent="0.25">
      <c r="A536" s="180" t="s">
        <v>551</v>
      </c>
      <c r="B536" s="236">
        <f>'Prior Year'!AQ72</f>
        <v>0</v>
      </c>
      <c r="C536" s="236">
        <f>AQ71</f>
        <v>0</v>
      </c>
      <c r="D536" s="236">
        <f>'Prior Year'!AQ59</f>
        <v>0</v>
      </c>
      <c r="E536" s="180">
        <f>AQ59</f>
        <v>0</v>
      </c>
      <c r="F536" s="259" t="str">
        <f t="shared" si="18"/>
        <v/>
      </c>
      <c r="G536" s="259" t="str">
        <f t="shared" si="18"/>
        <v/>
      </c>
      <c r="H536" s="261" t="str">
        <f t="shared" si="16"/>
        <v/>
      </c>
      <c r="I536" s="263"/>
      <c r="K536" s="257"/>
      <c r="L536" s="257"/>
    </row>
    <row r="537" spans="1:12" ht="12.6" customHeight="1" x14ac:dyDescent="0.25">
      <c r="A537" s="180" t="s">
        <v>552</v>
      </c>
      <c r="B537" s="236">
        <f>'Prior Year'!AR72</f>
        <v>1835</v>
      </c>
      <c r="C537" s="236">
        <f>AR71</f>
        <v>-1784</v>
      </c>
      <c r="D537" s="236">
        <f>'Prior Year'!AR59</f>
        <v>0</v>
      </c>
      <c r="E537" s="180">
        <f>AR59</f>
        <v>0</v>
      </c>
      <c r="F537" s="259" t="str">
        <f t="shared" si="18"/>
        <v/>
      </c>
      <c r="G537" s="259" t="str">
        <f t="shared" si="18"/>
        <v/>
      </c>
      <c r="H537" s="261" t="str">
        <f t="shared" si="16"/>
        <v/>
      </c>
      <c r="I537" s="263"/>
      <c r="K537" s="257"/>
      <c r="L537" s="257"/>
    </row>
    <row r="538" spans="1:12" ht="12.6" customHeight="1" x14ac:dyDescent="0.25">
      <c r="A538" s="180" t="s">
        <v>553</v>
      </c>
      <c r="B538" s="236">
        <f>'Prior Year'!AS72</f>
        <v>0</v>
      </c>
      <c r="C538" s="236">
        <f>AS71</f>
        <v>0</v>
      </c>
      <c r="D538" s="236">
        <f>'Prior Year'!AS59</f>
        <v>0</v>
      </c>
      <c r="E538" s="180">
        <f>AS59</f>
        <v>0</v>
      </c>
      <c r="F538" s="259" t="str">
        <f t="shared" si="18"/>
        <v/>
      </c>
      <c r="G538" s="259" t="str">
        <f t="shared" si="18"/>
        <v/>
      </c>
      <c r="H538" s="261" t="str">
        <f t="shared" si="16"/>
        <v/>
      </c>
      <c r="I538" s="263"/>
      <c r="K538" s="257"/>
      <c r="L538" s="257"/>
    </row>
    <row r="539" spans="1:12" ht="12.6" customHeight="1" x14ac:dyDescent="0.25">
      <c r="A539" s="180" t="s">
        <v>554</v>
      </c>
      <c r="B539" s="236">
        <f>'Prior Year'!AT72</f>
        <v>0</v>
      </c>
      <c r="C539" s="236">
        <f>AT71</f>
        <v>0</v>
      </c>
      <c r="D539" s="236">
        <f>'Prior Year'!AT59</f>
        <v>0</v>
      </c>
      <c r="E539" s="180">
        <f>AT59</f>
        <v>0</v>
      </c>
      <c r="F539" s="259" t="str">
        <f t="shared" si="18"/>
        <v/>
      </c>
      <c r="G539" s="259" t="str">
        <f t="shared" si="18"/>
        <v/>
      </c>
      <c r="H539" s="261" t="str">
        <f t="shared" si="16"/>
        <v/>
      </c>
      <c r="I539" s="263"/>
      <c r="K539" s="257"/>
      <c r="L539" s="257"/>
    </row>
    <row r="540" spans="1:12" ht="12.6" customHeight="1" x14ac:dyDescent="0.25">
      <c r="A540" s="180" t="s">
        <v>555</v>
      </c>
      <c r="B540" s="236">
        <f>'Prior Year'!AU72</f>
        <v>0</v>
      </c>
      <c r="C540" s="236">
        <f>AU71</f>
        <v>0</v>
      </c>
      <c r="D540" s="236">
        <f>'Prior Year'!AU59</f>
        <v>0</v>
      </c>
      <c r="E540" s="180">
        <f>AU59</f>
        <v>0</v>
      </c>
      <c r="F540" s="259" t="str">
        <f t="shared" si="18"/>
        <v/>
      </c>
      <c r="G540" s="259" t="str">
        <f t="shared" si="18"/>
        <v/>
      </c>
      <c r="H540" s="261" t="str">
        <f t="shared" si="16"/>
        <v/>
      </c>
      <c r="I540" s="263"/>
      <c r="K540" s="257"/>
      <c r="L540" s="257"/>
    </row>
    <row r="541" spans="1:12" ht="12.6" customHeight="1" x14ac:dyDescent="0.25">
      <c r="A541" s="180" t="s">
        <v>556</v>
      </c>
      <c r="B541" s="236">
        <f>'Prior Year'!AV72</f>
        <v>279</v>
      </c>
      <c r="C541" s="236">
        <f>AV71</f>
        <v>1250</v>
      </c>
      <c r="D541" s="181" t="s">
        <v>529</v>
      </c>
      <c r="E541" s="181" t="s">
        <v>529</v>
      </c>
      <c r="F541" s="259"/>
      <c r="G541" s="259"/>
      <c r="H541" s="261"/>
      <c r="I541" s="263"/>
      <c r="K541" s="257"/>
      <c r="L541" s="257"/>
    </row>
    <row r="542" spans="1:12" ht="12.6" customHeight="1" x14ac:dyDescent="0.25">
      <c r="A542" s="180" t="s">
        <v>1248</v>
      </c>
      <c r="B542" s="236">
        <f>'Prior Year'!AW72</f>
        <v>0</v>
      </c>
      <c r="C542" s="236">
        <f>AW71</f>
        <v>0</v>
      </c>
      <c r="D542" s="181" t="s">
        <v>529</v>
      </c>
      <c r="E542" s="181" t="s">
        <v>529</v>
      </c>
      <c r="F542" s="259"/>
      <c r="G542" s="259"/>
      <c r="H542" s="261"/>
      <c r="I542" s="263"/>
      <c r="K542" s="257"/>
      <c r="L542" s="257"/>
    </row>
    <row r="543" spans="1:12" ht="12.6" customHeight="1" x14ac:dyDescent="0.25">
      <c r="A543" s="180" t="s">
        <v>557</v>
      </c>
      <c r="B543" s="236">
        <f>'Prior Year'!AX72</f>
        <v>0</v>
      </c>
      <c r="C543" s="236">
        <f>AX71</f>
        <v>0</v>
      </c>
      <c r="D543" s="181" t="s">
        <v>529</v>
      </c>
      <c r="E543" s="181" t="s">
        <v>529</v>
      </c>
      <c r="F543" s="259"/>
      <c r="G543" s="259"/>
      <c r="H543" s="261"/>
      <c r="I543" s="263"/>
      <c r="K543" s="257"/>
      <c r="L543" s="257"/>
    </row>
    <row r="544" spans="1:12" ht="12.6" customHeight="1" x14ac:dyDescent="0.25">
      <c r="A544" s="180" t="s">
        <v>558</v>
      </c>
      <c r="B544" s="236">
        <f>'Prior Year'!AY72</f>
        <v>561544</v>
      </c>
      <c r="C544" s="236">
        <f>AY71</f>
        <v>539418</v>
      </c>
      <c r="D544" s="236">
        <f>'Prior Year'!AY59</f>
        <v>18463</v>
      </c>
      <c r="E544" s="180">
        <f>AY59</f>
        <v>15098</v>
      </c>
      <c r="F544" s="259">
        <f t="shared" ref="F544:G550" si="19">IF(B544=0,"",IF(D544=0,"",B544/D544))</f>
        <v>30.41455884742458</v>
      </c>
      <c r="G544" s="259">
        <f t="shared" si="19"/>
        <v>35.727778513710426</v>
      </c>
      <c r="H544" s="261" t="str">
        <f t="shared" si="16"/>
        <v/>
      </c>
      <c r="I544" s="263"/>
      <c r="K544" s="257"/>
      <c r="L544" s="257"/>
    </row>
    <row r="545" spans="1:13" ht="12.6" customHeight="1" x14ac:dyDescent="0.25">
      <c r="A545" s="180" t="s">
        <v>559</v>
      </c>
      <c r="B545" s="236">
        <f>'Prior Year'!AZ72</f>
        <v>5090</v>
      </c>
      <c r="C545" s="236">
        <f>AZ71</f>
        <v>8494</v>
      </c>
      <c r="D545" s="236">
        <f>'Prior Year'!AZ59</f>
        <v>0</v>
      </c>
      <c r="E545" s="180">
        <f>AZ59</f>
        <v>0</v>
      </c>
      <c r="F545" s="259" t="str">
        <f t="shared" si="19"/>
        <v/>
      </c>
      <c r="G545" s="259" t="str">
        <f t="shared" si="19"/>
        <v/>
      </c>
      <c r="H545" s="261" t="str">
        <f t="shared" si="16"/>
        <v/>
      </c>
      <c r="I545" s="263"/>
      <c r="K545" s="257"/>
      <c r="L545" s="257"/>
    </row>
    <row r="546" spans="1:13" ht="12.6" customHeight="1" x14ac:dyDescent="0.25">
      <c r="A546" s="180" t="s">
        <v>560</v>
      </c>
      <c r="B546" s="236">
        <f>'Prior Year'!BA72</f>
        <v>125599</v>
      </c>
      <c r="C546" s="236">
        <f>BA71</f>
        <v>119601</v>
      </c>
      <c r="D546" s="236">
        <f>'Prior Year'!BA59</f>
        <v>0</v>
      </c>
      <c r="E546" s="180">
        <f>BA59</f>
        <v>0</v>
      </c>
      <c r="F546" s="259" t="str">
        <f t="shared" si="19"/>
        <v/>
      </c>
      <c r="G546" s="259" t="str">
        <f t="shared" si="19"/>
        <v/>
      </c>
      <c r="H546" s="261" t="str">
        <f t="shared" si="16"/>
        <v/>
      </c>
      <c r="I546" s="263"/>
      <c r="K546" s="257"/>
      <c r="L546" s="257"/>
    </row>
    <row r="547" spans="1:13" ht="12.6" customHeight="1" x14ac:dyDescent="0.25">
      <c r="A547" s="180" t="s">
        <v>561</v>
      </c>
      <c r="B547" s="236">
        <f>'Prior Year'!BB72</f>
        <v>79028</v>
      </c>
      <c r="C547" s="236">
        <f>BB71</f>
        <v>79144</v>
      </c>
      <c r="D547" s="181" t="s">
        <v>529</v>
      </c>
      <c r="E547" s="181" t="s">
        <v>529</v>
      </c>
      <c r="F547" s="259"/>
      <c r="G547" s="259"/>
      <c r="H547" s="261"/>
      <c r="I547" s="263"/>
      <c r="K547" s="257"/>
      <c r="L547" s="257"/>
    </row>
    <row r="548" spans="1:13" ht="12.6" customHeight="1" x14ac:dyDescent="0.25">
      <c r="A548" s="180" t="s">
        <v>562</v>
      </c>
      <c r="B548" s="236">
        <f>'Prior Year'!BC72</f>
        <v>0</v>
      </c>
      <c r="C548" s="236">
        <f>BC71</f>
        <v>0</v>
      </c>
      <c r="D548" s="181" t="s">
        <v>529</v>
      </c>
      <c r="E548" s="181" t="s">
        <v>529</v>
      </c>
      <c r="F548" s="259"/>
      <c r="G548" s="259"/>
      <c r="H548" s="261"/>
      <c r="I548" s="263"/>
      <c r="K548" s="257"/>
      <c r="L548" s="257"/>
    </row>
    <row r="549" spans="1:13" ht="12.6" customHeight="1" x14ac:dyDescent="0.25">
      <c r="A549" s="180" t="s">
        <v>563</v>
      </c>
      <c r="B549" s="236">
        <f>'Prior Year'!BD72</f>
        <v>0</v>
      </c>
      <c r="C549" s="236">
        <f>BD71</f>
        <v>0</v>
      </c>
      <c r="D549" s="181" t="s">
        <v>529</v>
      </c>
      <c r="E549" s="181" t="s">
        <v>529</v>
      </c>
      <c r="F549" s="259"/>
      <c r="G549" s="259"/>
      <c r="H549" s="261"/>
      <c r="I549" s="263"/>
      <c r="K549" s="257"/>
      <c r="L549" s="257"/>
    </row>
    <row r="550" spans="1:13" ht="12.6" customHeight="1" x14ac:dyDescent="0.25">
      <c r="A550" s="180" t="s">
        <v>564</v>
      </c>
      <c r="B550" s="236">
        <f>'Prior Year'!BE72</f>
        <v>486566</v>
      </c>
      <c r="C550" s="236">
        <f>BE71</f>
        <v>437501</v>
      </c>
      <c r="D550" s="236">
        <f>'Prior Year'!BE59</f>
        <v>37424</v>
      </c>
      <c r="E550" s="180">
        <f>BE59</f>
        <v>35649</v>
      </c>
      <c r="F550" s="259">
        <f t="shared" si="19"/>
        <v>13.001442924326636</v>
      </c>
      <c r="G550" s="259">
        <f t="shared" si="19"/>
        <v>12.272462060646863</v>
      </c>
      <c r="H550" s="261" t="str">
        <f t="shared" si="16"/>
        <v/>
      </c>
      <c r="I550" s="263"/>
      <c r="K550" s="257"/>
      <c r="L550" s="257"/>
    </row>
    <row r="551" spans="1:13" ht="12.6" customHeight="1" x14ac:dyDescent="0.25">
      <c r="A551" s="180" t="s">
        <v>565</v>
      </c>
      <c r="B551" s="236">
        <f>'Prior Year'!BF72</f>
        <v>251961</v>
      </c>
      <c r="C551" s="236">
        <f>BF71</f>
        <v>249466</v>
      </c>
      <c r="D551" s="181" t="s">
        <v>529</v>
      </c>
      <c r="E551" s="181" t="s">
        <v>529</v>
      </c>
      <c r="F551" s="259"/>
      <c r="G551" s="259"/>
      <c r="H551" s="261"/>
      <c r="I551" s="263"/>
      <c r="J551" s="197"/>
      <c r="M551" s="261"/>
    </row>
    <row r="552" spans="1:13" ht="12.6" customHeight="1" x14ac:dyDescent="0.25">
      <c r="A552" s="180" t="s">
        <v>566</v>
      </c>
      <c r="B552" s="236">
        <f>'Prior Year'!BG72</f>
        <v>0</v>
      </c>
      <c r="C552" s="236">
        <f>BG71</f>
        <v>0</v>
      </c>
      <c r="D552" s="181" t="s">
        <v>529</v>
      </c>
      <c r="E552" s="181" t="s">
        <v>529</v>
      </c>
      <c r="F552" s="259"/>
      <c r="G552" s="259"/>
      <c r="H552" s="261"/>
      <c r="J552" s="197"/>
      <c r="M552" s="261"/>
    </row>
    <row r="553" spans="1:13" ht="12.6" customHeight="1" x14ac:dyDescent="0.25">
      <c r="A553" s="180" t="s">
        <v>567</v>
      </c>
      <c r="B553" s="236">
        <f>'Prior Year'!BH72</f>
        <v>0</v>
      </c>
      <c r="C553" s="236">
        <f>BH71</f>
        <v>0</v>
      </c>
      <c r="D553" s="181" t="s">
        <v>529</v>
      </c>
      <c r="E553" s="181" t="s">
        <v>529</v>
      </c>
      <c r="F553" s="259"/>
      <c r="G553" s="259"/>
      <c r="H553" s="261"/>
      <c r="J553" s="197"/>
      <c r="M553" s="261"/>
    </row>
    <row r="554" spans="1:13" ht="12.6" customHeight="1" x14ac:dyDescent="0.25">
      <c r="A554" s="180" t="s">
        <v>568</v>
      </c>
      <c r="B554" s="236">
        <f>'Prior Year'!BI72</f>
        <v>0</v>
      </c>
      <c r="C554" s="236">
        <f>BI71</f>
        <v>0</v>
      </c>
      <c r="D554" s="181" t="s">
        <v>529</v>
      </c>
      <c r="E554" s="181" t="s">
        <v>529</v>
      </c>
      <c r="F554" s="259"/>
      <c r="G554" s="259"/>
      <c r="H554" s="261"/>
      <c r="J554" s="197"/>
      <c r="M554" s="261"/>
    </row>
    <row r="555" spans="1:13" ht="12.6" customHeight="1" x14ac:dyDescent="0.25">
      <c r="A555" s="180" t="s">
        <v>569</v>
      </c>
      <c r="B555" s="236">
        <f>'Prior Year'!BJ72</f>
        <v>624281</v>
      </c>
      <c r="C555" s="236">
        <f>BJ71</f>
        <v>671519</v>
      </c>
      <c r="D555" s="181" t="s">
        <v>529</v>
      </c>
      <c r="E555" s="181" t="s">
        <v>529</v>
      </c>
      <c r="F555" s="259"/>
      <c r="G555" s="259"/>
      <c r="H555" s="261"/>
      <c r="J555" s="197"/>
      <c r="M555" s="261"/>
    </row>
    <row r="556" spans="1:13" ht="12.6" customHeight="1" x14ac:dyDescent="0.25">
      <c r="A556" s="180" t="s">
        <v>570</v>
      </c>
      <c r="B556" s="236">
        <f>'Prior Year'!BK72</f>
        <v>0</v>
      </c>
      <c r="C556" s="236">
        <f>BK71</f>
        <v>0</v>
      </c>
      <c r="D556" s="181" t="s">
        <v>529</v>
      </c>
      <c r="E556" s="181" t="s">
        <v>529</v>
      </c>
      <c r="F556" s="259"/>
      <c r="G556" s="259"/>
      <c r="H556" s="261"/>
      <c r="J556" s="197"/>
      <c r="M556" s="261"/>
    </row>
    <row r="557" spans="1:13" ht="12.6" customHeight="1" x14ac:dyDescent="0.25">
      <c r="A557" s="180" t="s">
        <v>571</v>
      </c>
      <c r="B557" s="236">
        <f>'Prior Year'!BL72</f>
        <v>417490</v>
      </c>
      <c r="C557" s="236">
        <f>BL71</f>
        <v>424996</v>
      </c>
      <c r="D557" s="181" t="s">
        <v>529</v>
      </c>
      <c r="E557" s="181" t="s">
        <v>529</v>
      </c>
      <c r="F557" s="259"/>
      <c r="G557" s="259"/>
      <c r="H557" s="261"/>
      <c r="J557" s="197"/>
      <c r="M557" s="261"/>
    </row>
    <row r="558" spans="1:13" ht="12.6" customHeight="1" x14ac:dyDescent="0.25">
      <c r="A558" s="180" t="s">
        <v>572</v>
      </c>
      <c r="B558" s="236">
        <f>'Prior Year'!BM72</f>
        <v>0</v>
      </c>
      <c r="C558" s="236">
        <f>BM71</f>
        <v>0</v>
      </c>
      <c r="D558" s="181" t="s">
        <v>529</v>
      </c>
      <c r="E558" s="181" t="s">
        <v>529</v>
      </c>
      <c r="F558" s="259"/>
      <c r="G558" s="259"/>
      <c r="H558" s="261"/>
      <c r="J558" s="197"/>
      <c r="M558" s="261"/>
    </row>
    <row r="559" spans="1:13" ht="12.6" customHeight="1" x14ac:dyDescent="0.25">
      <c r="A559" s="180" t="s">
        <v>573</v>
      </c>
      <c r="B559" s="236">
        <f>'Prior Year'!BN72</f>
        <v>2624582.1</v>
      </c>
      <c r="C559" s="236">
        <f>BN71</f>
        <v>3578637</v>
      </c>
      <c r="D559" s="181" t="s">
        <v>529</v>
      </c>
      <c r="E559" s="181" t="s">
        <v>529</v>
      </c>
      <c r="F559" s="259"/>
      <c r="G559" s="259"/>
      <c r="H559" s="261"/>
      <c r="J559" s="197"/>
      <c r="M559" s="261"/>
    </row>
    <row r="560" spans="1:13" ht="12.6" customHeight="1" x14ac:dyDescent="0.25">
      <c r="A560" s="180" t="s">
        <v>574</v>
      </c>
      <c r="B560" s="236">
        <f>'Prior Year'!BO72</f>
        <v>0</v>
      </c>
      <c r="C560" s="236">
        <f>BO71</f>
        <v>0</v>
      </c>
      <c r="D560" s="181" t="s">
        <v>529</v>
      </c>
      <c r="E560" s="181" t="s">
        <v>529</v>
      </c>
      <c r="F560" s="259"/>
      <c r="G560" s="259"/>
      <c r="H560" s="261"/>
      <c r="J560" s="197"/>
      <c r="M560" s="261"/>
    </row>
    <row r="561" spans="1:13" ht="12.6" customHeight="1" x14ac:dyDescent="0.25">
      <c r="A561" s="180" t="s">
        <v>575</v>
      </c>
      <c r="B561" s="236">
        <f>'Prior Year'!BP72</f>
        <v>0</v>
      </c>
      <c r="C561" s="236">
        <f>BP71</f>
        <v>0</v>
      </c>
      <c r="D561" s="181" t="s">
        <v>529</v>
      </c>
      <c r="E561" s="181" t="s">
        <v>529</v>
      </c>
      <c r="F561" s="259"/>
      <c r="G561" s="259"/>
      <c r="H561" s="261"/>
      <c r="J561" s="197"/>
      <c r="M561" s="261"/>
    </row>
    <row r="562" spans="1:13" ht="12.6" customHeight="1" x14ac:dyDescent="0.25">
      <c r="A562" s="180" t="s">
        <v>576</v>
      </c>
      <c r="B562" s="236">
        <f>'Prior Year'!BQ72</f>
        <v>0</v>
      </c>
      <c r="C562" s="236">
        <f>BQ71</f>
        <v>0</v>
      </c>
      <c r="D562" s="181" t="s">
        <v>529</v>
      </c>
      <c r="E562" s="181" t="s">
        <v>529</v>
      </c>
      <c r="F562" s="259"/>
      <c r="G562" s="259"/>
      <c r="H562" s="261"/>
      <c r="J562" s="197"/>
      <c r="M562" s="261"/>
    </row>
    <row r="563" spans="1:13" ht="12.6" customHeight="1" x14ac:dyDescent="0.25">
      <c r="A563" s="180" t="s">
        <v>577</v>
      </c>
      <c r="B563" s="236">
        <f>'Prior Year'!BR72</f>
        <v>0</v>
      </c>
      <c r="C563" s="236">
        <f>BR71</f>
        <v>0</v>
      </c>
      <c r="D563" s="181" t="s">
        <v>529</v>
      </c>
      <c r="E563" s="181" t="s">
        <v>529</v>
      </c>
      <c r="F563" s="259"/>
      <c r="G563" s="259"/>
      <c r="H563" s="261"/>
      <c r="J563" s="197"/>
      <c r="M563" s="261"/>
    </row>
    <row r="564" spans="1:13" ht="12.6" customHeight="1" x14ac:dyDescent="0.25">
      <c r="A564" s="180" t="s">
        <v>1249</v>
      </c>
      <c r="B564" s="236">
        <f>'Prior Year'!BS72</f>
        <v>0</v>
      </c>
      <c r="C564" s="236">
        <f>BS71</f>
        <v>0</v>
      </c>
      <c r="D564" s="181" t="s">
        <v>529</v>
      </c>
      <c r="E564" s="181" t="s">
        <v>529</v>
      </c>
      <c r="F564" s="259"/>
      <c r="G564" s="259"/>
      <c r="H564" s="261"/>
      <c r="J564" s="197"/>
      <c r="M564" s="261"/>
    </row>
    <row r="565" spans="1:13" ht="12.6" customHeight="1" x14ac:dyDescent="0.25">
      <c r="A565" s="180" t="s">
        <v>578</v>
      </c>
      <c r="B565" s="236">
        <f>'Prior Year'!BT72</f>
        <v>0</v>
      </c>
      <c r="C565" s="236">
        <f>BT71</f>
        <v>0</v>
      </c>
      <c r="D565" s="181" t="s">
        <v>529</v>
      </c>
      <c r="E565" s="181" t="s">
        <v>529</v>
      </c>
      <c r="F565" s="259"/>
      <c r="G565" s="259"/>
      <c r="H565" s="261"/>
      <c r="J565" s="197"/>
      <c r="M565" s="261"/>
    </row>
    <row r="566" spans="1:13" ht="12.6" customHeight="1" x14ac:dyDescent="0.25">
      <c r="A566" s="180" t="s">
        <v>579</v>
      </c>
      <c r="B566" s="236">
        <f>'Prior Year'!BU72</f>
        <v>0</v>
      </c>
      <c r="C566" s="236">
        <f>BU71</f>
        <v>0</v>
      </c>
      <c r="D566" s="181" t="s">
        <v>529</v>
      </c>
      <c r="E566" s="181" t="s">
        <v>529</v>
      </c>
      <c r="F566" s="259"/>
      <c r="G566" s="259"/>
      <c r="H566" s="261"/>
      <c r="J566" s="197"/>
      <c r="M566" s="261"/>
    </row>
    <row r="567" spans="1:13" ht="12.6" customHeight="1" x14ac:dyDescent="0.25">
      <c r="A567" s="180" t="s">
        <v>580</v>
      </c>
      <c r="B567" s="236">
        <f>'Prior Year'!BV72</f>
        <v>338014</v>
      </c>
      <c r="C567" s="236">
        <f>BV71</f>
        <v>499452</v>
      </c>
      <c r="D567" s="181" t="s">
        <v>529</v>
      </c>
      <c r="E567" s="181" t="s">
        <v>529</v>
      </c>
      <c r="F567" s="259"/>
      <c r="G567" s="259"/>
      <c r="H567" s="261"/>
      <c r="J567" s="197"/>
      <c r="M567" s="261"/>
    </row>
    <row r="568" spans="1:13" ht="12.6" customHeight="1" x14ac:dyDescent="0.25">
      <c r="A568" s="180" t="s">
        <v>581</v>
      </c>
      <c r="B568" s="236">
        <f>'Prior Year'!BW72</f>
        <v>0</v>
      </c>
      <c r="C568" s="236">
        <f>BW71</f>
        <v>0</v>
      </c>
      <c r="D568" s="181" t="s">
        <v>529</v>
      </c>
      <c r="E568" s="181" t="s">
        <v>529</v>
      </c>
      <c r="F568" s="259"/>
      <c r="G568" s="259"/>
      <c r="H568" s="261"/>
      <c r="J568" s="197"/>
      <c r="M568" s="261"/>
    </row>
    <row r="569" spans="1:13" ht="12.6" customHeight="1" x14ac:dyDescent="0.25">
      <c r="A569" s="180" t="s">
        <v>582</v>
      </c>
      <c r="B569" s="236">
        <f>'Prior Year'!BX72</f>
        <v>262072</v>
      </c>
      <c r="C569" s="236">
        <f>BX71</f>
        <v>211366</v>
      </c>
      <c r="D569" s="181" t="s">
        <v>529</v>
      </c>
      <c r="E569" s="181" t="s">
        <v>529</v>
      </c>
      <c r="F569" s="259"/>
      <c r="G569" s="259"/>
      <c r="H569" s="261"/>
      <c r="J569" s="197"/>
      <c r="M569" s="261"/>
    </row>
    <row r="570" spans="1:13" ht="12.6" customHeight="1" x14ac:dyDescent="0.25">
      <c r="A570" s="180" t="s">
        <v>583</v>
      </c>
      <c r="B570" s="236">
        <f>'Prior Year'!BY72</f>
        <v>176356</v>
      </c>
      <c r="C570" s="236">
        <f>BY71</f>
        <v>178041</v>
      </c>
      <c r="D570" s="181" t="s">
        <v>529</v>
      </c>
      <c r="E570" s="181" t="s">
        <v>529</v>
      </c>
      <c r="F570" s="259"/>
      <c r="G570" s="259"/>
      <c r="H570" s="261"/>
      <c r="J570" s="197"/>
      <c r="M570" s="261"/>
    </row>
    <row r="571" spans="1:13" ht="12.6" customHeight="1" x14ac:dyDescent="0.25">
      <c r="A571" s="180" t="s">
        <v>584</v>
      </c>
      <c r="B571" s="236">
        <f>'Prior Year'!BZ72</f>
        <v>0</v>
      </c>
      <c r="C571" s="236">
        <f>BZ71</f>
        <v>0</v>
      </c>
      <c r="D571" s="181" t="s">
        <v>529</v>
      </c>
      <c r="E571" s="181" t="s">
        <v>529</v>
      </c>
      <c r="F571" s="259"/>
      <c r="G571" s="259"/>
      <c r="H571" s="261"/>
      <c r="J571" s="197"/>
      <c r="M571" s="261"/>
    </row>
    <row r="572" spans="1:13" ht="12.6" customHeight="1" x14ac:dyDescent="0.25">
      <c r="A572" s="180" t="s">
        <v>585</v>
      </c>
      <c r="B572" s="236">
        <f>'Prior Year'!CA72</f>
        <v>0</v>
      </c>
      <c r="C572" s="236">
        <f>CA71</f>
        <v>0</v>
      </c>
      <c r="D572" s="181" t="s">
        <v>529</v>
      </c>
      <c r="E572" s="181" t="s">
        <v>529</v>
      </c>
      <c r="F572" s="259"/>
      <c r="G572" s="259"/>
      <c r="H572" s="261"/>
      <c r="J572" s="197"/>
      <c r="M572" s="261"/>
    </row>
    <row r="573" spans="1:13" ht="12.6" customHeight="1" x14ac:dyDescent="0.25">
      <c r="A573" s="180" t="s">
        <v>586</v>
      </c>
      <c r="B573" s="236">
        <f>'Prior Year'!CB72</f>
        <v>133158.12</v>
      </c>
      <c r="C573" s="236">
        <f>CB71</f>
        <v>118362</v>
      </c>
      <c r="D573" s="181" t="s">
        <v>529</v>
      </c>
      <c r="E573" s="181" t="s">
        <v>529</v>
      </c>
      <c r="F573" s="259"/>
      <c r="G573" s="259"/>
      <c r="H573" s="261"/>
      <c r="J573" s="197"/>
      <c r="M573" s="261"/>
    </row>
    <row r="574" spans="1:13" ht="12.6" customHeight="1" x14ac:dyDescent="0.25">
      <c r="A574" s="180" t="s">
        <v>587</v>
      </c>
      <c r="B574" s="236">
        <f>'Prior Year'!CC72</f>
        <v>0</v>
      </c>
      <c r="C574" s="236">
        <f>CC71</f>
        <v>99909</v>
      </c>
      <c r="D574" s="181" t="s">
        <v>529</v>
      </c>
      <c r="E574" s="181" t="s">
        <v>529</v>
      </c>
      <c r="F574" s="259"/>
      <c r="G574" s="259"/>
      <c r="H574" s="261"/>
      <c r="J574" s="197"/>
      <c r="M574" s="261"/>
    </row>
    <row r="575" spans="1:13" ht="12.6" customHeight="1" x14ac:dyDescent="0.25">
      <c r="A575" s="180" t="s">
        <v>588</v>
      </c>
      <c r="B575" s="236">
        <f>'Prior Year'!CD72</f>
        <v>561124.04</v>
      </c>
      <c r="C575" s="236">
        <f>CD71</f>
        <v>1243420</v>
      </c>
      <c r="D575" s="181" t="s">
        <v>529</v>
      </c>
      <c r="E575" s="181" t="s">
        <v>529</v>
      </c>
      <c r="F575" s="259"/>
      <c r="G575" s="259"/>
      <c r="H575" s="261"/>
    </row>
    <row r="576" spans="1:13" ht="12.6" customHeight="1" x14ac:dyDescent="0.25">
      <c r="M576" s="261"/>
    </row>
    <row r="577" spans="13:13" ht="12.6" customHeight="1" x14ac:dyDescent="0.25">
      <c r="M577" s="261"/>
    </row>
    <row r="578" spans="13:13" ht="12.6" customHeight="1" x14ac:dyDescent="0.25">
      <c r="M578" s="261"/>
    </row>
    <row r="612" spans="1:14" ht="12.6" customHeight="1" x14ac:dyDescent="0.25">
      <c r="A612" s="194"/>
      <c r="C612" s="181" t="s">
        <v>589</v>
      </c>
      <c r="D612" s="180">
        <f>CE76-(BE76+CD76)</f>
        <v>33595</v>
      </c>
      <c r="E612" s="180">
        <f>SUM(C624:D647)+SUM(C668:D713)</f>
        <v>23239043.928560797</v>
      </c>
      <c r="F612" s="180">
        <f>CE64-(AX64+BD64+BE64+BG64+BJ64+BN64+BP64+BQ64+CB64+CC64+CD64)</f>
        <v>2218357</v>
      </c>
      <c r="G612" s="180">
        <f>CE77-(AX77+AY77+BD77+BE77+BG77+BJ77+BN77+BP77+BQ77+CB77+CC77+CD77)</f>
        <v>15098</v>
      </c>
      <c r="H612" s="195">
        <f>CE60-(AX60+AY60+AZ60+BD60+BE60+BG60+BJ60+BN60+BO60+BP60+BQ60+BR60+CB60+CC60+CD60)</f>
        <v>176.93646634615388</v>
      </c>
      <c r="I612" s="180">
        <f>CE78-(AX78+AY78+AZ78+BD78+BE78+BF78+BG78+BJ78+BN78+BO78+BP78+BQ78+BR78+CB78+CC78+CD78)</f>
        <v>12596.94</v>
      </c>
      <c r="J612" s="180">
        <f>CE79-(AX79+AY79+AZ79+BA79+BD79+BE79+BF79+BG79+BJ79+BN79+BO79+BP79+BQ79+BR79+CB79+CC79+CD79)</f>
        <v>84960.627500000002</v>
      </c>
      <c r="K612" s="180">
        <f>CE75-(AW75+AX75+AY75+AZ75+BA75+BB75+BC75+BD75+BE75+BF75+BG75+BH75+BI75+BJ75+BK75+BL75+BM75+BN75+BO75+BP75+BQ75+BR75+BS75+BT75+BU75+BV75+BW75+BX75+CB75+CC75+CD75)</f>
        <v>44518412.278100006</v>
      </c>
      <c r="L612" s="195">
        <f>CE80-(AW80+AX80+AY80+AZ80+BA80+BB80+BC80+BD80+BE80+BF80+BG80+BH80+BI80+BJ80+BK80+BL80+BM80+BN80+BO80+BP80+BQ80+BR80+BS80+BT80+BU80+BV80+BW80+BX80+BY80+BZ80+CA80+CB80+CC80+CD80)</f>
        <v>151.74212980769229</v>
      </c>
    </row>
    <row r="613" spans="1:14" ht="12.6" customHeight="1" x14ac:dyDescent="0.25">
      <c r="A613" s="194"/>
      <c r="C613" s="181" t="s">
        <v>590</v>
      </c>
      <c r="D613" s="181" t="s">
        <v>591</v>
      </c>
      <c r="E613" s="196" t="s">
        <v>592</v>
      </c>
      <c r="F613" s="181" t="s">
        <v>593</v>
      </c>
      <c r="G613" s="181" t="s">
        <v>594</v>
      </c>
      <c r="H613" s="181" t="s">
        <v>595</v>
      </c>
      <c r="I613" s="181" t="s">
        <v>596</v>
      </c>
      <c r="J613" s="181" t="s">
        <v>597</v>
      </c>
      <c r="K613" s="181" t="s">
        <v>598</v>
      </c>
      <c r="L613" s="196" t="s">
        <v>599</v>
      </c>
    </row>
    <row r="614" spans="1:14" ht="12.6" customHeight="1" x14ac:dyDescent="0.25">
      <c r="A614" s="194">
        <v>8430</v>
      </c>
      <c r="B614" s="196" t="s">
        <v>140</v>
      </c>
      <c r="C614" s="180">
        <f>BE71</f>
        <v>437501</v>
      </c>
      <c r="N614" s="197" t="s">
        <v>600</v>
      </c>
    </row>
    <row r="615" spans="1:14" ht="12.6" customHeight="1" x14ac:dyDescent="0.25">
      <c r="A615" s="194"/>
      <c r="B615" s="196" t="s">
        <v>601</v>
      </c>
      <c r="C615" s="267">
        <f>CD69-CD70</f>
        <v>1243420</v>
      </c>
      <c r="D615" s="262">
        <f>SUM(C614:C615)</f>
        <v>1680921</v>
      </c>
      <c r="N615" s="197" t="s">
        <v>602</v>
      </c>
    </row>
    <row r="616" spans="1:14" ht="12.6" customHeight="1" x14ac:dyDescent="0.25">
      <c r="A616" s="194">
        <v>8310</v>
      </c>
      <c r="B616" s="198" t="s">
        <v>603</v>
      </c>
      <c r="C616" s="180">
        <f>AX71</f>
        <v>0</v>
      </c>
      <c r="D616" s="180">
        <f>(D615/D612)*AX76</f>
        <v>0</v>
      </c>
      <c r="N616" s="197" t="s">
        <v>604</v>
      </c>
    </row>
    <row r="617" spans="1:14" ht="12.6" customHeight="1" x14ac:dyDescent="0.25">
      <c r="A617" s="194">
        <v>8510</v>
      </c>
      <c r="B617" s="198" t="s">
        <v>145</v>
      </c>
      <c r="C617" s="180">
        <f>BJ71</f>
        <v>671519</v>
      </c>
      <c r="D617" s="180">
        <f>(D615/D612)*BJ76</f>
        <v>0</v>
      </c>
      <c r="N617" s="197" t="s">
        <v>605</v>
      </c>
    </row>
    <row r="618" spans="1:14" ht="12.6" customHeight="1" x14ac:dyDescent="0.25">
      <c r="A618" s="194">
        <v>8470</v>
      </c>
      <c r="B618" s="198" t="s">
        <v>606</v>
      </c>
      <c r="C618" s="180">
        <f>BG71</f>
        <v>0</v>
      </c>
      <c r="D618" s="180">
        <f>(D615/D612)*BG76</f>
        <v>0</v>
      </c>
      <c r="N618" s="197" t="s">
        <v>607</v>
      </c>
    </row>
    <row r="619" spans="1:14" ht="12.6" customHeight="1" x14ac:dyDescent="0.25">
      <c r="A619" s="194">
        <v>8610</v>
      </c>
      <c r="B619" s="198" t="s">
        <v>608</v>
      </c>
      <c r="C619" s="180">
        <f>BN71</f>
        <v>3578637</v>
      </c>
      <c r="D619" s="180">
        <f>(D615/D612)*BN76</f>
        <v>377613.06108051789</v>
      </c>
      <c r="N619" s="197" t="s">
        <v>609</v>
      </c>
    </row>
    <row r="620" spans="1:14" ht="12.6" customHeight="1" x14ac:dyDescent="0.25">
      <c r="A620" s="194">
        <v>8790</v>
      </c>
      <c r="B620" s="198" t="s">
        <v>610</v>
      </c>
      <c r="C620" s="180">
        <f>CC71</f>
        <v>99909</v>
      </c>
      <c r="D620" s="180">
        <f>(D615/D612)*CC76</f>
        <v>555537.01035868435</v>
      </c>
      <c r="N620" s="197" t="s">
        <v>611</v>
      </c>
    </row>
    <row r="621" spans="1:14" ht="12.6" customHeight="1" x14ac:dyDescent="0.25">
      <c r="A621" s="194">
        <v>8630</v>
      </c>
      <c r="B621" s="198" t="s">
        <v>612</v>
      </c>
      <c r="C621" s="180">
        <f>BP71</f>
        <v>0</v>
      </c>
      <c r="D621" s="180">
        <f>(D615/D612)*BP76</f>
        <v>0</v>
      </c>
      <c r="N621" s="197" t="s">
        <v>613</v>
      </c>
    </row>
    <row r="622" spans="1:14" ht="12.6" customHeight="1" x14ac:dyDescent="0.25">
      <c r="A622" s="194">
        <v>8770</v>
      </c>
      <c r="B622" s="196" t="s">
        <v>614</v>
      </c>
      <c r="C622" s="180">
        <f>CB71</f>
        <v>118362</v>
      </c>
      <c r="D622" s="180">
        <f>(D615/D612)*CB76</f>
        <v>0</v>
      </c>
      <c r="N622" s="197" t="s">
        <v>615</v>
      </c>
    </row>
    <row r="623" spans="1:14" ht="12.6" customHeight="1" x14ac:dyDescent="0.25">
      <c r="A623" s="194">
        <v>8640</v>
      </c>
      <c r="B623" s="198" t="s">
        <v>616</v>
      </c>
      <c r="C623" s="180">
        <f>BQ71</f>
        <v>0</v>
      </c>
      <c r="D623" s="180">
        <f>(D615/D612)*BQ76</f>
        <v>0</v>
      </c>
      <c r="E623" s="180">
        <f>SUM(C616:D623)</f>
        <v>5401577.0714392029</v>
      </c>
      <c r="N623" s="197" t="s">
        <v>617</v>
      </c>
    </row>
    <row r="624" spans="1:14" ht="12.6" customHeight="1" x14ac:dyDescent="0.25">
      <c r="A624" s="194">
        <v>8420</v>
      </c>
      <c r="B624" s="198" t="s">
        <v>139</v>
      </c>
      <c r="C624" s="180">
        <f>BD71</f>
        <v>0</v>
      </c>
      <c r="D624" s="180">
        <f>(D615/D612)*BD76</f>
        <v>0</v>
      </c>
      <c r="E624" s="180">
        <f>(E623/E612)*SUM(C624:D624)</f>
        <v>0</v>
      </c>
      <c r="F624" s="180">
        <f>SUM(C624:E624)</f>
        <v>0</v>
      </c>
      <c r="N624" s="197" t="s">
        <v>618</v>
      </c>
    </row>
    <row r="625" spans="1:14" ht="12.6" customHeight="1" x14ac:dyDescent="0.25">
      <c r="A625" s="194">
        <v>8320</v>
      </c>
      <c r="B625" s="198" t="s">
        <v>135</v>
      </c>
      <c r="C625" s="180">
        <f>AY71</f>
        <v>539418</v>
      </c>
      <c r="D625" s="180">
        <f>(D615/D612)*AY76</f>
        <v>55888.93457359726</v>
      </c>
      <c r="E625" s="180">
        <f>(E623/E612)*SUM(C625:D625)</f>
        <v>138370.42083773212</v>
      </c>
      <c r="F625" s="180">
        <f>(F624/F612)*AY64</f>
        <v>0</v>
      </c>
      <c r="G625" s="180">
        <f>SUM(C625:F625)</f>
        <v>733677.35541132942</v>
      </c>
      <c r="N625" s="197" t="s">
        <v>619</v>
      </c>
    </row>
    <row r="626" spans="1:14" ht="12.6" customHeight="1" x14ac:dyDescent="0.25">
      <c r="A626" s="194">
        <v>8650</v>
      </c>
      <c r="B626" s="198" t="s">
        <v>152</v>
      </c>
      <c r="C626" s="180">
        <f>BR71</f>
        <v>0</v>
      </c>
      <c r="D626" s="180">
        <f>(D615/D612)*BR76</f>
        <v>0</v>
      </c>
      <c r="E626" s="180">
        <f>(E623/E612)*SUM(C626:D626)</f>
        <v>0</v>
      </c>
      <c r="F626" s="180">
        <f>(F624/F612)*BR64</f>
        <v>0</v>
      </c>
      <c r="G626" s="180">
        <f>(G625/G612)*BR77</f>
        <v>0</v>
      </c>
      <c r="N626" s="197" t="s">
        <v>620</v>
      </c>
    </row>
    <row r="627" spans="1:14" ht="12.6" customHeight="1" x14ac:dyDescent="0.25">
      <c r="A627" s="194">
        <v>8620</v>
      </c>
      <c r="B627" s="196" t="s">
        <v>621</v>
      </c>
      <c r="C627" s="180">
        <f>BO71</f>
        <v>0</v>
      </c>
      <c r="D627" s="180">
        <f>(D615/D612)*BO76</f>
        <v>0</v>
      </c>
      <c r="E627" s="180">
        <f>(E623/E612)*SUM(C627:D627)</f>
        <v>0</v>
      </c>
      <c r="F627" s="180">
        <f>(F624/F612)*BO64</f>
        <v>0</v>
      </c>
      <c r="G627" s="180">
        <f>(G625/G612)*BO77</f>
        <v>0</v>
      </c>
      <c r="N627" s="197" t="s">
        <v>622</v>
      </c>
    </row>
    <row r="628" spans="1:14" ht="12.6" customHeight="1" x14ac:dyDescent="0.25">
      <c r="A628" s="194">
        <v>8330</v>
      </c>
      <c r="B628" s="198" t="s">
        <v>136</v>
      </c>
      <c r="C628" s="180">
        <f>AZ71</f>
        <v>8494</v>
      </c>
      <c r="D628" s="180">
        <f>(D615/D612)*AZ76</f>
        <v>47232.904420300634</v>
      </c>
      <c r="E628" s="180">
        <f>(E623/E612)*SUM(C628:D628)</f>
        <v>12952.906759173278</v>
      </c>
      <c r="F628" s="180">
        <f>(F624/F612)*AZ64</f>
        <v>0</v>
      </c>
      <c r="G628" s="180">
        <f>(G625/G612)*AZ77</f>
        <v>0</v>
      </c>
      <c r="H628" s="180">
        <f>SUM(C626:G628)</f>
        <v>68679.811179473909</v>
      </c>
      <c r="N628" s="197" t="s">
        <v>623</v>
      </c>
    </row>
    <row r="629" spans="1:14" ht="12.6" customHeight="1" x14ac:dyDescent="0.25">
      <c r="A629" s="194">
        <v>8460</v>
      </c>
      <c r="B629" s="198" t="s">
        <v>141</v>
      </c>
      <c r="C629" s="180">
        <f>BF71</f>
        <v>249466</v>
      </c>
      <c r="D629" s="180">
        <f>(D615/D612)*BF76</f>
        <v>16361.398035421937</v>
      </c>
      <c r="E629" s="180">
        <f>(E623/E612)*SUM(C629:D629)</f>
        <v>61787.704459896973</v>
      </c>
      <c r="F629" s="180">
        <f>(F624/F612)*BF64</f>
        <v>0</v>
      </c>
      <c r="G629" s="180">
        <f>(G625/G612)*BF77</f>
        <v>0</v>
      </c>
      <c r="H629" s="180">
        <f>(H628/H612)*BF60</f>
        <v>1971.7358753407557</v>
      </c>
      <c r="I629" s="180">
        <f>SUM(C629:H629)</f>
        <v>329586.83837065962</v>
      </c>
      <c r="N629" s="197" t="s">
        <v>624</v>
      </c>
    </row>
    <row r="630" spans="1:14" ht="12.6" customHeight="1" x14ac:dyDescent="0.25">
      <c r="A630" s="194">
        <v>8350</v>
      </c>
      <c r="B630" s="198" t="s">
        <v>625</v>
      </c>
      <c r="C630" s="180">
        <f>BA71</f>
        <v>119601</v>
      </c>
      <c r="D630" s="180">
        <f>(D615/D612)*BA76</f>
        <v>5603.9039142729571</v>
      </c>
      <c r="E630" s="180">
        <f>(E623/E612)*SUM(C630:D630)</f>
        <v>29102.055157437324</v>
      </c>
      <c r="F630" s="180">
        <f>(F624/F612)*BA64</f>
        <v>0</v>
      </c>
      <c r="G630" s="180">
        <f>(G625/G612)*BA77</f>
        <v>0</v>
      </c>
      <c r="H630" s="180">
        <f>(H628/H612)*BA60</f>
        <v>650.57626518661095</v>
      </c>
      <c r="I630" s="180">
        <f>(I629/I612)*BA78</f>
        <v>2930.3724473970565</v>
      </c>
      <c r="J630" s="180">
        <f>SUM(C630:I630)</f>
        <v>157887.90778429399</v>
      </c>
      <c r="N630" s="197" t="s">
        <v>626</v>
      </c>
    </row>
    <row r="631" spans="1:14" ht="12.6" customHeight="1" x14ac:dyDescent="0.25">
      <c r="A631" s="194">
        <v>8200</v>
      </c>
      <c r="B631" s="198" t="s">
        <v>627</v>
      </c>
      <c r="C631" s="180">
        <f>AW71</f>
        <v>0</v>
      </c>
      <c r="D631" s="180">
        <f>(D615/D612)*AW76</f>
        <v>0</v>
      </c>
      <c r="E631" s="180">
        <f>(E623/E612)*SUM(C631:D631)</f>
        <v>0</v>
      </c>
      <c r="F631" s="180">
        <f>(F624/F612)*AW64</f>
        <v>0</v>
      </c>
      <c r="G631" s="180">
        <f>(G625/G612)*AW77</f>
        <v>0</v>
      </c>
      <c r="H631" s="180">
        <f>(H628/H612)*AW60</f>
        <v>0</v>
      </c>
      <c r="I631" s="180">
        <f>(I629/I612)*AW78</f>
        <v>0</v>
      </c>
      <c r="J631" s="180">
        <f>(J630/J612)*AW79</f>
        <v>0</v>
      </c>
      <c r="N631" s="197" t="s">
        <v>628</v>
      </c>
    </row>
    <row r="632" spans="1:14" ht="12.6" customHeight="1" x14ac:dyDescent="0.25">
      <c r="A632" s="194">
        <v>8360</v>
      </c>
      <c r="B632" s="198" t="s">
        <v>629</v>
      </c>
      <c r="C632" s="180">
        <f>BB71</f>
        <v>79144</v>
      </c>
      <c r="D632" s="180">
        <f>(D615/D612)*BB76</f>
        <v>3602.5096591754723</v>
      </c>
      <c r="E632" s="180">
        <f>(E623/E612)*SUM(C632:D632)</f>
        <v>19233.220208655341</v>
      </c>
      <c r="F632" s="180">
        <f>(F624/F612)*BB64</f>
        <v>0</v>
      </c>
      <c r="G632" s="180">
        <f>(G625/G612)*BB77</f>
        <v>0</v>
      </c>
      <c r="H632" s="180">
        <f>(H628/H612)*BB60</f>
        <v>304.85930110727259</v>
      </c>
      <c r="I632" s="180">
        <f>(I629/I612)*BB78</f>
        <v>1883.8108590409649</v>
      </c>
      <c r="J632" s="180">
        <f>(J630/J612)*BB79</f>
        <v>0</v>
      </c>
      <c r="N632" s="197" t="s">
        <v>630</v>
      </c>
    </row>
    <row r="633" spans="1:14" ht="12.6" customHeight="1" x14ac:dyDescent="0.25">
      <c r="A633" s="194">
        <v>8370</v>
      </c>
      <c r="B633" s="198" t="s">
        <v>631</v>
      </c>
      <c r="C633" s="180">
        <f>BC71</f>
        <v>0</v>
      </c>
      <c r="D633" s="180">
        <f>(D615/D612)*BC76</f>
        <v>0</v>
      </c>
      <c r="E633" s="180">
        <f>(E623/E612)*SUM(C633:D633)</f>
        <v>0</v>
      </c>
      <c r="F633" s="180">
        <f>(F624/F612)*BC64</f>
        <v>0</v>
      </c>
      <c r="G633" s="180">
        <f>(G625/G612)*BC77</f>
        <v>0</v>
      </c>
      <c r="H633" s="180">
        <f>(H628/H612)*BC60</f>
        <v>0</v>
      </c>
      <c r="I633" s="180">
        <f>(I629/I612)*BC78</f>
        <v>0</v>
      </c>
      <c r="J633" s="180">
        <f>(J630/J612)*BC79</f>
        <v>0</v>
      </c>
      <c r="N633" s="197" t="s">
        <v>632</v>
      </c>
    </row>
    <row r="634" spans="1:14" ht="12.6" customHeight="1" x14ac:dyDescent="0.25">
      <c r="A634" s="194">
        <v>8490</v>
      </c>
      <c r="B634" s="198" t="s">
        <v>633</v>
      </c>
      <c r="C634" s="180">
        <f>BI71</f>
        <v>0</v>
      </c>
      <c r="D634" s="180">
        <f>(D615/D612)*BI76</f>
        <v>0</v>
      </c>
      <c r="E634" s="180">
        <f>(E623/E612)*SUM(C634:D634)</f>
        <v>0</v>
      </c>
      <c r="F634" s="180">
        <f>(F624/F612)*BI64</f>
        <v>0</v>
      </c>
      <c r="G634" s="180">
        <f>(G625/G612)*BI77</f>
        <v>0</v>
      </c>
      <c r="H634" s="180">
        <f>(H628/H612)*BI60</f>
        <v>172.7129217166665</v>
      </c>
      <c r="I634" s="180">
        <f>(I629/I612)*BI78</f>
        <v>0</v>
      </c>
      <c r="J634" s="180">
        <f>(J630/J612)*BI79</f>
        <v>0</v>
      </c>
      <c r="N634" s="197" t="s">
        <v>634</v>
      </c>
    </row>
    <row r="635" spans="1:14" ht="12.6" customHeight="1" x14ac:dyDescent="0.25">
      <c r="A635" s="194">
        <v>8530</v>
      </c>
      <c r="B635" s="198" t="s">
        <v>635</v>
      </c>
      <c r="C635" s="180">
        <f>BK71</f>
        <v>0</v>
      </c>
      <c r="D635" s="180">
        <f>(D615/D612)*BK76</f>
        <v>0</v>
      </c>
      <c r="E635" s="180">
        <f>(E623/E612)*SUM(C635:D635)</f>
        <v>0</v>
      </c>
      <c r="F635" s="180">
        <f>(F624/F612)*BK64</f>
        <v>0</v>
      </c>
      <c r="G635" s="180">
        <f>(G625/G612)*BK77</f>
        <v>0</v>
      </c>
      <c r="H635" s="180">
        <f>(H628/H612)*BK60</f>
        <v>0</v>
      </c>
      <c r="I635" s="180">
        <f>(I629/I612)*BK78</f>
        <v>0</v>
      </c>
      <c r="J635" s="180">
        <f>(J630/J612)*BK79</f>
        <v>0</v>
      </c>
      <c r="N635" s="197" t="s">
        <v>636</v>
      </c>
    </row>
    <row r="636" spans="1:14" ht="12.6" customHeight="1" x14ac:dyDescent="0.25">
      <c r="A636" s="194">
        <v>8480</v>
      </c>
      <c r="B636" s="198" t="s">
        <v>637</v>
      </c>
      <c r="C636" s="180">
        <f>BH71</f>
        <v>0</v>
      </c>
      <c r="D636" s="180">
        <f>(D615/D612)*BH76</f>
        <v>0</v>
      </c>
      <c r="E636" s="180">
        <f>(E623/E612)*SUM(C636:D636)</f>
        <v>0</v>
      </c>
      <c r="F636" s="180">
        <f>(F624/F612)*BH64</f>
        <v>0</v>
      </c>
      <c r="G636" s="180">
        <f>(G625/G612)*BH77</f>
        <v>0</v>
      </c>
      <c r="H636" s="180">
        <f>(H628/H612)*BH60</f>
        <v>1166.191984737897</v>
      </c>
      <c r="I636" s="180">
        <f>(I629/I612)*BH78</f>
        <v>0</v>
      </c>
      <c r="J636" s="180">
        <f>(J630/J612)*BH79</f>
        <v>0</v>
      </c>
      <c r="N636" s="197" t="s">
        <v>638</v>
      </c>
    </row>
    <row r="637" spans="1:14" ht="12.6" customHeight="1" x14ac:dyDescent="0.25">
      <c r="A637" s="194">
        <v>8560</v>
      </c>
      <c r="B637" s="198" t="s">
        <v>147</v>
      </c>
      <c r="C637" s="180">
        <f>BL71</f>
        <v>424996</v>
      </c>
      <c r="D637" s="180">
        <f>(D615/D612)*BL76</f>
        <v>0</v>
      </c>
      <c r="E637" s="180">
        <f>(E623/E612)*SUM(C637:D637)</f>
        <v>98784.1262364508</v>
      </c>
      <c r="F637" s="180">
        <f>(F624/F612)*BL64</f>
        <v>0</v>
      </c>
      <c r="G637" s="180">
        <f>(G625/G612)*BL77</f>
        <v>0</v>
      </c>
      <c r="H637" s="180">
        <f>(H628/H612)*BL60</f>
        <v>3271.7500493417765</v>
      </c>
      <c r="I637" s="180">
        <f>(I629/I612)*BL78</f>
        <v>0</v>
      </c>
      <c r="J637" s="180">
        <f>(J630/J612)*BL79</f>
        <v>0</v>
      </c>
      <c r="N637" s="197" t="s">
        <v>639</v>
      </c>
    </row>
    <row r="638" spans="1:14" ht="12.6" customHeight="1" x14ac:dyDescent="0.25">
      <c r="A638" s="194">
        <v>8590</v>
      </c>
      <c r="B638" s="198" t="s">
        <v>640</v>
      </c>
      <c r="C638" s="180">
        <f>BM71</f>
        <v>0</v>
      </c>
      <c r="D638" s="180">
        <f>(D615/D612)*BM76</f>
        <v>0</v>
      </c>
      <c r="E638" s="180">
        <f>(E623/E612)*SUM(C638:D638)</f>
        <v>0</v>
      </c>
      <c r="F638" s="180">
        <f>(F624/F612)*BM64</f>
        <v>0</v>
      </c>
      <c r="G638" s="180">
        <f>(G625/G612)*BM77</f>
        <v>0</v>
      </c>
      <c r="H638" s="180">
        <f>(H628/H612)*BM60</f>
        <v>0</v>
      </c>
      <c r="I638" s="180">
        <f>(I629/I612)*BM78</f>
        <v>0</v>
      </c>
      <c r="J638" s="180">
        <f>(J630/J612)*BM79</f>
        <v>0</v>
      </c>
      <c r="N638" s="197" t="s">
        <v>641</v>
      </c>
    </row>
    <row r="639" spans="1:14" ht="12.6" customHeight="1" x14ac:dyDescent="0.25">
      <c r="A639" s="194">
        <v>8660</v>
      </c>
      <c r="B639" s="198" t="s">
        <v>642</v>
      </c>
      <c r="C639" s="180">
        <f>BS71</f>
        <v>0</v>
      </c>
      <c r="D639" s="180">
        <f>(D615/D612)*BS76</f>
        <v>0</v>
      </c>
      <c r="E639" s="180">
        <f>(E623/E612)*SUM(C639:D639)</f>
        <v>0</v>
      </c>
      <c r="F639" s="180">
        <f>(F624/F612)*BS64</f>
        <v>0</v>
      </c>
      <c r="G639" s="180">
        <f>(G625/G612)*BS77</f>
        <v>0</v>
      </c>
      <c r="H639" s="180">
        <f>(H628/H612)*BS60</f>
        <v>0</v>
      </c>
      <c r="I639" s="180">
        <f>(I629/I612)*BS78</f>
        <v>0</v>
      </c>
      <c r="J639" s="180">
        <f>(J630/J612)*BS79</f>
        <v>0</v>
      </c>
      <c r="N639" s="197" t="s">
        <v>643</v>
      </c>
    </row>
    <row r="640" spans="1:14" ht="12.6" customHeight="1" x14ac:dyDescent="0.25">
      <c r="A640" s="194">
        <v>8670</v>
      </c>
      <c r="B640" s="198" t="s">
        <v>644</v>
      </c>
      <c r="C640" s="180">
        <f>BT71</f>
        <v>0</v>
      </c>
      <c r="D640" s="180">
        <f>(D615/D612)*BT76</f>
        <v>0</v>
      </c>
      <c r="E640" s="180">
        <f>(E623/E612)*SUM(C640:D640)</f>
        <v>0</v>
      </c>
      <c r="F640" s="180">
        <f>(F624/F612)*BT64</f>
        <v>0</v>
      </c>
      <c r="G640" s="180">
        <f>(G625/G612)*BT77</f>
        <v>0</v>
      </c>
      <c r="H640" s="180">
        <f>(H628/H612)*BT60</f>
        <v>0</v>
      </c>
      <c r="I640" s="180">
        <f>(I629/I612)*BT78</f>
        <v>0</v>
      </c>
      <c r="J640" s="180">
        <f>(J630/J612)*BT79</f>
        <v>0</v>
      </c>
      <c r="N640" s="197" t="s">
        <v>645</v>
      </c>
    </row>
    <row r="641" spans="1:14" ht="12.6" customHeight="1" x14ac:dyDescent="0.25">
      <c r="A641" s="194">
        <v>8680</v>
      </c>
      <c r="B641" s="198" t="s">
        <v>646</v>
      </c>
      <c r="C641" s="180">
        <f>BU71</f>
        <v>0</v>
      </c>
      <c r="D641" s="180">
        <f>(D615/D612)*BU76</f>
        <v>0</v>
      </c>
      <c r="E641" s="180">
        <f>(E623/E612)*SUM(C641:D641)</f>
        <v>0</v>
      </c>
      <c r="F641" s="180">
        <f>(F624/F612)*BU64</f>
        <v>0</v>
      </c>
      <c r="G641" s="180">
        <f>(G625/G612)*BU77</f>
        <v>0</v>
      </c>
      <c r="H641" s="180">
        <f>(H628/H612)*BU60</f>
        <v>0</v>
      </c>
      <c r="I641" s="180">
        <f>(I629/I612)*BU78</f>
        <v>0</v>
      </c>
      <c r="J641" s="180">
        <f>(J630/J612)*BU79</f>
        <v>0</v>
      </c>
      <c r="N641" s="197" t="s">
        <v>647</v>
      </c>
    </row>
    <row r="642" spans="1:14" ht="12.6" customHeight="1" x14ac:dyDescent="0.25">
      <c r="A642" s="194">
        <v>8690</v>
      </c>
      <c r="B642" s="198" t="s">
        <v>648</v>
      </c>
      <c r="C642" s="180">
        <f>BV71</f>
        <v>499452</v>
      </c>
      <c r="D642" s="180">
        <f>(D615/D612)*BV76</f>
        <v>46282.242149129335</v>
      </c>
      <c r="E642" s="180">
        <f>(E623/E612)*SUM(C642:D642)</f>
        <v>126847.97096446413</v>
      </c>
      <c r="F642" s="180">
        <f>(F624/F612)*BV64</f>
        <v>0</v>
      </c>
      <c r="G642" s="180">
        <f>(G625/G612)*BV77</f>
        <v>0</v>
      </c>
      <c r="H642" s="180">
        <f>(H628/H612)*BV60</f>
        <v>0</v>
      </c>
      <c r="I642" s="180">
        <f>(I629/I612)*BV78</f>
        <v>24201.736730734618</v>
      </c>
      <c r="J642" s="180">
        <f>(J630/J612)*BV79</f>
        <v>0</v>
      </c>
      <c r="N642" s="197" t="s">
        <v>649</v>
      </c>
    </row>
    <row r="643" spans="1:14" ht="12.6" customHeight="1" x14ac:dyDescent="0.25">
      <c r="A643" s="194">
        <v>8700</v>
      </c>
      <c r="B643" s="198" t="s">
        <v>650</v>
      </c>
      <c r="C643" s="180">
        <f>BW71</f>
        <v>0</v>
      </c>
      <c r="D643" s="180">
        <f>(D615/D612)*BW76</f>
        <v>0</v>
      </c>
      <c r="E643" s="180">
        <f>(E623/E612)*SUM(C643:D643)</f>
        <v>0</v>
      </c>
      <c r="F643" s="180">
        <f>(F624/F612)*BW64</f>
        <v>0</v>
      </c>
      <c r="G643" s="180">
        <f>(G625/G612)*BW77</f>
        <v>0</v>
      </c>
      <c r="H643" s="180">
        <f>(H628/H612)*BW60</f>
        <v>0</v>
      </c>
      <c r="I643" s="180">
        <f>(I629/I612)*BW78</f>
        <v>0</v>
      </c>
      <c r="J643" s="180">
        <f>(J630/J612)*BW79</f>
        <v>0</v>
      </c>
      <c r="N643" s="197" t="s">
        <v>651</v>
      </c>
    </row>
    <row r="644" spans="1:14" ht="12.6" customHeight="1" x14ac:dyDescent="0.25">
      <c r="A644" s="194">
        <v>8710</v>
      </c>
      <c r="B644" s="198" t="s">
        <v>652</v>
      </c>
      <c r="C644" s="180">
        <f>BX71</f>
        <v>211366</v>
      </c>
      <c r="D644" s="180">
        <f>(D615/D612)*BX76</f>
        <v>0</v>
      </c>
      <c r="E644" s="180">
        <f>(E623/E612)*SUM(C644:D644)</f>
        <v>49128.94621618477</v>
      </c>
      <c r="F644" s="180">
        <f>(F624/F612)*BX64</f>
        <v>0</v>
      </c>
      <c r="G644" s="180">
        <f>(G625/G612)*BX77</f>
        <v>0</v>
      </c>
      <c r="H644" s="180">
        <f>(H628/H612)*BX60</f>
        <v>1975.8880768623071</v>
      </c>
      <c r="I644" s="180">
        <f>(I629/I612)*BX78</f>
        <v>0</v>
      </c>
      <c r="J644" s="180">
        <f>(J630/J612)*BX79</f>
        <v>0</v>
      </c>
      <c r="K644" s="180">
        <f>SUM(C631:J644)</f>
        <v>1591813.9653576016</v>
      </c>
      <c r="N644" s="197" t="s">
        <v>653</v>
      </c>
    </row>
    <row r="645" spans="1:14" ht="12.6" customHeight="1" x14ac:dyDescent="0.25">
      <c r="A645" s="194">
        <v>8720</v>
      </c>
      <c r="B645" s="198" t="s">
        <v>654</v>
      </c>
      <c r="C645" s="180">
        <f>BY71</f>
        <v>178041</v>
      </c>
      <c r="D645" s="180">
        <f>(D615/D612)*BY76</f>
        <v>11157.772972168477</v>
      </c>
      <c r="E645" s="180">
        <f>(E623/E612)*SUM(C645:D645)</f>
        <v>43976.497362479386</v>
      </c>
      <c r="F645" s="180">
        <f>(F624/F612)*BY64</f>
        <v>0</v>
      </c>
      <c r="G645" s="180">
        <f>(G625/G612)*BY77</f>
        <v>0</v>
      </c>
      <c r="H645" s="180">
        <f>(H628/H612)*BY60</f>
        <v>265.74089737929023</v>
      </c>
      <c r="I645" s="180">
        <f>(I629/I612)*BY78</f>
        <v>5834.5808550852107</v>
      </c>
      <c r="J645" s="180">
        <f>(J630/J612)*BY79</f>
        <v>0</v>
      </c>
      <c r="K645" s="180">
        <v>0</v>
      </c>
      <c r="N645" s="197" t="s">
        <v>655</v>
      </c>
    </row>
    <row r="646" spans="1:14" ht="12.6" customHeight="1" x14ac:dyDescent="0.25">
      <c r="A646" s="194">
        <v>8730</v>
      </c>
      <c r="B646" s="198" t="s">
        <v>656</v>
      </c>
      <c r="C646" s="180">
        <f>BZ71</f>
        <v>0</v>
      </c>
      <c r="D646" s="180">
        <f>(D615/D612)*BZ76</f>
        <v>0</v>
      </c>
      <c r="E646" s="180">
        <f>(E623/E612)*SUM(C646:D646)</f>
        <v>0</v>
      </c>
      <c r="F646" s="180">
        <f>(F624/F612)*BZ64</f>
        <v>0</v>
      </c>
      <c r="G646" s="180">
        <f>(G625/G612)*BZ77</f>
        <v>0</v>
      </c>
      <c r="H646" s="180">
        <f>(H628/H612)*BZ60</f>
        <v>0</v>
      </c>
      <c r="I646" s="180">
        <f>(I629/I612)*BZ78</f>
        <v>0</v>
      </c>
      <c r="J646" s="180">
        <f>(J630/J612)*BZ79</f>
        <v>0</v>
      </c>
      <c r="K646" s="180">
        <v>0</v>
      </c>
      <c r="N646" s="197" t="s">
        <v>657</v>
      </c>
    </row>
    <row r="647" spans="1:14" ht="12.6" customHeight="1" x14ac:dyDescent="0.25">
      <c r="A647" s="194">
        <v>8740</v>
      </c>
      <c r="B647" s="198" t="s">
        <v>658</v>
      </c>
      <c r="C647" s="180">
        <f>CA71</f>
        <v>0</v>
      </c>
      <c r="D647" s="180">
        <f>(D615/D612)*CA76</f>
        <v>0</v>
      </c>
      <c r="E647" s="180">
        <f>(E623/E612)*SUM(C647:D647)</f>
        <v>0</v>
      </c>
      <c r="F647" s="180">
        <f>(F624/F612)*CA64</f>
        <v>0</v>
      </c>
      <c r="G647" s="180">
        <f>(G625/G612)*CA77</f>
        <v>0</v>
      </c>
      <c r="H647" s="180">
        <f>(H628/H612)*CA60</f>
        <v>0</v>
      </c>
      <c r="I647" s="180">
        <f>(I629/I612)*CA78</f>
        <v>0</v>
      </c>
      <c r="J647" s="180">
        <f>(J630/J612)*CA79</f>
        <v>0</v>
      </c>
      <c r="K647" s="180">
        <v>0</v>
      </c>
      <c r="L647" s="180">
        <f>SUM(C645:K647)</f>
        <v>239275.5920871124</v>
      </c>
      <c r="N647" s="197" t="s">
        <v>659</v>
      </c>
    </row>
    <row r="648" spans="1:14" ht="12.6" customHeight="1" x14ac:dyDescent="0.25">
      <c r="A648" s="194"/>
      <c r="B648" s="194"/>
      <c r="C648" s="180">
        <f>SUM(C614:C647)</f>
        <v>8459326</v>
      </c>
      <c r="L648" s="262"/>
    </row>
    <row r="666" spans="1:14" ht="12.6" customHeight="1" x14ac:dyDescent="0.25">
      <c r="C666" s="181" t="s">
        <v>660</v>
      </c>
      <c r="M666" s="181" t="s">
        <v>661</v>
      </c>
    </row>
    <row r="667" spans="1:14" ht="12.6" customHeight="1" x14ac:dyDescent="0.25">
      <c r="C667" s="181" t="s">
        <v>590</v>
      </c>
      <c r="D667" s="181" t="s">
        <v>591</v>
      </c>
      <c r="E667" s="196" t="s">
        <v>592</v>
      </c>
      <c r="F667" s="181" t="s">
        <v>593</v>
      </c>
      <c r="G667" s="181" t="s">
        <v>594</v>
      </c>
      <c r="H667" s="181" t="s">
        <v>595</v>
      </c>
      <c r="I667" s="181" t="s">
        <v>596</v>
      </c>
      <c r="J667" s="181" t="s">
        <v>597</v>
      </c>
      <c r="K667" s="181" t="s">
        <v>598</v>
      </c>
      <c r="L667" s="196" t="s">
        <v>599</v>
      </c>
      <c r="M667" s="181" t="s">
        <v>662</v>
      </c>
    </row>
    <row r="668" spans="1:14" ht="12.6" customHeight="1" x14ac:dyDescent="0.25">
      <c r="A668" s="194">
        <v>6010</v>
      </c>
      <c r="B668" s="196" t="s">
        <v>283</v>
      </c>
      <c r="C668" s="180">
        <f>C71</f>
        <v>0</v>
      </c>
      <c r="D668" s="180">
        <f>(D615/D612)*C76</f>
        <v>0</v>
      </c>
      <c r="E668" s="180">
        <f>(E623/E612)*SUM(C668:D668)</f>
        <v>0</v>
      </c>
      <c r="F668" s="180">
        <f>(F624/F612)*C64</f>
        <v>0</v>
      </c>
      <c r="G668" s="180">
        <f>(G625/G612)*C77</f>
        <v>0</v>
      </c>
      <c r="H668" s="180">
        <f>(H628/H612)*C60</f>
        <v>0</v>
      </c>
      <c r="I668" s="180">
        <f>(I629/I612)*C78</f>
        <v>0</v>
      </c>
      <c r="J668" s="180">
        <f>(J630/J612)*C79</f>
        <v>0</v>
      </c>
      <c r="K668" s="180">
        <f>(K644/K612)*C75</f>
        <v>0</v>
      </c>
      <c r="L668" s="180">
        <f>(L647/L612)*C80</f>
        <v>0</v>
      </c>
      <c r="M668" s="180">
        <f t="shared" ref="M668:M713" si="20">ROUND(SUM(D668:L668),0)</f>
        <v>0</v>
      </c>
      <c r="N668" s="196" t="s">
        <v>663</v>
      </c>
    </row>
    <row r="669" spans="1:14" ht="12.6" customHeight="1" x14ac:dyDescent="0.25">
      <c r="A669" s="194">
        <v>6030</v>
      </c>
      <c r="B669" s="196" t="s">
        <v>284</v>
      </c>
      <c r="C669" s="180">
        <f>D71</f>
        <v>0</v>
      </c>
      <c r="D669" s="180">
        <f>(D615/D612)*D76</f>
        <v>0</v>
      </c>
      <c r="E669" s="180">
        <f>(E623/E612)*SUM(C669:D669)</f>
        <v>0</v>
      </c>
      <c r="F669" s="180">
        <f>(F624/F612)*D64</f>
        <v>0</v>
      </c>
      <c r="G669" s="180">
        <f>(G625/G612)*D77</f>
        <v>0</v>
      </c>
      <c r="H669" s="180">
        <f>(H628/H612)*D60</f>
        <v>0</v>
      </c>
      <c r="I669" s="180">
        <f>(I629/I612)*D78</f>
        <v>0</v>
      </c>
      <c r="J669" s="180">
        <f>(J630/J612)*D79</f>
        <v>0</v>
      </c>
      <c r="K669" s="180">
        <f>(K644/K612)*D75</f>
        <v>0</v>
      </c>
      <c r="L669" s="180">
        <f>(L647/L612)*D80</f>
        <v>0</v>
      </c>
      <c r="M669" s="180">
        <f t="shared" si="20"/>
        <v>0</v>
      </c>
      <c r="N669" s="196" t="s">
        <v>664</v>
      </c>
    </row>
    <row r="670" spans="1:14" ht="12.6" customHeight="1" x14ac:dyDescent="0.25">
      <c r="A670" s="194">
        <v>6070</v>
      </c>
      <c r="B670" s="196" t="s">
        <v>665</v>
      </c>
      <c r="C670" s="180">
        <f>E71</f>
        <v>977011</v>
      </c>
      <c r="D670" s="180">
        <f>(D615/D612)*E76</f>
        <v>0</v>
      </c>
      <c r="E670" s="180">
        <f>(E623/E612)*SUM(C670:D670)</f>
        <v>227091.96782652315</v>
      </c>
      <c r="F670" s="180">
        <f>(F624/F612)*E64</f>
        <v>0</v>
      </c>
      <c r="G670" s="180">
        <f>(G625/G612)*E77</f>
        <v>95147.719028704669</v>
      </c>
      <c r="H670" s="180">
        <f>(H628/H612)*E60</f>
        <v>3625.422444920609</v>
      </c>
      <c r="I670" s="180">
        <f>(I629/I612)*E78</f>
        <v>244.3721308811474</v>
      </c>
      <c r="J670" s="180">
        <f>(J630/J612)*E79</f>
        <v>75422.417882058638</v>
      </c>
      <c r="K670" s="180">
        <f>(K644/K612)*E75</f>
        <v>165587.72367650591</v>
      </c>
      <c r="L670" s="180">
        <f>(L647/L612)*E80</f>
        <v>14727.841456594204</v>
      </c>
      <c r="M670" s="180">
        <f t="shared" si="20"/>
        <v>581847</v>
      </c>
      <c r="N670" s="196" t="s">
        <v>666</v>
      </c>
    </row>
    <row r="671" spans="1:14" ht="12.6" customHeight="1" x14ac:dyDescent="0.25">
      <c r="A671" s="194">
        <v>6100</v>
      </c>
      <c r="B671" s="196" t="s">
        <v>667</v>
      </c>
      <c r="C671" s="180">
        <f>F71</f>
        <v>0</v>
      </c>
      <c r="D671" s="180">
        <f>(D615/D612)*F76</f>
        <v>0</v>
      </c>
      <c r="E671" s="180">
        <f>(E623/E612)*SUM(C671:D671)</f>
        <v>0</v>
      </c>
      <c r="F671" s="180">
        <f>(F624/F612)*F64</f>
        <v>0</v>
      </c>
      <c r="G671" s="180">
        <f>(G625/G612)*F77</f>
        <v>0</v>
      </c>
      <c r="H671" s="180">
        <f>(H628/H612)*F60</f>
        <v>0</v>
      </c>
      <c r="I671" s="180">
        <f>(I629/I612)*F78</f>
        <v>0</v>
      </c>
      <c r="J671" s="180">
        <f>(J630/J612)*F79</f>
        <v>0</v>
      </c>
      <c r="K671" s="180">
        <f>(K644/K612)*F75</f>
        <v>0</v>
      </c>
      <c r="L671" s="180">
        <f>(L647/L612)*F80</f>
        <v>0</v>
      </c>
      <c r="M671" s="180">
        <f t="shared" si="20"/>
        <v>0</v>
      </c>
      <c r="N671" s="196" t="s">
        <v>668</v>
      </c>
    </row>
    <row r="672" spans="1:14" ht="12.6" customHeight="1" x14ac:dyDescent="0.25">
      <c r="A672" s="194">
        <v>6120</v>
      </c>
      <c r="B672" s="196" t="s">
        <v>669</v>
      </c>
      <c r="C672" s="180">
        <f>G71</f>
        <v>0</v>
      </c>
      <c r="D672" s="180">
        <f>(D615/D612)*G76</f>
        <v>0</v>
      </c>
      <c r="E672" s="180">
        <f>(E623/E612)*SUM(C672:D672)</f>
        <v>0</v>
      </c>
      <c r="F672" s="180">
        <f>(F624/F612)*G64</f>
        <v>0</v>
      </c>
      <c r="G672" s="180">
        <f>(G625/G612)*G77</f>
        <v>0</v>
      </c>
      <c r="H672" s="180">
        <f>(H628/H612)*G60</f>
        <v>0</v>
      </c>
      <c r="I672" s="180">
        <f>(I629/I612)*G78</f>
        <v>0</v>
      </c>
      <c r="J672" s="180">
        <f>(J630/J612)*G79</f>
        <v>0</v>
      </c>
      <c r="K672" s="180">
        <f>(K644/K612)*G75</f>
        <v>0</v>
      </c>
      <c r="L672" s="180">
        <f>(L647/L612)*G80</f>
        <v>0</v>
      </c>
      <c r="M672" s="180">
        <f t="shared" si="20"/>
        <v>0</v>
      </c>
      <c r="N672" s="196" t="s">
        <v>670</v>
      </c>
    </row>
    <row r="673" spans="1:14" ht="12.6" customHeight="1" x14ac:dyDescent="0.25">
      <c r="A673" s="194">
        <v>6140</v>
      </c>
      <c r="B673" s="196" t="s">
        <v>671</v>
      </c>
      <c r="C673" s="180">
        <f>H71</f>
        <v>0</v>
      </c>
      <c r="D673" s="180">
        <f>(D615/D612)*H76</f>
        <v>0</v>
      </c>
      <c r="E673" s="180">
        <f>(E623/E612)*SUM(C673:D673)</f>
        <v>0</v>
      </c>
      <c r="F673" s="180">
        <f>(F624/F612)*H64</f>
        <v>0</v>
      </c>
      <c r="G673" s="180">
        <f>(G625/G612)*H77</f>
        <v>0</v>
      </c>
      <c r="H673" s="180">
        <f>(H628/H612)*H60</f>
        <v>0</v>
      </c>
      <c r="I673" s="180">
        <f>(I629/I612)*H78</f>
        <v>0</v>
      </c>
      <c r="J673" s="180">
        <f>(J630/J612)*H79</f>
        <v>0</v>
      </c>
      <c r="K673" s="180">
        <f>(K644/K612)*H75</f>
        <v>0</v>
      </c>
      <c r="L673" s="180">
        <f>(L647/L612)*H80</f>
        <v>0</v>
      </c>
      <c r="M673" s="180">
        <f t="shared" si="20"/>
        <v>0</v>
      </c>
      <c r="N673" s="196" t="s">
        <v>672</v>
      </c>
    </row>
    <row r="674" spans="1:14" ht="12.6" customHeight="1" x14ac:dyDescent="0.25">
      <c r="A674" s="194">
        <v>6150</v>
      </c>
      <c r="B674" s="196" t="s">
        <v>673</v>
      </c>
      <c r="C674" s="180">
        <f>I71</f>
        <v>235232</v>
      </c>
      <c r="D674" s="180">
        <f>(D615/D612)*I76</f>
        <v>0</v>
      </c>
      <c r="E674" s="180">
        <f>(E623/E612)*SUM(C674:D674)</f>
        <v>54676.250089066241</v>
      </c>
      <c r="F674" s="180">
        <f>(F624/F612)*I64</f>
        <v>0</v>
      </c>
      <c r="G674" s="180">
        <f>(G625/G612)*I77</f>
        <v>63269.831550241812</v>
      </c>
      <c r="H674" s="180">
        <f>(H628/H612)*I60</f>
        <v>939.34928444409786</v>
      </c>
      <c r="I674" s="180">
        <f>(I629/I612)*I78</f>
        <v>63.316976095543538</v>
      </c>
      <c r="J674" s="180">
        <f>(J630/J612)*I79</f>
        <v>0</v>
      </c>
      <c r="K674" s="180">
        <f>(K644/K612)*I75</f>
        <v>23171.031229752007</v>
      </c>
      <c r="L674" s="180">
        <f>(L647/L612)*I80</f>
        <v>3815.9931825436802</v>
      </c>
      <c r="M674" s="180">
        <f t="shared" si="20"/>
        <v>145936</v>
      </c>
      <c r="N674" s="196" t="s">
        <v>674</v>
      </c>
    </row>
    <row r="675" spans="1:14" ht="12.6" customHeight="1" x14ac:dyDescent="0.25">
      <c r="A675" s="194">
        <v>6170</v>
      </c>
      <c r="B675" s="196" t="s">
        <v>99</v>
      </c>
      <c r="C675" s="180">
        <f>J71</f>
        <v>10914</v>
      </c>
      <c r="D675" s="180">
        <f>(D615/D612)*J76</f>
        <v>0</v>
      </c>
      <c r="E675" s="180">
        <f>(E623/E612)*SUM(C675:D675)</f>
        <v>2536.8002375189981</v>
      </c>
      <c r="F675" s="180">
        <f>(F624/F612)*J64</f>
        <v>0</v>
      </c>
      <c r="G675" s="180">
        <f>(G625/G612)*J77</f>
        <v>0</v>
      </c>
      <c r="H675" s="180">
        <f>(H628/H612)*J60</f>
        <v>3.8816086134053633</v>
      </c>
      <c r="I675" s="180">
        <f>(I629/I612)*J78</f>
        <v>0.26164039708902292</v>
      </c>
      <c r="J675" s="180">
        <f>(J630/J612)*J79</f>
        <v>598.18001223151839</v>
      </c>
      <c r="K675" s="180">
        <f>(K644/K612)*J75</f>
        <v>7273.5477359405731</v>
      </c>
      <c r="L675" s="180">
        <f>(L647/L612)*J80</f>
        <v>15.768566870015208</v>
      </c>
      <c r="M675" s="180">
        <f t="shared" si="20"/>
        <v>10428</v>
      </c>
      <c r="N675" s="196" t="s">
        <v>675</v>
      </c>
    </row>
    <row r="676" spans="1:14" ht="12.6" customHeight="1" x14ac:dyDescent="0.25">
      <c r="A676" s="194">
        <v>6200</v>
      </c>
      <c r="B676" s="196" t="s">
        <v>288</v>
      </c>
      <c r="C676" s="180">
        <f>K71</f>
        <v>0</v>
      </c>
      <c r="D676" s="180">
        <f>(D615/D612)*K76</f>
        <v>0</v>
      </c>
      <c r="E676" s="180">
        <f>(E623/E612)*SUM(C676:D676)</f>
        <v>0</v>
      </c>
      <c r="F676" s="180">
        <f>(F624/F612)*K64</f>
        <v>0</v>
      </c>
      <c r="G676" s="180">
        <f>(G625/G612)*K77</f>
        <v>0</v>
      </c>
      <c r="H676" s="180">
        <f>(H628/H612)*K60</f>
        <v>0</v>
      </c>
      <c r="I676" s="180">
        <f>(I629/I612)*K78</f>
        <v>0</v>
      </c>
      <c r="J676" s="180">
        <f>(J630/J612)*K79</f>
        <v>0</v>
      </c>
      <c r="K676" s="180">
        <f>(K644/K612)*K75</f>
        <v>0</v>
      </c>
      <c r="L676" s="180">
        <f>(L647/L612)*K80</f>
        <v>0</v>
      </c>
      <c r="M676" s="180">
        <f t="shared" si="20"/>
        <v>0</v>
      </c>
      <c r="N676" s="196" t="s">
        <v>676</v>
      </c>
    </row>
    <row r="677" spans="1:14" ht="12.6" customHeight="1" x14ac:dyDescent="0.25">
      <c r="A677" s="194">
        <v>6210</v>
      </c>
      <c r="B677" s="196" t="s">
        <v>289</v>
      </c>
      <c r="C677" s="180">
        <f>L71</f>
        <v>2751216</v>
      </c>
      <c r="D677" s="180">
        <f>(D615/D612)*L76</f>
        <v>0</v>
      </c>
      <c r="E677" s="180">
        <f>(E623/E612)*SUM(C677:D677)</f>
        <v>639480.06251292536</v>
      </c>
      <c r="F677" s="180">
        <f>(F624/F612)*L64</f>
        <v>0</v>
      </c>
      <c r="G677" s="180">
        <f>(G625/G612)*L77</f>
        <v>575259.80483238294</v>
      </c>
      <c r="H677" s="180">
        <f>(H628/H612)*L60</f>
        <v>10934.491463962908</v>
      </c>
      <c r="I677" s="180">
        <f>(I629/I612)*L78</f>
        <v>737.04099859977748</v>
      </c>
      <c r="J677" s="180">
        <f>(J630/J612)*L79</f>
        <v>0</v>
      </c>
      <c r="K677" s="180">
        <f>(K644/K612)*L75</f>
        <v>150776.86870015037</v>
      </c>
      <c r="L677" s="180">
        <f>(L647/L612)*L80</f>
        <v>44420.052872832843</v>
      </c>
      <c r="M677" s="180">
        <f t="shared" si="20"/>
        <v>1421608</v>
      </c>
      <c r="N677" s="196" t="s">
        <v>677</v>
      </c>
    </row>
    <row r="678" spans="1:14" ht="12.6" customHeight="1" x14ac:dyDescent="0.25">
      <c r="A678" s="194">
        <v>6330</v>
      </c>
      <c r="B678" s="196" t="s">
        <v>678</v>
      </c>
      <c r="C678" s="180">
        <f>M71</f>
        <v>0</v>
      </c>
      <c r="D678" s="180">
        <f>(D615/D612)*M76</f>
        <v>0</v>
      </c>
      <c r="E678" s="180">
        <f>(E623/E612)*SUM(C678:D678)</f>
        <v>0</v>
      </c>
      <c r="F678" s="180">
        <f>(F624/F612)*M64</f>
        <v>0</v>
      </c>
      <c r="G678" s="180">
        <f>(G625/G612)*M77</f>
        <v>0</v>
      </c>
      <c r="H678" s="180">
        <f>(H628/H612)*M60</f>
        <v>0</v>
      </c>
      <c r="I678" s="180">
        <f>(I629/I612)*M78</f>
        <v>0</v>
      </c>
      <c r="J678" s="180">
        <f>(J630/J612)*M79</f>
        <v>0</v>
      </c>
      <c r="K678" s="180">
        <f>(K644/K612)*M75</f>
        <v>0</v>
      </c>
      <c r="L678" s="180">
        <f>(L647/L612)*M80</f>
        <v>0</v>
      </c>
      <c r="M678" s="180">
        <f t="shared" si="20"/>
        <v>0</v>
      </c>
      <c r="N678" s="196" t="s">
        <v>679</v>
      </c>
    </row>
    <row r="679" spans="1:14" ht="12.6" customHeight="1" x14ac:dyDescent="0.25">
      <c r="A679" s="194">
        <v>6400</v>
      </c>
      <c r="B679" s="196" t="s">
        <v>680</v>
      </c>
      <c r="C679" s="180">
        <f>N71</f>
        <v>0</v>
      </c>
      <c r="D679" s="180">
        <f>(D615/D612)*N76</f>
        <v>0</v>
      </c>
      <c r="E679" s="180">
        <f>(E623/E612)*SUM(C679:D679)</f>
        <v>0</v>
      </c>
      <c r="F679" s="180">
        <f>(F624/F612)*J64</f>
        <v>0</v>
      </c>
      <c r="G679" s="180">
        <f>(G625/G612)*N77</f>
        <v>0</v>
      </c>
      <c r="H679" s="180">
        <f>(H628/H612)*N60</f>
        <v>0</v>
      </c>
      <c r="I679" s="180">
        <f>(I629/I612)*N78</f>
        <v>0</v>
      </c>
      <c r="J679" s="180">
        <f>(J630/J612)*N79</f>
        <v>0</v>
      </c>
      <c r="K679" s="180">
        <f>(K644/K612)*N75</f>
        <v>0</v>
      </c>
      <c r="L679" s="180">
        <f>(L647/L612)*N80</f>
        <v>0</v>
      </c>
      <c r="M679" s="180">
        <f t="shared" si="20"/>
        <v>0</v>
      </c>
      <c r="N679" s="196" t="s">
        <v>681</v>
      </c>
    </row>
    <row r="680" spans="1:14" ht="12.6" customHeight="1" x14ac:dyDescent="0.25">
      <c r="A680" s="194">
        <v>7010</v>
      </c>
      <c r="B680" s="196" t="s">
        <v>682</v>
      </c>
      <c r="C680" s="180">
        <f>O71</f>
        <v>596087</v>
      </c>
      <c r="D680" s="180">
        <f>(D615/D612)*O76</f>
        <v>39727.675963685069</v>
      </c>
      <c r="E680" s="180">
        <f>(E623/E612)*SUM(C680:D680)</f>
        <v>147785.8549571872</v>
      </c>
      <c r="F680" s="180">
        <f>(F624/F612)*O64</f>
        <v>0</v>
      </c>
      <c r="G680" s="180">
        <f>(G625/G612)*O77</f>
        <v>0</v>
      </c>
      <c r="H680" s="180">
        <f>(H628/H612)*O60</f>
        <v>1442.7995200767352</v>
      </c>
      <c r="I680" s="180">
        <f>(I629/I612)*O78</f>
        <v>20774.247528868418</v>
      </c>
      <c r="J680" s="180">
        <f>(J630/J612)*O79</f>
        <v>3439.686062536502</v>
      </c>
      <c r="K680" s="180">
        <f>(K644/K612)*O75</f>
        <v>22240.740469618951</v>
      </c>
      <c r="L680" s="180">
        <f>(L647/L612)*O80</f>
        <v>5861.1990487099465</v>
      </c>
      <c r="M680" s="180">
        <f t="shared" si="20"/>
        <v>241272</v>
      </c>
      <c r="N680" s="196" t="s">
        <v>683</v>
      </c>
    </row>
    <row r="681" spans="1:14" ht="12.6" customHeight="1" x14ac:dyDescent="0.25">
      <c r="A681" s="194">
        <v>7020</v>
      </c>
      <c r="B681" s="196" t="s">
        <v>684</v>
      </c>
      <c r="C681" s="180">
        <f>P71</f>
        <v>956944</v>
      </c>
      <c r="D681" s="180">
        <f>(D615/D612)*P76</f>
        <v>45381.614734335461</v>
      </c>
      <c r="E681" s="180">
        <f>(E623/E612)*SUM(C681:D681)</f>
        <v>232975.98108204489</v>
      </c>
      <c r="F681" s="180">
        <f>(F624/F612)*P64</f>
        <v>0</v>
      </c>
      <c r="G681" s="180">
        <f>(G625/G612)*P77</f>
        <v>0</v>
      </c>
      <c r="H681" s="180">
        <f>(H628/H612)*P60</f>
        <v>2565.4950944486454</v>
      </c>
      <c r="I681" s="180">
        <f>(I629/I612)*P78</f>
        <v>23730.784015974379</v>
      </c>
      <c r="J681" s="180">
        <f>(J630/J612)*P79</f>
        <v>23817.668420599795</v>
      </c>
      <c r="K681" s="180">
        <f>(K644/K612)*P75</f>
        <v>158777.0139268834</v>
      </c>
      <c r="L681" s="180">
        <f>(L647/L612)*P80</f>
        <v>10422.014422525384</v>
      </c>
      <c r="M681" s="180">
        <f t="shared" si="20"/>
        <v>497671</v>
      </c>
      <c r="N681" s="196" t="s">
        <v>685</v>
      </c>
    </row>
    <row r="682" spans="1:14" ht="12.6" customHeight="1" x14ac:dyDescent="0.25">
      <c r="A682" s="194">
        <v>7030</v>
      </c>
      <c r="B682" s="196" t="s">
        <v>686</v>
      </c>
      <c r="C682" s="180">
        <f>Q71</f>
        <v>284125</v>
      </c>
      <c r="D682" s="180">
        <f>(D615/D612)*Q76</f>
        <v>23966.696204792377</v>
      </c>
      <c r="E682" s="180">
        <f>(E623/E612)*SUM(C682:D682)</f>
        <v>71611.424602340863</v>
      </c>
      <c r="F682" s="180">
        <f>(F624/F612)*Q64</f>
        <v>0</v>
      </c>
      <c r="G682" s="180">
        <f>(G625/G612)*Q77</f>
        <v>0</v>
      </c>
      <c r="H682" s="180">
        <f>(H628/H612)*Q60</f>
        <v>893.07229867716228</v>
      </c>
      <c r="I682" s="180">
        <f>(I629/I612)*Q78</f>
        <v>12532.575020564198</v>
      </c>
      <c r="J682" s="180">
        <f>(J630/J612)*Q79</f>
        <v>0</v>
      </c>
      <c r="K682" s="180">
        <f>(K644/K612)*Q75</f>
        <v>22466.044528408325</v>
      </c>
      <c r="L682" s="180">
        <f>(L647/L612)*Q80</f>
        <v>3627.9985088693361</v>
      </c>
      <c r="M682" s="180">
        <f t="shared" si="20"/>
        <v>135098</v>
      </c>
      <c r="N682" s="196" t="s">
        <v>687</v>
      </c>
    </row>
    <row r="683" spans="1:14" ht="12.6" customHeight="1" x14ac:dyDescent="0.25">
      <c r="A683" s="194">
        <v>7040</v>
      </c>
      <c r="B683" s="196" t="s">
        <v>107</v>
      </c>
      <c r="C683" s="180">
        <f>R71</f>
        <v>602097</v>
      </c>
      <c r="D683" s="180">
        <f>(D615/D612)*R76</f>
        <v>3002.091382646227</v>
      </c>
      <c r="E683" s="180">
        <f>(E623/E612)*SUM(C683:D683)</f>
        <v>140646.46497544684</v>
      </c>
      <c r="F683" s="180">
        <f>(F624/F612)*R64</f>
        <v>0</v>
      </c>
      <c r="G683" s="180">
        <f>(G625/G612)*R77</f>
        <v>0</v>
      </c>
      <c r="H683" s="180">
        <f>(H628/H612)*R60</f>
        <v>408.17540575340769</v>
      </c>
      <c r="I683" s="180">
        <f>(I629/I612)*R78</f>
        <v>1569.8423825341374</v>
      </c>
      <c r="J683" s="180">
        <f>(J630/J612)*R79</f>
        <v>0</v>
      </c>
      <c r="K683" s="180">
        <f>(K644/K612)*R75</f>
        <v>49213.406094033155</v>
      </c>
      <c r="L683" s="180">
        <f>(L647/L612)*R80</f>
        <v>1658.1633599250367</v>
      </c>
      <c r="M683" s="180">
        <f t="shared" si="20"/>
        <v>196498</v>
      </c>
      <c r="N683" s="196" t="s">
        <v>688</v>
      </c>
    </row>
    <row r="684" spans="1:14" ht="12.6" customHeight="1" x14ac:dyDescent="0.25">
      <c r="A684" s="194">
        <v>7050</v>
      </c>
      <c r="B684" s="196" t="s">
        <v>689</v>
      </c>
      <c r="C684" s="180">
        <f>S71</f>
        <v>980561</v>
      </c>
      <c r="D684" s="180">
        <f>(D615/D612)*S76</f>
        <v>87761.138086024701</v>
      </c>
      <c r="E684" s="180">
        <f>(E623/E612)*SUM(C684:D684)</f>
        <v>248315.91109065706</v>
      </c>
      <c r="F684" s="180">
        <f>(F624/F612)*S64</f>
        <v>0</v>
      </c>
      <c r="G684" s="180">
        <f>(G625/G612)*S77</f>
        <v>0</v>
      </c>
      <c r="H684" s="180">
        <f>(H628/H612)*S60</f>
        <v>0</v>
      </c>
      <c r="I684" s="180">
        <f>(I629/I612)*S78</f>
        <v>45891.72564941462</v>
      </c>
      <c r="J684" s="180">
        <f>(J630/J612)*S79</f>
        <v>0</v>
      </c>
      <c r="K684" s="180">
        <f>(K644/K612)*S75</f>
        <v>102615.03446493564</v>
      </c>
      <c r="L684" s="180">
        <f>(L647/L612)*S80</f>
        <v>0</v>
      </c>
      <c r="M684" s="180">
        <f t="shared" si="20"/>
        <v>484584</v>
      </c>
      <c r="N684" s="196" t="s">
        <v>690</v>
      </c>
    </row>
    <row r="685" spans="1:14" ht="12.6" customHeight="1" x14ac:dyDescent="0.25">
      <c r="A685" s="194">
        <v>7060</v>
      </c>
      <c r="B685" s="196" t="s">
        <v>691</v>
      </c>
      <c r="C685" s="180">
        <f>T71</f>
        <v>0</v>
      </c>
      <c r="D685" s="180">
        <f>(D615/D612)*T76</f>
        <v>0</v>
      </c>
      <c r="E685" s="180">
        <f>(E623/E612)*SUM(C685:D685)</f>
        <v>0</v>
      </c>
      <c r="F685" s="180">
        <f>(F624/F612)*T64</f>
        <v>0</v>
      </c>
      <c r="G685" s="180">
        <f>(G625/G612)*T77</f>
        <v>0</v>
      </c>
      <c r="H685" s="180">
        <f>(H628/H612)*T60</f>
        <v>0</v>
      </c>
      <c r="I685" s="180">
        <f>(I629/I612)*T78</f>
        <v>0</v>
      </c>
      <c r="J685" s="180">
        <f>(J630/J612)*T79</f>
        <v>0</v>
      </c>
      <c r="K685" s="180">
        <f>(K644/K612)*T75</f>
        <v>0</v>
      </c>
      <c r="L685" s="180">
        <f>(L647/L612)*T80</f>
        <v>0</v>
      </c>
      <c r="M685" s="180">
        <f t="shared" si="20"/>
        <v>0</v>
      </c>
      <c r="N685" s="196" t="s">
        <v>692</v>
      </c>
    </row>
    <row r="686" spans="1:14" ht="12.6" customHeight="1" x14ac:dyDescent="0.25">
      <c r="A686" s="194">
        <v>7070</v>
      </c>
      <c r="B686" s="196" t="s">
        <v>109</v>
      </c>
      <c r="C686" s="180">
        <f>U71</f>
        <v>1354606</v>
      </c>
      <c r="D686" s="180">
        <f>(D615/D612)*U76</f>
        <v>36475.410299151656</v>
      </c>
      <c r="E686" s="180">
        <f>(E623/E612)*SUM(C686:D686)</f>
        <v>323336.59996840305</v>
      </c>
      <c r="F686" s="180">
        <f>(F624/F612)*U64</f>
        <v>0</v>
      </c>
      <c r="G686" s="180">
        <f>(G625/G612)*U77</f>
        <v>0</v>
      </c>
      <c r="H686" s="180">
        <f>(H628/H612)*U60</f>
        <v>3535.906578589922</v>
      </c>
      <c r="I686" s="180">
        <f>(I629/I612)*U78</f>
        <v>19073.584947789768</v>
      </c>
      <c r="J686" s="180">
        <f>(J630/J612)*U79</f>
        <v>445.98916114588155</v>
      </c>
      <c r="K686" s="180">
        <f>(K644/K612)*U75</f>
        <v>129213.20248683967</v>
      </c>
      <c r="L686" s="180">
        <f>(L647/L612)*U80</f>
        <v>14364.194045238008</v>
      </c>
      <c r="M686" s="180">
        <f t="shared" si="20"/>
        <v>526445</v>
      </c>
      <c r="N686" s="196" t="s">
        <v>693</v>
      </c>
    </row>
    <row r="687" spans="1:14" ht="12.6" customHeight="1" x14ac:dyDescent="0.25">
      <c r="A687" s="194">
        <v>7110</v>
      </c>
      <c r="B687" s="196" t="s">
        <v>694</v>
      </c>
      <c r="C687" s="180">
        <f>V71</f>
        <v>0</v>
      </c>
      <c r="D687" s="180">
        <f>(D615/D612)*V76</f>
        <v>0</v>
      </c>
      <c r="E687" s="180">
        <f>(E623/E612)*SUM(C687:D687)</f>
        <v>0</v>
      </c>
      <c r="F687" s="180">
        <f>(F624/F612)*V64</f>
        <v>0</v>
      </c>
      <c r="G687" s="180">
        <f>(G625/G612)*V77</f>
        <v>0</v>
      </c>
      <c r="H687" s="180">
        <f>(H628/H612)*V60</f>
        <v>0</v>
      </c>
      <c r="I687" s="180">
        <f>(I629/I612)*V78</f>
        <v>0</v>
      </c>
      <c r="J687" s="180">
        <f>(J630/J612)*V79</f>
        <v>0</v>
      </c>
      <c r="K687" s="180">
        <f>(K644/K612)*V75</f>
        <v>0</v>
      </c>
      <c r="L687" s="180">
        <f>(L647/L612)*V80</f>
        <v>0</v>
      </c>
      <c r="M687" s="180">
        <f t="shared" si="20"/>
        <v>0</v>
      </c>
      <c r="N687" s="196" t="s">
        <v>695</v>
      </c>
    </row>
    <row r="688" spans="1:14" ht="12.6" customHeight="1" x14ac:dyDescent="0.25">
      <c r="A688" s="194">
        <v>7120</v>
      </c>
      <c r="B688" s="196" t="s">
        <v>696</v>
      </c>
      <c r="C688" s="180">
        <f>W71</f>
        <v>0</v>
      </c>
      <c r="D688" s="180">
        <f>(D615/D612)*W76</f>
        <v>0</v>
      </c>
      <c r="E688" s="180">
        <f>(E623/E612)*SUM(C688:D688)</f>
        <v>0</v>
      </c>
      <c r="F688" s="180">
        <f>(F624/F612)*W64</f>
        <v>0</v>
      </c>
      <c r="G688" s="180">
        <f>(G625/G612)*W77</f>
        <v>0</v>
      </c>
      <c r="H688" s="180">
        <f>(H628/H612)*W60</f>
        <v>0</v>
      </c>
      <c r="I688" s="180">
        <f>(I629/I612)*W78</f>
        <v>0</v>
      </c>
      <c r="J688" s="180">
        <f>(J630/J612)*W79</f>
        <v>0</v>
      </c>
      <c r="K688" s="180">
        <f>(K644/K612)*W75</f>
        <v>0</v>
      </c>
      <c r="L688" s="180">
        <f>(L647/L612)*W80</f>
        <v>0</v>
      </c>
      <c r="M688" s="180">
        <f t="shared" si="20"/>
        <v>0</v>
      </c>
      <c r="N688" s="196" t="s">
        <v>697</v>
      </c>
    </row>
    <row r="689" spans="1:14" ht="12.6" customHeight="1" x14ac:dyDescent="0.25">
      <c r="A689" s="194">
        <v>7130</v>
      </c>
      <c r="B689" s="196" t="s">
        <v>698</v>
      </c>
      <c r="C689" s="180">
        <f>X71</f>
        <v>0</v>
      </c>
      <c r="D689" s="180">
        <f>(D615/D612)*X76</f>
        <v>0</v>
      </c>
      <c r="E689" s="180">
        <f>(E623/E612)*SUM(C689:D689)</f>
        <v>0</v>
      </c>
      <c r="F689" s="180">
        <f>(F624/F612)*X64</f>
        <v>0</v>
      </c>
      <c r="G689" s="180">
        <f>(G625/G612)*X77</f>
        <v>0</v>
      </c>
      <c r="H689" s="180">
        <f>(H628/H612)*X60</f>
        <v>0</v>
      </c>
      <c r="I689" s="180">
        <f>(I629/I612)*X78</f>
        <v>0</v>
      </c>
      <c r="J689" s="180">
        <f>(J630/J612)*X79</f>
        <v>0</v>
      </c>
      <c r="K689" s="180">
        <f>(K644/K612)*X75</f>
        <v>0</v>
      </c>
      <c r="L689" s="180">
        <f>(L647/L612)*X80</f>
        <v>0</v>
      </c>
      <c r="M689" s="180">
        <f t="shared" si="20"/>
        <v>0</v>
      </c>
      <c r="N689" s="196" t="s">
        <v>699</v>
      </c>
    </row>
    <row r="690" spans="1:14" ht="12.6" customHeight="1" x14ac:dyDescent="0.25">
      <c r="A690" s="194">
        <v>7140</v>
      </c>
      <c r="B690" s="196" t="s">
        <v>1250</v>
      </c>
      <c r="C690" s="180">
        <f>Y71</f>
        <v>1540815</v>
      </c>
      <c r="D690" s="180">
        <f>(D615/D612)*Y76</f>
        <v>70449.077779431464</v>
      </c>
      <c r="E690" s="180">
        <f>(E623/E612)*SUM(C690:D690)</f>
        <v>374514.85204477649</v>
      </c>
      <c r="F690" s="180">
        <f>(F624/F612)*Y64</f>
        <v>0</v>
      </c>
      <c r="G690" s="180">
        <f>(G625/G612)*Y77</f>
        <v>0</v>
      </c>
      <c r="H690" s="180">
        <f>(H628/H612)*Y60</f>
        <v>2993.3827270209963</v>
      </c>
      <c r="I690" s="180">
        <f>(I629/I612)*Y78</f>
        <v>36838.967910134423</v>
      </c>
      <c r="J690" s="180">
        <f>(J630/J612)*Y79</f>
        <v>23015.865430844569</v>
      </c>
      <c r="K690" s="180">
        <f>(K644/K612)*Y75</f>
        <v>185155.01317488783</v>
      </c>
      <c r="L690" s="180">
        <f>(L647/L612)*Y80</f>
        <v>12160.2563266081</v>
      </c>
      <c r="M690" s="180">
        <f t="shared" si="20"/>
        <v>705127</v>
      </c>
      <c r="N690" s="196" t="s">
        <v>700</v>
      </c>
    </row>
    <row r="691" spans="1:14" ht="12.6" customHeight="1" x14ac:dyDescent="0.25">
      <c r="A691" s="194">
        <v>7150</v>
      </c>
      <c r="B691" s="196" t="s">
        <v>701</v>
      </c>
      <c r="C691" s="180">
        <f>Z71</f>
        <v>0</v>
      </c>
      <c r="D691" s="180">
        <f>(D615/D612)*Z76</f>
        <v>0</v>
      </c>
      <c r="E691" s="180">
        <f>(E623/E612)*SUM(C691:D691)</f>
        <v>0</v>
      </c>
      <c r="F691" s="180">
        <f>(F624/F612)*Z64</f>
        <v>0</v>
      </c>
      <c r="G691" s="180">
        <f>(G625/G612)*Z77</f>
        <v>0</v>
      </c>
      <c r="H691" s="180">
        <f>(H628/H612)*Z60</f>
        <v>0</v>
      </c>
      <c r="I691" s="180">
        <f>(I629/I612)*Z78</f>
        <v>0</v>
      </c>
      <c r="J691" s="180">
        <f>(J630/J612)*Z79</f>
        <v>0</v>
      </c>
      <c r="K691" s="180">
        <f>(K644/K612)*Z75</f>
        <v>0</v>
      </c>
      <c r="L691" s="180">
        <f>(L647/L612)*Z80</f>
        <v>0</v>
      </c>
      <c r="M691" s="180">
        <f t="shared" si="20"/>
        <v>0</v>
      </c>
      <c r="N691" s="196" t="s">
        <v>702</v>
      </c>
    </row>
    <row r="692" spans="1:14" ht="12.6" customHeight="1" x14ac:dyDescent="0.25">
      <c r="A692" s="194">
        <v>7160</v>
      </c>
      <c r="B692" s="196" t="s">
        <v>703</v>
      </c>
      <c r="C692" s="180">
        <f>AA71</f>
        <v>0</v>
      </c>
      <c r="D692" s="180">
        <f>(D615/D612)*AA76</f>
        <v>0</v>
      </c>
      <c r="E692" s="180">
        <f>(E623/E612)*SUM(C692:D692)</f>
        <v>0</v>
      </c>
      <c r="F692" s="180">
        <f>(F624/F612)*AA64</f>
        <v>0</v>
      </c>
      <c r="G692" s="180">
        <f>(G625/G612)*AA77</f>
        <v>0</v>
      </c>
      <c r="H692" s="180">
        <f>(H628/H612)*AA60</f>
        <v>0</v>
      </c>
      <c r="I692" s="180">
        <f>(I629/I612)*AA78</f>
        <v>0</v>
      </c>
      <c r="J692" s="180">
        <f>(J630/J612)*AA79</f>
        <v>0</v>
      </c>
      <c r="K692" s="180">
        <f>(K644/K612)*AA75</f>
        <v>0</v>
      </c>
      <c r="L692" s="180">
        <f>(L647/L612)*AA80</f>
        <v>0</v>
      </c>
      <c r="M692" s="180">
        <f t="shared" si="20"/>
        <v>0</v>
      </c>
      <c r="N692" s="196" t="s">
        <v>704</v>
      </c>
    </row>
    <row r="693" spans="1:14" ht="12.6" customHeight="1" x14ac:dyDescent="0.25">
      <c r="A693" s="194">
        <v>7170</v>
      </c>
      <c r="B693" s="196" t="s">
        <v>115</v>
      </c>
      <c r="C693" s="180">
        <f>AB71</f>
        <v>130017</v>
      </c>
      <c r="D693" s="180">
        <f>(D615/D612)*AB76</f>
        <v>20314.151689239468</v>
      </c>
      <c r="E693" s="180">
        <f>(E623/E612)*SUM(C693:D693)</f>
        <v>34942.285258545649</v>
      </c>
      <c r="F693" s="180">
        <f>(F624/F612)*AB64</f>
        <v>0</v>
      </c>
      <c r="G693" s="180">
        <f>(G625/G612)*AB77</f>
        <v>0</v>
      </c>
      <c r="H693" s="180">
        <f>(H628/H612)*AB60</f>
        <v>779.49419125933662</v>
      </c>
      <c r="I693" s="180">
        <f>(I629/I612)*AB78</f>
        <v>10622.60012181433</v>
      </c>
      <c r="J693" s="180">
        <f>(J630/J612)*AB79</f>
        <v>0</v>
      </c>
      <c r="K693" s="180">
        <f>(K644/K612)*AB75</f>
        <v>108332.74273629043</v>
      </c>
      <c r="L693" s="180">
        <f>(L647/L612)*AB80</f>
        <v>3166.6011450025735</v>
      </c>
      <c r="M693" s="180">
        <f t="shared" si="20"/>
        <v>178158</v>
      </c>
      <c r="N693" s="196" t="s">
        <v>705</v>
      </c>
    </row>
    <row r="694" spans="1:14" ht="12.6" customHeight="1" x14ac:dyDescent="0.25">
      <c r="A694" s="194">
        <v>7180</v>
      </c>
      <c r="B694" s="196" t="s">
        <v>706</v>
      </c>
      <c r="C694" s="180">
        <f>AC71</f>
        <v>109092</v>
      </c>
      <c r="D694" s="180">
        <f>(D615/D612)*AC76</f>
        <v>7154.9844619735077</v>
      </c>
      <c r="E694" s="180">
        <f>(E623/E612)*SUM(C694:D694)</f>
        <v>27019.917334982743</v>
      </c>
      <c r="F694" s="180">
        <f>(F624/F612)*AC64</f>
        <v>0</v>
      </c>
      <c r="G694" s="180">
        <f>(G625/G612)*AC77</f>
        <v>0</v>
      </c>
      <c r="H694" s="180">
        <f>(H628/H612)*AC60</f>
        <v>256.96995483938389</v>
      </c>
      <c r="I694" s="180">
        <f>(I629/I612)*AC78</f>
        <v>3741.4576783730276</v>
      </c>
      <c r="J694" s="180">
        <f>(J630/J612)*AC79</f>
        <v>0</v>
      </c>
      <c r="K694" s="180">
        <f>(K644/K612)*AC75</f>
        <v>25337.526182278052</v>
      </c>
      <c r="L694" s="180">
        <f>(L647/L612)*AC80</f>
        <v>1043.9094509620645</v>
      </c>
      <c r="M694" s="180">
        <f t="shared" si="20"/>
        <v>64555</v>
      </c>
      <c r="N694" s="196" t="s">
        <v>707</v>
      </c>
    </row>
    <row r="695" spans="1:14" ht="12.6" customHeight="1" x14ac:dyDescent="0.25">
      <c r="A695" s="194">
        <v>7190</v>
      </c>
      <c r="B695" s="196" t="s">
        <v>117</v>
      </c>
      <c r="C695" s="180">
        <f>AD71</f>
        <v>0</v>
      </c>
      <c r="D695" s="180">
        <f>(D615/D612)*AD76</f>
        <v>0</v>
      </c>
      <c r="E695" s="180">
        <f>(E623/E612)*SUM(C695:D695)</f>
        <v>0</v>
      </c>
      <c r="F695" s="180">
        <f>(F624/F612)*AD64</f>
        <v>0</v>
      </c>
      <c r="G695" s="180">
        <f>(G625/G612)*AD77</f>
        <v>0</v>
      </c>
      <c r="H695" s="180">
        <f>(H628/H612)*AD60</f>
        <v>0</v>
      </c>
      <c r="I695" s="180">
        <f>(I629/I612)*AD78</f>
        <v>0</v>
      </c>
      <c r="J695" s="180">
        <f>(J630/J612)*AD79</f>
        <v>0</v>
      </c>
      <c r="K695" s="180">
        <f>(K644/K612)*AD75</f>
        <v>0</v>
      </c>
      <c r="L695" s="180">
        <f>(L647/L612)*AD80</f>
        <v>0</v>
      </c>
      <c r="M695" s="180">
        <f t="shared" si="20"/>
        <v>0</v>
      </c>
      <c r="N695" s="196" t="s">
        <v>708</v>
      </c>
    </row>
    <row r="696" spans="1:14" ht="12.6" customHeight="1" x14ac:dyDescent="0.25">
      <c r="A696" s="194">
        <v>7200</v>
      </c>
      <c r="B696" s="196" t="s">
        <v>709</v>
      </c>
      <c r="C696" s="180">
        <f>AE71</f>
        <v>466309</v>
      </c>
      <c r="D696" s="180">
        <f>(D615/D612)*AE76</f>
        <v>54688.098020538768</v>
      </c>
      <c r="E696" s="180">
        <f>(E623/E612)*SUM(C696:D696)</f>
        <v>121098.18233509359</v>
      </c>
      <c r="F696" s="180">
        <f>(F624/F612)*AE64</f>
        <v>0</v>
      </c>
      <c r="G696" s="180">
        <f>(G625/G612)*AE77</f>
        <v>0</v>
      </c>
      <c r="H696" s="180">
        <f>(H628/H612)*AE60</f>
        <v>1701.6934838009367</v>
      </c>
      <c r="I696" s="180">
        <f>(I629/I612)*AE78</f>
        <v>28597.295401830204</v>
      </c>
      <c r="J696" s="180">
        <f>(J630/J612)*AE79</f>
        <v>0</v>
      </c>
      <c r="K696" s="180">
        <f>(K644/K612)*AE75</f>
        <v>37435.261068997796</v>
      </c>
      <c r="L696" s="180">
        <f>(L647/L612)*AE80</f>
        <v>6912.924553731139</v>
      </c>
      <c r="M696" s="180">
        <f t="shared" si="20"/>
        <v>250433</v>
      </c>
      <c r="N696" s="196" t="s">
        <v>710</v>
      </c>
    </row>
    <row r="697" spans="1:14" ht="12.6" customHeight="1" x14ac:dyDescent="0.25">
      <c r="A697" s="194">
        <v>7220</v>
      </c>
      <c r="B697" s="196" t="s">
        <v>711</v>
      </c>
      <c r="C697" s="180">
        <f>AF71</f>
        <v>0</v>
      </c>
      <c r="D697" s="180">
        <f>(D615/D612)*AF76</f>
        <v>0</v>
      </c>
      <c r="E697" s="180">
        <f>(E623/E612)*SUM(C697:D697)</f>
        <v>0</v>
      </c>
      <c r="F697" s="180">
        <f>(F624/F612)*AF64</f>
        <v>0</v>
      </c>
      <c r="G697" s="180">
        <f>(G625/G612)*AF77</f>
        <v>0</v>
      </c>
      <c r="H697" s="180">
        <f>(H628/H612)*AF60</f>
        <v>0</v>
      </c>
      <c r="I697" s="180">
        <f>(I629/I612)*AF78</f>
        <v>0</v>
      </c>
      <c r="J697" s="180">
        <f>(J630/J612)*AF79</f>
        <v>0</v>
      </c>
      <c r="K697" s="180">
        <f>(K644/K612)*AF75</f>
        <v>0</v>
      </c>
      <c r="L697" s="180">
        <f>(L647/L612)*AF80</f>
        <v>0</v>
      </c>
      <c r="M697" s="180">
        <f t="shared" si="20"/>
        <v>0</v>
      </c>
      <c r="N697" s="196" t="s">
        <v>712</v>
      </c>
    </row>
    <row r="698" spans="1:14" ht="12.6" customHeight="1" x14ac:dyDescent="0.25">
      <c r="A698" s="194">
        <v>7230</v>
      </c>
      <c r="B698" s="196" t="s">
        <v>713</v>
      </c>
      <c r="C698" s="180">
        <f>AG71</f>
        <v>2411021</v>
      </c>
      <c r="D698" s="180">
        <f>(D615/D612)*AG76</f>
        <v>71299.670337847885</v>
      </c>
      <c r="E698" s="180">
        <f>(E623/E612)*SUM(C698:D698)</f>
        <v>576979.2620589491</v>
      </c>
      <c r="F698" s="180">
        <f>(F624/F612)*AG64</f>
        <v>0</v>
      </c>
      <c r="G698" s="180">
        <f>(G625/G612)*AG77</f>
        <v>0</v>
      </c>
      <c r="H698" s="180">
        <f>(H628/H612)*AG60</f>
        <v>4481.6997065638707</v>
      </c>
      <c r="I698" s="180">
        <f>(I629/I612)*AG78</f>
        <v>37283.756585185765</v>
      </c>
      <c r="J698" s="180">
        <f>(J630/J612)*AG79</f>
        <v>21722.949933055603</v>
      </c>
      <c r="K698" s="180">
        <f>(K644/K612)*AG75</f>
        <v>290335.559008907</v>
      </c>
      <c r="L698" s="180">
        <f>(L647/L612)*AG80</f>
        <v>18206.364564994266</v>
      </c>
      <c r="M698" s="180">
        <f t="shared" si="20"/>
        <v>1020309</v>
      </c>
      <c r="N698" s="196" t="s">
        <v>714</v>
      </c>
    </row>
    <row r="699" spans="1:14" ht="12.6" customHeight="1" x14ac:dyDescent="0.25">
      <c r="A699" s="194">
        <v>7240</v>
      </c>
      <c r="B699" s="196" t="s">
        <v>119</v>
      </c>
      <c r="C699" s="180">
        <f>AH71</f>
        <v>713577</v>
      </c>
      <c r="D699" s="180">
        <f>(D615/D612)*AH76</f>
        <v>69848.659502902214</v>
      </c>
      <c r="E699" s="180">
        <f>(E623/E612)*SUM(C699:D699)</f>
        <v>182095.87677345061</v>
      </c>
      <c r="F699" s="180">
        <f>(F624/F612)*AH64</f>
        <v>0</v>
      </c>
      <c r="G699" s="180">
        <f>(G625/G612)*AH77</f>
        <v>0</v>
      </c>
      <c r="H699" s="180">
        <f>(H628/H612)*AH60</f>
        <v>9027.2947964519662</v>
      </c>
      <c r="I699" s="180">
        <f>(I629/I612)*AH78</f>
        <v>36524.9994336276</v>
      </c>
      <c r="J699" s="180">
        <f>(J630/J612)*AH79</f>
        <v>9425.1508818214734</v>
      </c>
      <c r="K699" s="180">
        <f>(K644/K612)*AH75</f>
        <v>73874.814143621392</v>
      </c>
      <c r="L699" s="180">
        <f>(L647/L612)*AH80</f>
        <v>36672.296418960868</v>
      </c>
      <c r="M699" s="180">
        <f t="shared" si="20"/>
        <v>417469</v>
      </c>
      <c r="N699" s="196" t="s">
        <v>715</v>
      </c>
    </row>
    <row r="700" spans="1:14" ht="12.6" customHeight="1" x14ac:dyDescent="0.25">
      <c r="A700" s="194">
        <v>7250</v>
      </c>
      <c r="B700" s="196" t="s">
        <v>716</v>
      </c>
      <c r="C700" s="180">
        <f>AI71</f>
        <v>0</v>
      </c>
      <c r="D700" s="180">
        <f>(D615/D612)*AI76</f>
        <v>0</v>
      </c>
      <c r="E700" s="180">
        <f>(E623/E612)*SUM(C700:D700)</f>
        <v>0</v>
      </c>
      <c r="F700" s="180">
        <f>(F624/F612)*AI64</f>
        <v>0</v>
      </c>
      <c r="G700" s="180">
        <f>(G625/G612)*AI77</f>
        <v>0</v>
      </c>
      <c r="H700" s="180">
        <f>(H628/H612)*AI60</f>
        <v>0</v>
      </c>
      <c r="I700" s="180">
        <f>(I629/I612)*AI78</f>
        <v>0</v>
      </c>
      <c r="J700" s="180">
        <f>(J630/J612)*AI79</f>
        <v>0</v>
      </c>
      <c r="K700" s="180">
        <f>(K644/K612)*AI75</f>
        <v>0</v>
      </c>
      <c r="L700" s="180">
        <f>(L647/L612)*AI80</f>
        <v>0</v>
      </c>
      <c r="M700" s="180">
        <f t="shared" si="20"/>
        <v>0</v>
      </c>
      <c r="N700" s="196" t="s">
        <v>717</v>
      </c>
    </row>
    <row r="701" spans="1:14" ht="12.6" customHeight="1" x14ac:dyDescent="0.25">
      <c r="A701" s="194">
        <v>7260</v>
      </c>
      <c r="B701" s="196" t="s">
        <v>121</v>
      </c>
      <c r="C701" s="180">
        <f>AJ71</f>
        <v>5940211</v>
      </c>
      <c r="D701" s="180">
        <f>(D615/D612)*AJ76</f>
        <v>31571.994374162819</v>
      </c>
      <c r="E701" s="180">
        <f>(E623/E612)*SUM(C701:D701)</f>
        <v>1388053.9232673894</v>
      </c>
      <c r="F701" s="180">
        <f>(F624/F612)*AJ64</f>
        <v>0</v>
      </c>
      <c r="G701" s="180">
        <f>(G625/G612)*AJ77</f>
        <v>0</v>
      </c>
      <c r="H701" s="180">
        <f>(H628/H612)*AJ60</f>
        <v>14874.443640680534</v>
      </c>
      <c r="I701" s="180">
        <f>(I629/I612)*AJ78</f>
        <v>16509.509056317343</v>
      </c>
      <c r="J701" s="180">
        <f>(J630/J612)*AJ79</f>
        <v>0</v>
      </c>
      <c r="K701" s="180">
        <f>(K644/K612)*AJ75</f>
        <v>17919.47005137214</v>
      </c>
      <c r="L701" s="180">
        <f>(L647/L612)*AJ80</f>
        <v>60425.633432571209</v>
      </c>
      <c r="M701" s="180">
        <f t="shared" si="20"/>
        <v>1529355</v>
      </c>
      <c r="N701" s="196" t="s">
        <v>718</v>
      </c>
    </row>
    <row r="702" spans="1:14" ht="12.6" customHeight="1" x14ac:dyDescent="0.25">
      <c r="A702" s="194">
        <v>7310</v>
      </c>
      <c r="B702" s="196" t="s">
        <v>719</v>
      </c>
      <c r="C702" s="180">
        <f>AK71</f>
        <v>121994</v>
      </c>
      <c r="D702" s="180">
        <f>(D615/D612)*AK76</f>
        <v>0</v>
      </c>
      <c r="E702" s="180">
        <f>(E623/E612)*SUM(C702:D702)</f>
        <v>28355.727338821023</v>
      </c>
      <c r="F702" s="180">
        <f>(F624/F612)*AK64</f>
        <v>0</v>
      </c>
      <c r="G702" s="180">
        <f>(G625/G612)*AK77</f>
        <v>0</v>
      </c>
      <c r="H702" s="180">
        <f>(H628/H612)*AK60</f>
        <v>436.78360769740016</v>
      </c>
      <c r="I702" s="180">
        <f>(I629/I612)*AK78</f>
        <v>0</v>
      </c>
      <c r="J702" s="180">
        <f>(J630/J612)*AK79</f>
        <v>0</v>
      </c>
      <c r="K702" s="180">
        <f>(K644/K612)*AK75</f>
        <v>12456.5529915518</v>
      </c>
      <c r="L702" s="180">
        <f>(L647/L612)*AK80</f>
        <v>1774.3807301737547</v>
      </c>
      <c r="M702" s="180">
        <f t="shared" si="20"/>
        <v>43023</v>
      </c>
      <c r="N702" s="196" t="s">
        <v>720</v>
      </c>
    </row>
    <row r="703" spans="1:14" ht="12.6" customHeight="1" x14ac:dyDescent="0.25">
      <c r="A703" s="194">
        <v>7320</v>
      </c>
      <c r="B703" s="196" t="s">
        <v>721</v>
      </c>
      <c r="C703" s="180">
        <f>AL71</f>
        <v>0</v>
      </c>
      <c r="D703" s="180">
        <f>(D615/D612)*AL76</f>
        <v>0</v>
      </c>
      <c r="E703" s="180">
        <f>(E623/E612)*SUM(C703:D703)</f>
        <v>0</v>
      </c>
      <c r="F703" s="180">
        <f>(F624/F612)*AL64</f>
        <v>0</v>
      </c>
      <c r="G703" s="180">
        <f>(G625/G612)*AL77</f>
        <v>0</v>
      </c>
      <c r="H703" s="180">
        <f>(H628/H612)*AL60</f>
        <v>0</v>
      </c>
      <c r="I703" s="180">
        <f>(I629/I612)*AL78</f>
        <v>0</v>
      </c>
      <c r="J703" s="180">
        <f>(J630/J612)*AL79</f>
        <v>0</v>
      </c>
      <c r="K703" s="180">
        <f>(K644/K612)*AL75</f>
        <v>0</v>
      </c>
      <c r="L703" s="180">
        <f>(L647/L612)*AL80</f>
        <v>0</v>
      </c>
      <c r="M703" s="180">
        <f t="shared" si="20"/>
        <v>0</v>
      </c>
      <c r="N703" s="196" t="s">
        <v>722</v>
      </c>
    </row>
    <row r="704" spans="1:14" ht="12.6" customHeight="1" x14ac:dyDescent="0.25">
      <c r="A704" s="194">
        <v>7330</v>
      </c>
      <c r="B704" s="196" t="s">
        <v>723</v>
      </c>
      <c r="C704" s="180">
        <f>AM71</f>
        <v>0</v>
      </c>
      <c r="D704" s="180">
        <f>(D615/D612)*AM76</f>
        <v>0</v>
      </c>
      <c r="E704" s="180">
        <f>(E623/E612)*SUM(C704:D704)</f>
        <v>0</v>
      </c>
      <c r="F704" s="180">
        <f>(F624/F612)*AM64</f>
        <v>0</v>
      </c>
      <c r="G704" s="180">
        <f>(G625/G612)*AM77</f>
        <v>0</v>
      </c>
      <c r="H704" s="180">
        <f>(H628/H612)*AM60</f>
        <v>0</v>
      </c>
      <c r="I704" s="180">
        <f>(I629/I612)*AM78</f>
        <v>0</v>
      </c>
      <c r="J704" s="180">
        <f>(J630/J612)*AM79</f>
        <v>0</v>
      </c>
      <c r="K704" s="180">
        <f>(K644/K612)*AM75</f>
        <v>0</v>
      </c>
      <c r="L704" s="180">
        <f>(L647/L612)*AM80</f>
        <v>0</v>
      </c>
      <c r="M704" s="180">
        <f t="shared" si="20"/>
        <v>0</v>
      </c>
      <c r="N704" s="196" t="s">
        <v>724</v>
      </c>
    </row>
    <row r="705" spans="1:15" ht="12.6" customHeight="1" x14ac:dyDescent="0.25">
      <c r="A705" s="194">
        <v>7340</v>
      </c>
      <c r="B705" s="196" t="s">
        <v>725</v>
      </c>
      <c r="C705" s="180">
        <f>AN71</f>
        <v>0</v>
      </c>
      <c r="D705" s="180">
        <f>(D615/D612)*AN76</f>
        <v>0</v>
      </c>
      <c r="E705" s="180">
        <f>(E623/E612)*SUM(C705:D705)</f>
        <v>0</v>
      </c>
      <c r="F705" s="180">
        <f>(F624/F612)*AN64</f>
        <v>0</v>
      </c>
      <c r="G705" s="180">
        <f>(G625/G612)*AN77</f>
        <v>0</v>
      </c>
      <c r="H705" s="180">
        <f>(H628/H612)*AN60</f>
        <v>0</v>
      </c>
      <c r="I705" s="180">
        <f>(I629/I612)*AN78</f>
        <v>0</v>
      </c>
      <c r="J705" s="180">
        <f>(J630/J612)*AN79</f>
        <v>0</v>
      </c>
      <c r="K705" s="180">
        <f>(K644/K612)*AN75</f>
        <v>0</v>
      </c>
      <c r="L705" s="180">
        <f>(L647/L612)*AN80</f>
        <v>0</v>
      </c>
      <c r="M705" s="180">
        <f t="shared" si="20"/>
        <v>0</v>
      </c>
      <c r="N705" s="196" t="s">
        <v>726</v>
      </c>
    </row>
    <row r="706" spans="1:15" ht="12.6" customHeight="1" x14ac:dyDescent="0.25">
      <c r="A706" s="194">
        <v>7350</v>
      </c>
      <c r="B706" s="196" t="s">
        <v>727</v>
      </c>
      <c r="C706" s="180">
        <f>AO71</f>
        <v>0</v>
      </c>
      <c r="D706" s="180">
        <f>(D615/D612)*AO76</f>
        <v>0</v>
      </c>
      <c r="E706" s="180">
        <f>(E623/E612)*SUM(C706:D706)</f>
        <v>0</v>
      </c>
      <c r="F706" s="180">
        <f>(F624/F612)*AO64</f>
        <v>0</v>
      </c>
      <c r="G706" s="180">
        <f>(G625/G612)*AO77</f>
        <v>0</v>
      </c>
      <c r="H706" s="180">
        <f>(H628/H612)*AO60</f>
        <v>0</v>
      </c>
      <c r="I706" s="180">
        <f>(I629/I612)*AO78</f>
        <v>0</v>
      </c>
      <c r="J706" s="180">
        <f>(J630/J612)*AO79</f>
        <v>0</v>
      </c>
      <c r="K706" s="180">
        <f>(K644/K612)*AO75</f>
        <v>9632.4126866270399</v>
      </c>
      <c r="L706" s="180">
        <f>(L647/L612)*AO80</f>
        <v>0</v>
      </c>
      <c r="M706" s="180">
        <f t="shared" si="20"/>
        <v>9632</v>
      </c>
      <c r="N706" s="196" t="s">
        <v>728</v>
      </c>
    </row>
    <row r="707" spans="1:15" ht="12.6" customHeight="1" x14ac:dyDescent="0.25">
      <c r="A707" s="194">
        <v>7380</v>
      </c>
      <c r="B707" s="196" t="s">
        <v>729</v>
      </c>
      <c r="C707" s="180">
        <f>AP71</f>
        <v>0</v>
      </c>
      <c r="D707" s="180">
        <f>(D615/D612)*AP76</f>
        <v>0</v>
      </c>
      <c r="E707" s="180">
        <f>(E623/E612)*SUM(C707:D707)</f>
        <v>0</v>
      </c>
      <c r="F707" s="180">
        <f>(F624/F612)*AP64</f>
        <v>0</v>
      </c>
      <c r="G707" s="180">
        <f>(G625/G612)*AP77</f>
        <v>0</v>
      </c>
      <c r="H707" s="180">
        <f>(H628/H612)*AP60</f>
        <v>0</v>
      </c>
      <c r="I707" s="180">
        <f>(I629/I612)*AP78</f>
        <v>0</v>
      </c>
      <c r="J707" s="180">
        <f>(J630/J612)*AP79</f>
        <v>0</v>
      </c>
      <c r="K707" s="180">
        <f>(K644/K612)*AP75</f>
        <v>0</v>
      </c>
      <c r="L707" s="180">
        <f>(L647/L612)*AP80</f>
        <v>0</v>
      </c>
      <c r="M707" s="180">
        <f t="shared" si="20"/>
        <v>0</v>
      </c>
      <c r="N707" s="196" t="s">
        <v>730</v>
      </c>
    </row>
    <row r="708" spans="1:15" ht="12.6" customHeight="1" x14ac:dyDescent="0.25">
      <c r="A708" s="194">
        <v>7390</v>
      </c>
      <c r="B708" s="196" t="s">
        <v>731</v>
      </c>
      <c r="C708" s="180">
        <f>AQ71</f>
        <v>0</v>
      </c>
      <c r="D708" s="180">
        <f>(D615/D612)*AQ76</f>
        <v>0</v>
      </c>
      <c r="E708" s="180">
        <f>(E623/E612)*SUM(C708:D708)</f>
        <v>0</v>
      </c>
      <c r="F708" s="180">
        <f>(F624/F612)*AQ64</f>
        <v>0</v>
      </c>
      <c r="G708" s="180">
        <f>(G625/G612)*AQ77</f>
        <v>0</v>
      </c>
      <c r="H708" s="180">
        <f>(H628/H612)*AQ60</f>
        <v>0</v>
      </c>
      <c r="I708" s="180">
        <f>(I629/I612)*AQ78</f>
        <v>0</v>
      </c>
      <c r="J708" s="180">
        <f>(J630/J612)*AQ79</f>
        <v>0</v>
      </c>
      <c r="K708" s="180">
        <f>(K644/K612)*AQ75</f>
        <v>0</v>
      </c>
      <c r="L708" s="180">
        <f>(L647/L612)*AQ80</f>
        <v>0</v>
      </c>
      <c r="M708" s="180">
        <f t="shared" si="20"/>
        <v>0</v>
      </c>
      <c r="N708" s="196" t="s">
        <v>732</v>
      </c>
    </row>
    <row r="709" spans="1:15" ht="12.6" customHeight="1" x14ac:dyDescent="0.25">
      <c r="A709" s="194">
        <v>7400</v>
      </c>
      <c r="B709" s="196" t="s">
        <v>733</v>
      </c>
      <c r="C709" s="180">
        <f>AR71</f>
        <v>-1784</v>
      </c>
      <c r="D709" s="180">
        <f>(D615/D612)*AR76</f>
        <v>0</v>
      </c>
      <c r="E709" s="180">
        <f>(E623/E612)*SUM(C709:D709)</f>
        <v>-414.6647996824164</v>
      </c>
      <c r="F709" s="180">
        <f>(F624/F612)*AR64</f>
        <v>0</v>
      </c>
      <c r="G709" s="180">
        <f>(G625/G612)*AR77</f>
        <v>0</v>
      </c>
      <c r="H709" s="180">
        <f>(H628/H612)*AR60</f>
        <v>0</v>
      </c>
      <c r="I709" s="180">
        <f>(I629/I612)*AR78</f>
        <v>0</v>
      </c>
      <c r="J709" s="180">
        <f>(J630/J612)*AR79</f>
        <v>0</v>
      </c>
      <c r="K709" s="180">
        <f>(K644/K612)*AR75</f>
        <v>0</v>
      </c>
      <c r="L709" s="180">
        <f>(L647/L612)*AR80</f>
        <v>0</v>
      </c>
      <c r="M709" s="180">
        <f t="shared" si="20"/>
        <v>-415</v>
      </c>
      <c r="N709" s="196" t="s">
        <v>734</v>
      </c>
    </row>
    <row r="710" spans="1:15" ht="12.6" customHeight="1" x14ac:dyDescent="0.25">
      <c r="A710" s="194">
        <v>7410</v>
      </c>
      <c r="B710" s="196" t="s">
        <v>129</v>
      </c>
      <c r="C710" s="180">
        <f>AS71</f>
        <v>0</v>
      </c>
      <c r="D710" s="180">
        <f>(D615/D612)*AS76</f>
        <v>0</v>
      </c>
      <c r="E710" s="180">
        <f>(E623/E612)*SUM(C710:D710)</f>
        <v>0</v>
      </c>
      <c r="F710" s="180">
        <f>(F624/F612)*AS64</f>
        <v>0</v>
      </c>
      <c r="G710" s="180">
        <f>(G625/G612)*AS77</f>
        <v>0</v>
      </c>
      <c r="H710" s="180">
        <f>(H628/H612)*AS60</f>
        <v>0</v>
      </c>
      <c r="I710" s="180">
        <f>(I629/I612)*AS78</f>
        <v>0</v>
      </c>
      <c r="J710" s="180">
        <f>(J630/J612)*AS79</f>
        <v>0</v>
      </c>
      <c r="K710" s="180">
        <f>(K644/K612)*AS75</f>
        <v>0</v>
      </c>
      <c r="L710" s="180">
        <f>(L647/L612)*AS80</f>
        <v>0</v>
      </c>
      <c r="M710" s="180">
        <f t="shared" si="20"/>
        <v>0</v>
      </c>
      <c r="N710" s="196" t="s">
        <v>735</v>
      </c>
    </row>
    <row r="711" spans="1:15" ht="12.6" customHeight="1" x14ac:dyDescent="0.25">
      <c r="A711" s="194">
        <v>7420</v>
      </c>
      <c r="B711" s="196" t="s">
        <v>736</v>
      </c>
      <c r="C711" s="180">
        <f>AT71</f>
        <v>0</v>
      </c>
      <c r="D711" s="180">
        <f>(D615/D612)*AT76</f>
        <v>0</v>
      </c>
      <c r="E711" s="180">
        <f>(E623/E612)*SUM(C711:D711)</f>
        <v>0</v>
      </c>
      <c r="F711" s="180">
        <f>(F624/F612)*AT64</f>
        <v>0</v>
      </c>
      <c r="G711" s="180">
        <f>(G625/G612)*AT77</f>
        <v>0</v>
      </c>
      <c r="H711" s="180">
        <f>(H628/H612)*AT60</f>
        <v>0</v>
      </c>
      <c r="I711" s="180">
        <f>(I629/I612)*AT78</f>
        <v>0</v>
      </c>
      <c r="J711" s="180">
        <f>(J630/J612)*AT79</f>
        <v>0</v>
      </c>
      <c r="K711" s="180">
        <f>(K644/K612)*AT75</f>
        <v>0</v>
      </c>
      <c r="L711" s="180">
        <f>(L647/L612)*AT80</f>
        <v>0</v>
      </c>
      <c r="M711" s="180">
        <f t="shared" si="20"/>
        <v>0</v>
      </c>
      <c r="N711" s="196" t="s">
        <v>737</v>
      </c>
    </row>
    <row r="712" spans="1:15" ht="12.6" customHeight="1" x14ac:dyDescent="0.25">
      <c r="A712" s="194">
        <v>7430</v>
      </c>
      <c r="B712" s="196" t="s">
        <v>738</v>
      </c>
      <c r="C712" s="180">
        <f>AU71</f>
        <v>0</v>
      </c>
      <c r="D712" s="180">
        <f>(D615/D612)*AU76</f>
        <v>0</v>
      </c>
      <c r="E712" s="180">
        <f>(E623/E612)*SUM(C712:D712)</f>
        <v>0</v>
      </c>
      <c r="F712" s="180">
        <f>(F624/F612)*AU64</f>
        <v>0</v>
      </c>
      <c r="G712" s="180">
        <f>(G625/G612)*AU77</f>
        <v>0</v>
      </c>
      <c r="H712" s="180">
        <f>(H628/H612)*AU60</f>
        <v>0</v>
      </c>
      <c r="I712" s="180">
        <f>(I629/I612)*AU78</f>
        <v>0</v>
      </c>
      <c r="J712" s="180">
        <f>(J630/J612)*AU79</f>
        <v>0</v>
      </c>
      <c r="K712" s="180">
        <f>(K644/K612)*AU75</f>
        <v>0</v>
      </c>
      <c r="L712" s="180">
        <f>(L647/L612)*AU80</f>
        <v>0</v>
      </c>
      <c r="M712" s="180">
        <f t="shared" si="20"/>
        <v>0</v>
      </c>
      <c r="N712" s="196" t="s">
        <v>739</v>
      </c>
    </row>
    <row r="713" spans="1:15" ht="12.6" customHeight="1" x14ac:dyDescent="0.25">
      <c r="A713" s="194">
        <v>7490</v>
      </c>
      <c r="B713" s="196" t="s">
        <v>740</v>
      </c>
      <c r="C713" s="180">
        <f>AV71</f>
        <v>1250</v>
      </c>
      <c r="D713" s="180">
        <f>(D615/D612)*AV76</f>
        <v>0</v>
      </c>
      <c r="E713" s="180">
        <f>(E623/E612)*SUM(C713:D713)</f>
        <v>290.54428228868863</v>
      </c>
      <c r="F713" s="180">
        <f>(F624/F612)*AV64</f>
        <v>0</v>
      </c>
      <c r="G713" s="180">
        <f>(G625/G612)*AV77</f>
        <v>0</v>
      </c>
      <c r="H713" s="180">
        <f>(H628/H612)*AV60</f>
        <v>0</v>
      </c>
      <c r="I713" s="180">
        <f>(I629/I612)*AV78</f>
        <v>0</v>
      </c>
      <c r="J713" s="180">
        <f>(J630/J612)*AV79</f>
        <v>0</v>
      </c>
      <c r="K713" s="180">
        <f>(K644/K612)*AV75</f>
        <v>0</v>
      </c>
      <c r="L713" s="180">
        <f>(L647/L612)*AV80</f>
        <v>0</v>
      </c>
      <c r="M713" s="180">
        <f t="shared" si="20"/>
        <v>291</v>
      </c>
      <c r="N713" s="197" t="s">
        <v>741</v>
      </c>
    </row>
    <row r="715" spans="1:15" ht="12.6" customHeight="1" x14ac:dyDescent="0.25">
      <c r="C715" s="180">
        <f>SUM(C614:C647)+SUM(C668:C713)</f>
        <v>28640621</v>
      </c>
      <c r="D715" s="180">
        <f>SUM(D616:D647)+SUM(D668:D713)</f>
        <v>1680921</v>
      </c>
      <c r="E715" s="180">
        <f>SUM(E624:E647)+SUM(E668:E713)</f>
        <v>5401577.0714392019</v>
      </c>
      <c r="F715" s="180">
        <f>SUM(F625:F648)+SUM(F668:F713)</f>
        <v>0</v>
      </c>
      <c r="G715" s="180">
        <f>SUM(G626:G647)+SUM(G668:G713)</f>
        <v>733677.35541132942</v>
      </c>
      <c r="H715" s="180">
        <f>SUM(H629:H647)+SUM(H668:H713)</f>
        <v>68679.81117947388</v>
      </c>
      <c r="I715" s="180">
        <f>SUM(I630:I647)+SUM(I668:I713)</f>
        <v>329586.83837065956</v>
      </c>
      <c r="J715" s="180">
        <f>SUM(J631:J647)+SUM(J668:J713)</f>
        <v>157887.90778429399</v>
      </c>
      <c r="K715" s="180">
        <f>SUM(K668:K713)</f>
        <v>1591813.9653576016</v>
      </c>
      <c r="L715" s="180">
        <f>SUM(L668:L713)</f>
        <v>239275.59208711245</v>
      </c>
      <c r="M715" s="180">
        <f>SUM(M668:M713)</f>
        <v>8459324</v>
      </c>
      <c r="N715" s="196" t="s">
        <v>742</v>
      </c>
    </row>
    <row r="716" spans="1:15" ht="12.6" customHeight="1" x14ac:dyDescent="0.25">
      <c r="C716" s="180">
        <f>CE71</f>
        <v>28640621</v>
      </c>
      <c r="D716" s="180">
        <f>D615</f>
        <v>1680921</v>
      </c>
      <c r="E716" s="180">
        <f>E623</f>
        <v>5401577.0714392029</v>
      </c>
      <c r="F716" s="180">
        <f>F624</f>
        <v>0</v>
      </c>
      <c r="G716" s="180">
        <f>G625</f>
        <v>733677.35541132942</v>
      </c>
      <c r="H716" s="180">
        <f>H628</f>
        <v>68679.811179473909</v>
      </c>
      <c r="I716" s="180">
        <f>I629</f>
        <v>329586.83837065962</v>
      </c>
      <c r="J716" s="180">
        <f>J630</f>
        <v>157887.90778429399</v>
      </c>
      <c r="K716" s="180">
        <f>K644</f>
        <v>1591813.9653576016</v>
      </c>
      <c r="L716" s="180">
        <f>L647</f>
        <v>239275.5920871124</v>
      </c>
      <c r="M716" s="180">
        <f>C648</f>
        <v>8459326</v>
      </c>
      <c r="N716" s="196" t="s">
        <v>743</v>
      </c>
    </row>
    <row r="717" spans="1:15" ht="12.6" customHeight="1" x14ac:dyDescent="0.25">
      <c r="O717" s="196"/>
    </row>
    <row r="718" spans="1:15" ht="12.6" customHeight="1" x14ac:dyDescent="0.25">
      <c r="O718" s="196"/>
    </row>
    <row r="719" spans="1:15" ht="12.6" customHeight="1" x14ac:dyDescent="0.25">
      <c r="O719" s="196"/>
    </row>
  </sheetData>
  <mergeCells count="1">
    <mergeCell ref="B220:C220"/>
  </mergeCells>
  <phoneticPr fontId="0" type="noConversion"/>
  <hyperlinks>
    <hyperlink ref="F16" r:id="rId1"/>
    <hyperlink ref="C17" r:id="rId2"/>
  </hyperlinks>
  <printOptions horizontalCentered="1" gridLinesSet="0"/>
  <pageMargins left="0.25" right="0.25" top="0.5" bottom="0.5" header="0.5" footer="0.5"/>
  <pageSetup scale="95" orientation="portrait" r:id="rId3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BR55" transitionEvaluation="1" transitionEntry="1" codeName="Sheet10">
    <pageSetUpPr autoPageBreaks="0" fitToPage="1"/>
  </sheetPr>
  <dimension ref="A1:CF816"/>
  <sheetViews>
    <sheetView showGridLines="0" topLeftCell="BR55" zoomScale="75" workbookViewId="0">
      <selection activeCell="CE85" sqref="CE85"/>
    </sheetView>
  </sheetViews>
  <sheetFormatPr defaultColWidth="11.75" defaultRowHeight="12.6" customHeight="1" x14ac:dyDescent="0.25"/>
  <cols>
    <col min="1" max="1" width="29.58203125" style="180" customWidth="1"/>
    <col min="2" max="2" width="15.58203125" style="180" customWidth="1"/>
    <col min="3" max="3" width="14.75" style="180" customWidth="1"/>
    <col min="4" max="4" width="11.33203125" style="180" customWidth="1"/>
    <col min="5" max="16384" width="11.75" style="180"/>
  </cols>
  <sheetData>
    <row r="1" spans="1:6" ht="12.75" customHeight="1" x14ac:dyDescent="0.25">
      <c r="A1" s="226" t="s">
        <v>1232</v>
      </c>
      <c r="B1" s="227"/>
      <c r="C1" s="227"/>
      <c r="D1" s="227"/>
      <c r="E1" s="227"/>
      <c r="F1" s="227"/>
    </row>
    <row r="2" spans="1:6" ht="12.75" customHeight="1" x14ac:dyDescent="0.25">
      <c r="A2" s="227" t="s">
        <v>1233</v>
      </c>
      <c r="B2" s="227"/>
      <c r="C2" s="228"/>
      <c r="D2" s="227"/>
      <c r="E2" s="227"/>
      <c r="F2" s="227"/>
    </row>
    <row r="3" spans="1:6" ht="12.75" customHeight="1" x14ac:dyDescent="0.25">
      <c r="A3" s="197"/>
      <c r="C3" s="229"/>
    </row>
    <row r="4" spans="1:6" ht="12.75" customHeight="1" x14ac:dyDescent="0.25">
      <c r="C4" s="229"/>
    </row>
    <row r="5" spans="1:6" ht="12.75" customHeight="1" x14ac:dyDescent="0.25">
      <c r="A5" s="197" t="s">
        <v>1261</v>
      </c>
      <c r="C5" s="229"/>
    </row>
    <row r="6" spans="1:6" ht="12.75" customHeight="1" x14ac:dyDescent="0.25">
      <c r="A6" s="197" t="s">
        <v>0</v>
      </c>
      <c r="C6" s="229"/>
    </row>
    <row r="7" spans="1:6" ht="12.75" customHeight="1" x14ac:dyDescent="0.25">
      <c r="A7" s="197" t="s">
        <v>1</v>
      </c>
      <c r="C7" s="229"/>
    </row>
    <row r="8" spans="1:6" ht="12.75" customHeight="1" x14ac:dyDescent="0.25">
      <c r="C8" s="229"/>
    </row>
    <row r="9" spans="1:6" ht="12.75" customHeight="1" x14ac:dyDescent="0.25">
      <c r="C9" s="229"/>
    </row>
    <row r="10" spans="1:6" ht="12.75" customHeight="1" x14ac:dyDescent="0.25">
      <c r="A10" s="196" t="s">
        <v>1228</v>
      </c>
      <c r="C10" s="229"/>
    </row>
    <row r="11" spans="1:6" ht="12.75" customHeight="1" x14ac:dyDescent="0.25">
      <c r="A11" s="196" t="s">
        <v>1231</v>
      </c>
      <c r="C11" s="229"/>
    </row>
    <row r="12" spans="1:6" ht="12.75" customHeight="1" x14ac:dyDescent="0.25">
      <c r="C12" s="229"/>
    </row>
    <row r="13" spans="1:6" ht="12.75" customHeight="1" x14ac:dyDescent="0.25">
      <c r="C13" s="229"/>
    </row>
    <row r="14" spans="1:6" ht="12.75" customHeight="1" x14ac:dyDescent="0.25">
      <c r="A14" s="197" t="s">
        <v>2</v>
      </c>
      <c r="C14" s="229"/>
    </row>
    <row r="15" spans="1:6" ht="12.75" customHeight="1" x14ac:dyDescent="0.25">
      <c r="A15" s="197"/>
      <c r="C15" s="229"/>
    </row>
    <row r="16" spans="1:6" ht="12.75" customHeight="1" x14ac:dyDescent="0.25">
      <c r="A16" s="180" t="s">
        <v>1255</v>
      </c>
      <c r="C16" s="229"/>
      <c r="E16" s="230" t="s">
        <v>1254</v>
      </c>
    </row>
    <row r="17" spans="1:6" ht="12.75" customHeight="1" x14ac:dyDescent="0.25">
      <c r="A17" s="180" t="s">
        <v>1230</v>
      </c>
      <c r="C17" s="230" t="s">
        <v>1254</v>
      </c>
    </row>
    <row r="18" spans="1:6" ht="12.75" customHeight="1" x14ac:dyDescent="0.25">
      <c r="A18" s="221"/>
      <c r="C18" s="229"/>
    </row>
    <row r="19" spans="1:6" ht="12.75" customHeight="1" x14ac:dyDescent="0.25">
      <c r="C19" s="229"/>
    </row>
    <row r="20" spans="1:6" ht="12.75" customHeight="1" x14ac:dyDescent="0.25">
      <c r="A20" s="231" t="s">
        <v>1234</v>
      </c>
      <c r="B20" s="231"/>
      <c r="C20" s="232"/>
      <c r="D20" s="231"/>
      <c r="E20" s="231"/>
      <c r="F20" s="231"/>
    </row>
    <row r="21" spans="1:6" ht="22.5" customHeight="1" x14ac:dyDescent="0.25">
      <c r="A21" s="197"/>
      <c r="C21" s="229"/>
    </row>
    <row r="22" spans="1:6" ht="12.6" customHeight="1" x14ac:dyDescent="0.25">
      <c r="A22" s="233" t="s">
        <v>1256</v>
      </c>
      <c r="B22" s="234"/>
      <c r="C22" s="235"/>
      <c r="D22" s="233"/>
      <c r="E22" s="233"/>
    </row>
    <row r="23" spans="1:6" ht="12.6" customHeight="1" x14ac:dyDescent="0.25">
      <c r="B23" s="197"/>
      <c r="C23" s="229"/>
    </row>
    <row r="24" spans="1:6" ht="12.6" customHeight="1" x14ac:dyDescent="0.25">
      <c r="A24" s="236" t="s">
        <v>3</v>
      </c>
      <c r="C24" s="229"/>
    </row>
    <row r="25" spans="1:6" ht="12.6" customHeight="1" x14ac:dyDescent="0.25">
      <c r="A25" s="196" t="s">
        <v>1235</v>
      </c>
      <c r="C25" s="229"/>
    </row>
    <row r="26" spans="1:6" ht="12.6" customHeight="1" x14ac:dyDescent="0.25">
      <c r="A26" s="197" t="s">
        <v>4</v>
      </c>
      <c r="C26" s="229"/>
    </row>
    <row r="27" spans="1:6" ht="12.6" customHeight="1" x14ac:dyDescent="0.25">
      <c r="A27" s="196" t="s">
        <v>1236</v>
      </c>
      <c r="C27" s="229"/>
    </row>
    <row r="28" spans="1:6" ht="12.6" customHeight="1" x14ac:dyDescent="0.25">
      <c r="A28" s="197" t="s">
        <v>5</v>
      </c>
      <c r="C28" s="229"/>
    </row>
    <row r="29" spans="1:6" ht="12.6" customHeight="1" x14ac:dyDescent="0.25">
      <c r="A29" s="196"/>
      <c r="C29" s="229"/>
    </row>
    <row r="30" spans="1:6" ht="12.6" customHeight="1" x14ac:dyDescent="0.25">
      <c r="A30" s="180" t="s">
        <v>6</v>
      </c>
      <c r="C30" s="229"/>
    </row>
    <row r="31" spans="1:6" ht="12.6" customHeight="1" x14ac:dyDescent="0.25">
      <c r="A31" s="197" t="s">
        <v>7</v>
      </c>
      <c r="C31" s="229"/>
    </row>
    <row r="32" spans="1:6" ht="12.6" customHeight="1" x14ac:dyDescent="0.25">
      <c r="A32" s="197" t="s">
        <v>8</v>
      </c>
      <c r="C32" s="229"/>
    </row>
    <row r="33" spans="1:83" ht="12.6" customHeight="1" x14ac:dyDescent="0.25">
      <c r="A33" s="196" t="s">
        <v>1237</v>
      </c>
      <c r="C33" s="229"/>
    </row>
    <row r="34" spans="1:83" ht="12.6" customHeight="1" x14ac:dyDescent="0.25">
      <c r="A34" s="197" t="s">
        <v>9</v>
      </c>
      <c r="C34" s="229"/>
    </row>
    <row r="35" spans="1:83" ht="12.6" customHeight="1" x14ac:dyDescent="0.25">
      <c r="A35" s="197"/>
      <c r="C35" s="229"/>
    </row>
    <row r="36" spans="1:83" ht="12.6" customHeight="1" x14ac:dyDescent="0.25">
      <c r="A36" s="196" t="s">
        <v>1238</v>
      </c>
      <c r="C36" s="229"/>
    </row>
    <row r="37" spans="1:83" ht="12.6" customHeight="1" x14ac:dyDescent="0.25">
      <c r="A37" s="197" t="s">
        <v>1229</v>
      </c>
      <c r="C37" s="229"/>
    </row>
    <row r="38" spans="1:83" ht="12" customHeight="1" x14ac:dyDescent="0.25">
      <c r="A38" s="196"/>
      <c r="C38" s="229"/>
    </row>
    <row r="39" spans="1:83" ht="12.6" customHeight="1" x14ac:dyDescent="0.25">
      <c r="A39" s="197"/>
      <c r="C39" s="229"/>
    </row>
    <row r="40" spans="1:83" ht="12" customHeight="1" x14ac:dyDescent="0.25">
      <c r="A40" s="197"/>
      <c r="C40" s="229"/>
    </row>
    <row r="41" spans="1:83" ht="12" customHeight="1" x14ac:dyDescent="0.25">
      <c r="A41" s="197"/>
      <c r="C41" s="237"/>
      <c r="D41" s="238"/>
      <c r="E41" s="237"/>
      <c r="F41" s="237"/>
      <c r="G41" s="237"/>
      <c r="H41" s="237"/>
      <c r="I41" s="237"/>
      <c r="J41" s="237"/>
      <c r="K41" s="237"/>
      <c r="L41" s="237"/>
      <c r="M41" s="237"/>
      <c r="N41" s="237"/>
      <c r="O41" s="237"/>
      <c r="P41" s="237"/>
      <c r="Q41" s="237"/>
      <c r="R41" s="237"/>
      <c r="S41" s="237"/>
      <c r="T41" s="237"/>
      <c r="U41" s="237"/>
      <c r="V41" s="237"/>
      <c r="W41" s="237"/>
      <c r="X41" s="237"/>
      <c r="Y41" s="237"/>
      <c r="Z41" s="237"/>
      <c r="AA41" s="237"/>
      <c r="AB41" s="237"/>
      <c r="AC41" s="237"/>
      <c r="AD41" s="237"/>
      <c r="AE41" s="237"/>
      <c r="AF41" s="237"/>
      <c r="AG41" s="237"/>
      <c r="AH41" s="237"/>
      <c r="AI41" s="237"/>
      <c r="AJ41" s="237"/>
      <c r="AK41" s="237"/>
      <c r="AL41" s="237"/>
      <c r="AM41" s="237"/>
      <c r="AN41" s="237"/>
      <c r="AO41" s="237"/>
      <c r="AP41" s="237"/>
      <c r="AQ41" s="237"/>
      <c r="AR41" s="237"/>
      <c r="AS41" s="237"/>
      <c r="AT41" s="237"/>
      <c r="AU41" s="237"/>
      <c r="AV41" s="237"/>
      <c r="AW41" s="237"/>
      <c r="AX41" s="237"/>
      <c r="AY41" s="237"/>
      <c r="AZ41" s="237"/>
      <c r="BA41" s="237"/>
      <c r="BB41" s="237"/>
      <c r="BC41" s="237"/>
      <c r="BD41" s="237"/>
      <c r="BE41" s="237"/>
      <c r="BF41" s="237"/>
      <c r="BG41" s="237"/>
      <c r="BH41" s="237"/>
      <c r="BI41" s="237"/>
      <c r="BJ41" s="237"/>
      <c r="BK41" s="237"/>
      <c r="BL41" s="237"/>
      <c r="BM41" s="237"/>
      <c r="BN41" s="237"/>
      <c r="BO41" s="237"/>
      <c r="BP41" s="237"/>
      <c r="BQ41" s="237"/>
      <c r="BR41" s="237"/>
      <c r="BS41" s="237"/>
      <c r="BT41" s="237"/>
      <c r="BU41" s="237"/>
      <c r="BV41" s="237"/>
      <c r="BW41" s="237"/>
      <c r="BX41" s="237"/>
      <c r="BY41" s="237"/>
      <c r="BZ41" s="237"/>
      <c r="CA41" s="237"/>
      <c r="CB41" s="237"/>
      <c r="CC41" s="237"/>
    </row>
    <row r="42" spans="1:83" ht="12" customHeight="1" x14ac:dyDescent="0.25">
      <c r="A42" s="197"/>
      <c r="C42" s="237"/>
      <c r="D42" s="238"/>
      <c r="E42" s="237"/>
      <c r="F42" s="237"/>
      <c r="G42" s="237"/>
      <c r="H42" s="237"/>
      <c r="I42" s="237"/>
      <c r="J42" s="237"/>
      <c r="K42" s="237"/>
      <c r="L42" s="237"/>
      <c r="M42" s="237"/>
      <c r="N42" s="237"/>
      <c r="O42" s="237"/>
      <c r="P42" s="237"/>
      <c r="Q42" s="237"/>
      <c r="R42" s="237"/>
      <c r="S42" s="237"/>
      <c r="T42" s="237"/>
      <c r="U42" s="237"/>
      <c r="V42" s="237"/>
      <c r="W42" s="237"/>
      <c r="X42" s="237"/>
      <c r="Y42" s="237"/>
      <c r="Z42" s="237"/>
      <c r="AA42" s="237"/>
      <c r="AB42" s="237"/>
      <c r="AC42" s="237"/>
      <c r="AD42" s="237"/>
      <c r="AE42" s="237"/>
      <c r="AF42" s="237"/>
      <c r="AG42" s="237"/>
      <c r="AH42" s="237"/>
      <c r="AI42" s="237"/>
      <c r="AJ42" s="237"/>
      <c r="AK42" s="237"/>
      <c r="AL42" s="237"/>
      <c r="AM42" s="237"/>
      <c r="AN42" s="237"/>
      <c r="AO42" s="237"/>
      <c r="AP42" s="237"/>
      <c r="AQ42" s="237"/>
      <c r="AR42" s="237"/>
      <c r="AS42" s="237"/>
      <c r="AT42" s="237"/>
      <c r="AU42" s="237"/>
      <c r="AV42" s="237"/>
      <c r="AW42" s="237"/>
      <c r="AX42" s="237"/>
      <c r="AY42" s="237"/>
      <c r="AZ42" s="237"/>
      <c r="BA42" s="237"/>
      <c r="BB42" s="237"/>
      <c r="BC42" s="237"/>
      <c r="BD42" s="237"/>
      <c r="BE42" s="237"/>
      <c r="BF42" s="237"/>
      <c r="BG42" s="237"/>
      <c r="BH42" s="237"/>
      <c r="BI42" s="237"/>
      <c r="BJ42" s="237"/>
      <c r="BK42" s="237"/>
      <c r="BL42" s="237"/>
      <c r="BM42" s="237"/>
      <c r="BN42" s="237"/>
      <c r="BO42" s="237"/>
      <c r="BP42" s="237"/>
      <c r="BQ42" s="237"/>
      <c r="BR42" s="237"/>
      <c r="BS42" s="237"/>
      <c r="BT42" s="237"/>
      <c r="BU42" s="237"/>
      <c r="BV42" s="237"/>
      <c r="BW42" s="237"/>
      <c r="BX42" s="237"/>
      <c r="BY42" s="237"/>
      <c r="BZ42" s="237"/>
      <c r="CA42" s="237"/>
      <c r="CB42" s="237"/>
      <c r="CC42" s="237"/>
      <c r="CD42" s="239"/>
    </row>
    <row r="43" spans="1:83" ht="12" customHeight="1" x14ac:dyDescent="0.25">
      <c r="A43" s="197"/>
      <c r="C43" s="229"/>
      <c r="F43" s="181"/>
    </row>
    <row r="44" spans="1:83" ht="12" customHeight="1" x14ac:dyDescent="0.25">
      <c r="A44" s="283"/>
      <c r="B44" s="283"/>
      <c r="C44" s="285" t="s">
        <v>10</v>
      </c>
      <c r="D44" s="281" t="s">
        <v>11</v>
      </c>
      <c r="E44" s="281" t="s">
        <v>12</v>
      </c>
      <c r="F44" s="281" t="s">
        <v>13</v>
      </c>
      <c r="G44" s="281" t="s">
        <v>14</v>
      </c>
      <c r="H44" s="281" t="s">
        <v>15</v>
      </c>
      <c r="I44" s="281" t="s">
        <v>16</v>
      </c>
      <c r="J44" s="281" t="s">
        <v>17</v>
      </c>
      <c r="K44" s="281" t="s">
        <v>18</v>
      </c>
      <c r="L44" s="281" t="s">
        <v>19</v>
      </c>
      <c r="M44" s="281" t="s">
        <v>20</v>
      </c>
      <c r="N44" s="281" t="s">
        <v>21</v>
      </c>
      <c r="O44" s="281" t="s">
        <v>22</v>
      </c>
      <c r="P44" s="281" t="s">
        <v>23</v>
      </c>
      <c r="Q44" s="281" t="s">
        <v>24</v>
      </c>
      <c r="R44" s="281" t="s">
        <v>25</v>
      </c>
      <c r="S44" s="281" t="s">
        <v>26</v>
      </c>
      <c r="T44" s="281" t="s">
        <v>27</v>
      </c>
      <c r="U44" s="281" t="s">
        <v>28</v>
      </c>
      <c r="V44" s="281" t="s">
        <v>29</v>
      </c>
      <c r="W44" s="281" t="s">
        <v>30</v>
      </c>
      <c r="X44" s="281" t="s">
        <v>31</v>
      </c>
      <c r="Y44" s="281" t="s">
        <v>32</v>
      </c>
      <c r="Z44" s="281" t="s">
        <v>33</v>
      </c>
      <c r="AA44" s="281" t="s">
        <v>34</v>
      </c>
      <c r="AB44" s="281" t="s">
        <v>35</v>
      </c>
      <c r="AC44" s="281" t="s">
        <v>36</v>
      </c>
      <c r="AD44" s="281" t="s">
        <v>37</v>
      </c>
      <c r="AE44" s="281" t="s">
        <v>38</v>
      </c>
      <c r="AF44" s="281" t="s">
        <v>39</v>
      </c>
      <c r="AG44" s="281" t="s">
        <v>40</v>
      </c>
      <c r="AH44" s="281" t="s">
        <v>41</v>
      </c>
      <c r="AI44" s="281" t="s">
        <v>42</v>
      </c>
      <c r="AJ44" s="281" t="s">
        <v>43</v>
      </c>
      <c r="AK44" s="281" t="s">
        <v>44</v>
      </c>
      <c r="AL44" s="281" t="s">
        <v>45</v>
      </c>
      <c r="AM44" s="281" t="s">
        <v>46</v>
      </c>
      <c r="AN44" s="281" t="s">
        <v>47</v>
      </c>
      <c r="AO44" s="281" t="s">
        <v>48</v>
      </c>
      <c r="AP44" s="281" t="s">
        <v>49</v>
      </c>
      <c r="AQ44" s="281" t="s">
        <v>50</v>
      </c>
      <c r="AR44" s="281" t="s">
        <v>51</v>
      </c>
      <c r="AS44" s="281" t="s">
        <v>52</v>
      </c>
      <c r="AT44" s="281" t="s">
        <v>53</v>
      </c>
      <c r="AU44" s="281" t="s">
        <v>54</v>
      </c>
      <c r="AV44" s="281" t="s">
        <v>55</v>
      </c>
      <c r="AW44" s="281" t="s">
        <v>56</v>
      </c>
      <c r="AX44" s="281" t="s">
        <v>57</v>
      </c>
      <c r="AY44" s="281" t="s">
        <v>58</v>
      </c>
      <c r="AZ44" s="281" t="s">
        <v>59</v>
      </c>
      <c r="BA44" s="281" t="s">
        <v>60</v>
      </c>
      <c r="BB44" s="281" t="s">
        <v>61</v>
      </c>
      <c r="BC44" s="281" t="s">
        <v>62</v>
      </c>
      <c r="BD44" s="281" t="s">
        <v>63</v>
      </c>
      <c r="BE44" s="281" t="s">
        <v>64</v>
      </c>
      <c r="BF44" s="281" t="s">
        <v>65</v>
      </c>
      <c r="BG44" s="281" t="s">
        <v>66</v>
      </c>
      <c r="BH44" s="281" t="s">
        <v>67</v>
      </c>
      <c r="BI44" s="281" t="s">
        <v>68</v>
      </c>
      <c r="BJ44" s="281" t="s">
        <v>69</v>
      </c>
      <c r="BK44" s="281" t="s">
        <v>70</v>
      </c>
      <c r="BL44" s="281" t="s">
        <v>71</v>
      </c>
      <c r="BM44" s="281" t="s">
        <v>72</v>
      </c>
      <c r="BN44" s="281" t="s">
        <v>73</v>
      </c>
      <c r="BO44" s="281" t="s">
        <v>74</v>
      </c>
      <c r="BP44" s="281" t="s">
        <v>75</v>
      </c>
      <c r="BQ44" s="281" t="s">
        <v>76</v>
      </c>
      <c r="BR44" s="281" t="s">
        <v>77</v>
      </c>
      <c r="BS44" s="281" t="s">
        <v>78</v>
      </c>
      <c r="BT44" s="281" t="s">
        <v>79</v>
      </c>
      <c r="BU44" s="281" t="s">
        <v>80</v>
      </c>
      <c r="BV44" s="281" t="s">
        <v>81</v>
      </c>
      <c r="BW44" s="281" t="s">
        <v>82</v>
      </c>
      <c r="BX44" s="281" t="s">
        <v>83</v>
      </c>
      <c r="BY44" s="281" t="s">
        <v>84</v>
      </c>
      <c r="BZ44" s="281" t="s">
        <v>85</v>
      </c>
      <c r="CA44" s="281" t="s">
        <v>86</v>
      </c>
      <c r="CB44" s="281" t="s">
        <v>87</v>
      </c>
      <c r="CC44" s="281" t="s">
        <v>88</v>
      </c>
      <c r="CD44" s="281" t="s">
        <v>89</v>
      </c>
      <c r="CE44" s="281" t="s">
        <v>90</v>
      </c>
    </row>
    <row r="45" spans="1:83" ht="12" customHeight="1" x14ac:dyDescent="0.25">
      <c r="A45" s="283"/>
      <c r="B45" s="290" t="s">
        <v>91</v>
      </c>
      <c r="C45" s="285" t="s">
        <v>92</v>
      </c>
      <c r="D45" s="281" t="s">
        <v>93</v>
      </c>
      <c r="E45" s="281" t="s">
        <v>94</v>
      </c>
      <c r="F45" s="281" t="s">
        <v>95</v>
      </c>
      <c r="G45" s="281" t="s">
        <v>96</v>
      </c>
      <c r="H45" s="281" t="s">
        <v>97</v>
      </c>
      <c r="I45" s="281" t="s">
        <v>98</v>
      </c>
      <c r="J45" s="281" t="s">
        <v>99</v>
      </c>
      <c r="K45" s="281" t="s">
        <v>100</v>
      </c>
      <c r="L45" s="281" t="s">
        <v>101</v>
      </c>
      <c r="M45" s="281" t="s">
        <v>102</v>
      </c>
      <c r="N45" s="281" t="s">
        <v>103</v>
      </c>
      <c r="O45" s="281" t="s">
        <v>104</v>
      </c>
      <c r="P45" s="281" t="s">
        <v>105</v>
      </c>
      <c r="Q45" s="281" t="s">
        <v>106</v>
      </c>
      <c r="R45" s="281" t="s">
        <v>107</v>
      </c>
      <c r="S45" s="281" t="s">
        <v>108</v>
      </c>
      <c r="T45" s="281" t="s">
        <v>1194</v>
      </c>
      <c r="U45" s="281" t="s">
        <v>109</v>
      </c>
      <c r="V45" s="281" t="s">
        <v>110</v>
      </c>
      <c r="W45" s="281" t="s">
        <v>111</v>
      </c>
      <c r="X45" s="281" t="s">
        <v>112</v>
      </c>
      <c r="Y45" s="281" t="s">
        <v>113</v>
      </c>
      <c r="Z45" s="281" t="s">
        <v>113</v>
      </c>
      <c r="AA45" s="281" t="s">
        <v>114</v>
      </c>
      <c r="AB45" s="281" t="s">
        <v>115</v>
      </c>
      <c r="AC45" s="281" t="s">
        <v>116</v>
      </c>
      <c r="AD45" s="281" t="s">
        <v>117</v>
      </c>
      <c r="AE45" s="281" t="s">
        <v>96</v>
      </c>
      <c r="AF45" s="281" t="s">
        <v>97</v>
      </c>
      <c r="AG45" s="281" t="s">
        <v>118</v>
      </c>
      <c r="AH45" s="281" t="s">
        <v>119</v>
      </c>
      <c r="AI45" s="281" t="s">
        <v>120</v>
      </c>
      <c r="AJ45" s="281" t="s">
        <v>121</v>
      </c>
      <c r="AK45" s="281" t="s">
        <v>122</v>
      </c>
      <c r="AL45" s="281" t="s">
        <v>123</v>
      </c>
      <c r="AM45" s="281" t="s">
        <v>124</v>
      </c>
      <c r="AN45" s="281" t="s">
        <v>110</v>
      </c>
      <c r="AO45" s="281" t="s">
        <v>125</v>
      </c>
      <c r="AP45" s="281" t="s">
        <v>126</v>
      </c>
      <c r="AQ45" s="281" t="s">
        <v>127</v>
      </c>
      <c r="AR45" s="281" t="s">
        <v>128</v>
      </c>
      <c r="AS45" s="281" t="s">
        <v>129</v>
      </c>
      <c r="AT45" s="281" t="s">
        <v>130</v>
      </c>
      <c r="AU45" s="281" t="s">
        <v>131</v>
      </c>
      <c r="AV45" s="281" t="s">
        <v>132</v>
      </c>
      <c r="AW45" s="281" t="s">
        <v>133</v>
      </c>
      <c r="AX45" s="281" t="s">
        <v>134</v>
      </c>
      <c r="AY45" s="281" t="s">
        <v>135</v>
      </c>
      <c r="AZ45" s="281" t="s">
        <v>136</v>
      </c>
      <c r="BA45" s="281" t="s">
        <v>137</v>
      </c>
      <c r="BB45" s="281" t="s">
        <v>138</v>
      </c>
      <c r="BC45" s="281" t="s">
        <v>108</v>
      </c>
      <c r="BD45" s="281" t="s">
        <v>139</v>
      </c>
      <c r="BE45" s="281" t="s">
        <v>140</v>
      </c>
      <c r="BF45" s="281" t="s">
        <v>141</v>
      </c>
      <c r="BG45" s="281" t="s">
        <v>142</v>
      </c>
      <c r="BH45" s="281" t="s">
        <v>143</v>
      </c>
      <c r="BI45" s="281" t="s">
        <v>144</v>
      </c>
      <c r="BJ45" s="281" t="s">
        <v>145</v>
      </c>
      <c r="BK45" s="281" t="s">
        <v>146</v>
      </c>
      <c r="BL45" s="281" t="s">
        <v>147</v>
      </c>
      <c r="BM45" s="281" t="s">
        <v>132</v>
      </c>
      <c r="BN45" s="281" t="s">
        <v>148</v>
      </c>
      <c r="BO45" s="281" t="s">
        <v>149</v>
      </c>
      <c r="BP45" s="281" t="s">
        <v>150</v>
      </c>
      <c r="BQ45" s="281" t="s">
        <v>151</v>
      </c>
      <c r="BR45" s="281" t="s">
        <v>152</v>
      </c>
      <c r="BS45" s="281" t="s">
        <v>153</v>
      </c>
      <c r="BT45" s="281" t="s">
        <v>154</v>
      </c>
      <c r="BU45" s="281" t="s">
        <v>155</v>
      </c>
      <c r="BV45" s="281" t="s">
        <v>155</v>
      </c>
      <c r="BW45" s="281" t="s">
        <v>155</v>
      </c>
      <c r="BX45" s="281" t="s">
        <v>156</v>
      </c>
      <c r="BY45" s="281" t="s">
        <v>157</v>
      </c>
      <c r="BZ45" s="281" t="s">
        <v>158</v>
      </c>
      <c r="CA45" s="281" t="s">
        <v>159</v>
      </c>
      <c r="CB45" s="281" t="s">
        <v>160</v>
      </c>
      <c r="CC45" s="281" t="s">
        <v>132</v>
      </c>
      <c r="CD45" s="281"/>
      <c r="CE45" s="281" t="s">
        <v>161</v>
      </c>
    </row>
    <row r="46" spans="1:83" ht="12.6" customHeight="1" x14ac:dyDescent="0.25">
      <c r="A46" s="283" t="s">
        <v>3</v>
      </c>
      <c r="B46" s="281" t="s">
        <v>162</v>
      </c>
      <c r="C46" s="285" t="s">
        <v>163</v>
      </c>
      <c r="D46" s="281" t="s">
        <v>163</v>
      </c>
      <c r="E46" s="281" t="s">
        <v>163</v>
      </c>
      <c r="F46" s="281" t="s">
        <v>164</v>
      </c>
      <c r="G46" s="281" t="s">
        <v>165</v>
      </c>
      <c r="H46" s="281" t="s">
        <v>163</v>
      </c>
      <c r="I46" s="281" t="s">
        <v>166</v>
      </c>
      <c r="J46" s="281"/>
      <c r="K46" s="281" t="s">
        <v>157</v>
      </c>
      <c r="L46" s="281" t="s">
        <v>167</v>
      </c>
      <c r="M46" s="281" t="s">
        <v>168</v>
      </c>
      <c r="N46" s="281" t="s">
        <v>169</v>
      </c>
      <c r="O46" s="281" t="s">
        <v>170</v>
      </c>
      <c r="P46" s="281" t="s">
        <v>169</v>
      </c>
      <c r="Q46" s="281" t="s">
        <v>171</v>
      </c>
      <c r="R46" s="281"/>
      <c r="S46" s="281" t="s">
        <v>169</v>
      </c>
      <c r="T46" s="281" t="s">
        <v>172</v>
      </c>
      <c r="U46" s="281"/>
      <c r="V46" s="281" t="s">
        <v>173</v>
      </c>
      <c r="W46" s="281" t="s">
        <v>174</v>
      </c>
      <c r="X46" s="281" t="s">
        <v>175</v>
      </c>
      <c r="Y46" s="281" t="s">
        <v>176</v>
      </c>
      <c r="Z46" s="281" t="s">
        <v>177</v>
      </c>
      <c r="AA46" s="281" t="s">
        <v>178</v>
      </c>
      <c r="AB46" s="281"/>
      <c r="AC46" s="281" t="s">
        <v>172</v>
      </c>
      <c r="AD46" s="281"/>
      <c r="AE46" s="281" t="s">
        <v>172</v>
      </c>
      <c r="AF46" s="281" t="s">
        <v>179</v>
      </c>
      <c r="AG46" s="281" t="s">
        <v>171</v>
      </c>
      <c r="AH46" s="281"/>
      <c r="AI46" s="281" t="s">
        <v>180</v>
      </c>
      <c r="AJ46" s="281"/>
      <c r="AK46" s="281" t="s">
        <v>172</v>
      </c>
      <c r="AL46" s="281" t="s">
        <v>172</v>
      </c>
      <c r="AM46" s="281" t="s">
        <v>172</v>
      </c>
      <c r="AN46" s="281" t="s">
        <v>181</v>
      </c>
      <c r="AO46" s="281" t="s">
        <v>182</v>
      </c>
      <c r="AP46" s="281" t="s">
        <v>121</v>
      </c>
      <c r="AQ46" s="281" t="s">
        <v>183</v>
      </c>
      <c r="AR46" s="281" t="s">
        <v>169</v>
      </c>
      <c r="AS46" s="281"/>
      <c r="AT46" s="281" t="s">
        <v>184</v>
      </c>
      <c r="AU46" s="281" t="s">
        <v>185</v>
      </c>
      <c r="AV46" s="281" t="s">
        <v>186</v>
      </c>
      <c r="AW46" s="281" t="s">
        <v>187</v>
      </c>
      <c r="AX46" s="281" t="s">
        <v>188</v>
      </c>
      <c r="AY46" s="281"/>
      <c r="AZ46" s="281"/>
      <c r="BA46" s="281" t="s">
        <v>189</v>
      </c>
      <c r="BB46" s="281" t="s">
        <v>169</v>
      </c>
      <c r="BC46" s="281" t="s">
        <v>183</v>
      </c>
      <c r="BD46" s="281"/>
      <c r="BE46" s="281"/>
      <c r="BF46" s="281"/>
      <c r="BG46" s="281"/>
      <c r="BH46" s="281" t="s">
        <v>190</v>
      </c>
      <c r="BI46" s="281" t="s">
        <v>169</v>
      </c>
      <c r="BJ46" s="281"/>
      <c r="BK46" s="281" t="s">
        <v>191</v>
      </c>
      <c r="BL46" s="281"/>
      <c r="BM46" s="281" t="s">
        <v>192</v>
      </c>
      <c r="BN46" s="281" t="s">
        <v>193</v>
      </c>
      <c r="BO46" s="281" t="s">
        <v>194</v>
      </c>
      <c r="BP46" s="281" t="s">
        <v>195</v>
      </c>
      <c r="BQ46" s="281" t="s">
        <v>196</v>
      </c>
      <c r="BR46" s="281"/>
      <c r="BS46" s="281" t="s">
        <v>197</v>
      </c>
      <c r="BT46" s="281" t="s">
        <v>169</v>
      </c>
      <c r="BU46" s="281" t="s">
        <v>198</v>
      </c>
      <c r="BV46" s="281" t="s">
        <v>199</v>
      </c>
      <c r="BW46" s="281" t="s">
        <v>200</v>
      </c>
      <c r="BX46" s="281" t="s">
        <v>151</v>
      </c>
      <c r="BY46" s="281" t="s">
        <v>193</v>
      </c>
      <c r="BZ46" s="281" t="s">
        <v>152</v>
      </c>
      <c r="CA46" s="281" t="s">
        <v>201</v>
      </c>
      <c r="CB46" s="281" t="s">
        <v>201</v>
      </c>
      <c r="CC46" s="281" t="s">
        <v>202</v>
      </c>
      <c r="CD46" s="281"/>
      <c r="CE46" s="281" t="s">
        <v>203</v>
      </c>
    </row>
    <row r="47" spans="1:83" ht="12.6" customHeight="1" x14ac:dyDescent="0.25">
      <c r="A47" s="283" t="s">
        <v>204</v>
      </c>
      <c r="B47" s="298">
        <v>0</v>
      </c>
      <c r="C47" s="286">
        <v>0</v>
      </c>
      <c r="D47" s="286">
        <v>0</v>
      </c>
      <c r="E47" s="286">
        <v>0</v>
      </c>
      <c r="F47" s="286">
        <v>0</v>
      </c>
      <c r="G47" s="286">
        <v>0</v>
      </c>
      <c r="H47" s="286">
        <v>0</v>
      </c>
      <c r="I47" s="286">
        <v>0</v>
      </c>
      <c r="J47" s="286">
        <v>0</v>
      </c>
      <c r="K47" s="286">
        <v>0</v>
      </c>
      <c r="L47" s="286">
        <v>0</v>
      </c>
      <c r="M47" s="286">
        <v>0</v>
      </c>
      <c r="N47" s="286">
        <v>0</v>
      </c>
      <c r="O47" s="286">
        <v>0</v>
      </c>
      <c r="P47" s="286">
        <v>0</v>
      </c>
      <c r="Q47" s="286">
        <v>0</v>
      </c>
      <c r="R47" s="286">
        <v>0</v>
      </c>
      <c r="S47" s="286">
        <v>0</v>
      </c>
      <c r="T47" s="286">
        <v>0</v>
      </c>
      <c r="U47" s="286">
        <v>0</v>
      </c>
      <c r="V47" s="286">
        <v>0</v>
      </c>
      <c r="W47" s="286">
        <v>0</v>
      </c>
      <c r="X47" s="286">
        <v>0</v>
      </c>
      <c r="Y47" s="286">
        <v>0</v>
      </c>
      <c r="Z47" s="286">
        <v>0</v>
      </c>
      <c r="AA47" s="286">
        <v>0</v>
      </c>
      <c r="AB47" s="286">
        <v>0</v>
      </c>
      <c r="AC47" s="286">
        <v>0</v>
      </c>
      <c r="AD47" s="286">
        <v>0</v>
      </c>
      <c r="AE47" s="286">
        <v>0</v>
      </c>
      <c r="AF47" s="286">
        <v>0</v>
      </c>
      <c r="AG47" s="286">
        <v>0</v>
      </c>
      <c r="AH47" s="286">
        <v>0</v>
      </c>
      <c r="AI47" s="286">
        <v>0</v>
      </c>
      <c r="AJ47" s="286">
        <v>0</v>
      </c>
      <c r="AK47" s="286">
        <v>0</v>
      </c>
      <c r="AL47" s="286">
        <v>0</v>
      </c>
      <c r="AM47" s="286">
        <v>0</v>
      </c>
      <c r="AN47" s="286">
        <v>0</v>
      </c>
      <c r="AO47" s="286">
        <v>0</v>
      </c>
      <c r="AP47" s="286">
        <v>0</v>
      </c>
      <c r="AQ47" s="286">
        <v>0</v>
      </c>
      <c r="AR47" s="286">
        <v>0</v>
      </c>
      <c r="AS47" s="286">
        <v>0</v>
      </c>
      <c r="AT47" s="286">
        <v>0</v>
      </c>
      <c r="AU47" s="286">
        <v>0</v>
      </c>
      <c r="AV47" s="286">
        <v>0</v>
      </c>
      <c r="AW47" s="286">
        <v>0</v>
      </c>
      <c r="AX47" s="286">
        <v>0</v>
      </c>
      <c r="AY47" s="286">
        <v>0</v>
      </c>
      <c r="AZ47" s="286">
        <v>0</v>
      </c>
      <c r="BA47" s="286">
        <v>0</v>
      </c>
      <c r="BB47" s="286">
        <v>0</v>
      </c>
      <c r="BC47" s="286">
        <v>0</v>
      </c>
      <c r="BD47" s="286">
        <v>0</v>
      </c>
      <c r="BE47" s="286">
        <v>0</v>
      </c>
      <c r="BF47" s="286">
        <v>0</v>
      </c>
      <c r="BG47" s="286">
        <v>0</v>
      </c>
      <c r="BH47" s="286">
        <v>0</v>
      </c>
      <c r="BI47" s="286">
        <v>0</v>
      </c>
      <c r="BJ47" s="286">
        <v>0</v>
      </c>
      <c r="BK47" s="286">
        <v>0</v>
      </c>
      <c r="BL47" s="286">
        <v>0</v>
      </c>
      <c r="BM47" s="286">
        <v>0</v>
      </c>
      <c r="BN47" s="286">
        <v>0</v>
      </c>
      <c r="BO47" s="286">
        <v>0</v>
      </c>
      <c r="BP47" s="286">
        <v>0</v>
      </c>
      <c r="BQ47" s="286">
        <v>0</v>
      </c>
      <c r="BR47" s="286">
        <v>0</v>
      </c>
      <c r="BS47" s="286">
        <v>0</v>
      </c>
      <c r="BT47" s="286">
        <v>0</v>
      </c>
      <c r="BU47" s="286">
        <v>0</v>
      </c>
      <c r="BV47" s="286">
        <v>0</v>
      </c>
      <c r="BW47" s="286">
        <v>0</v>
      </c>
      <c r="BX47" s="286">
        <v>0</v>
      </c>
      <c r="BY47" s="286">
        <v>0</v>
      </c>
      <c r="BZ47" s="286">
        <v>0</v>
      </c>
      <c r="CA47" s="286">
        <v>0</v>
      </c>
      <c r="CB47" s="286">
        <v>0</v>
      </c>
      <c r="CC47" s="286">
        <v>0</v>
      </c>
      <c r="CD47" s="289"/>
      <c r="CE47" s="289">
        <v>0</v>
      </c>
    </row>
    <row r="48" spans="1:83" ht="12.6" customHeight="1" x14ac:dyDescent="0.25">
      <c r="A48" s="283" t="s">
        <v>205</v>
      </c>
      <c r="B48" s="298">
        <v>3382628</v>
      </c>
      <c r="C48" s="291">
        <v>0</v>
      </c>
      <c r="D48" s="291">
        <v>0</v>
      </c>
      <c r="E48" s="289">
        <v>135517</v>
      </c>
      <c r="F48" s="289">
        <v>0</v>
      </c>
      <c r="G48" s="289">
        <v>0</v>
      </c>
      <c r="H48" s="289">
        <v>0</v>
      </c>
      <c r="I48" s="289">
        <v>34701</v>
      </c>
      <c r="J48" s="289">
        <v>0</v>
      </c>
      <c r="K48" s="289">
        <v>0</v>
      </c>
      <c r="L48" s="289">
        <v>445302</v>
      </c>
      <c r="M48" s="289">
        <v>0</v>
      </c>
      <c r="N48" s="289">
        <v>0</v>
      </c>
      <c r="O48" s="289">
        <v>73271</v>
      </c>
      <c r="P48" s="289">
        <v>100310</v>
      </c>
      <c r="Q48" s="289">
        <v>40088</v>
      </c>
      <c r="R48" s="289">
        <v>89112</v>
      </c>
      <c r="S48" s="289">
        <v>48400</v>
      </c>
      <c r="T48" s="289">
        <v>0</v>
      </c>
      <c r="U48" s="289">
        <v>109074</v>
      </c>
      <c r="V48" s="289">
        <v>0</v>
      </c>
      <c r="W48" s="289">
        <v>0</v>
      </c>
      <c r="X48" s="289">
        <v>0</v>
      </c>
      <c r="Y48" s="289">
        <v>99019</v>
      </c>
      <c r="Z48" s="289">
        <v>0</v>
      </c>
      <c r="AA48" s="289">
        <v>0</v>
      </c>
      <c r="AB48" s="289">
        <v>40857</v>
      </c>
      <c r="AC48" s="289">
        <v>22246</v>
      </c>
      <c r="AD48" s="289">
        <v>0</v>
      </c>
      <c r="AE48" s="289">
        <v>84393</v>
      </c>
      <c r="AF48" s="289">
        <v>0</v>
      </c>
      <c r="AG48" s="289">
        <v>314202</v>
      </c>
      <c r="AH48" s="289">
        <v>224617</v>
      </c>
      <c r="AI48" s="289">
        <v>0</v>
      </c>
      <c r="AJ48" s="289">
        <v>806083</v>
      </c>
      <c r="AK48" s="289">
        <v>18022</v>
      </c>
      <c r="AL48" s="289">
        <v>0</v>
      </c>
      <c r="AM48" s="289">
        <v>0</v>
      </c>
      <c r="AN48" s="289">
        <v>0</v>
      </c>
      <c r="AO48" s="289">
        <v>0</v>
      </c>
      <c r="AP48" s="289">
        <v>0</v>
      </c>
      <c r="AQ48" s="289">
        <v>0</v>
      </c>
      <c r="AR48" s="289">
        <v>40</v>
      </c>
      <c r="AS48" s="289">
        <v>0</v>
      </c>
      <c r="AT48" s="289">
        <v>0</v>
      </c>
      <c r="AU48" s="289">
        <v>0</v>
      </c>
      <c r="AV48" s="289">
        <v>0</v>
      </c>
      <c r="AW48" s="289">
        <v>0</v>
      </c>
      <c r="AX48" s="289">
        <v>0</v>
      </c>
      <c r="AY48" s="289">
        <v>69586</v>
      </c>
      <c r="AZ48" s="289">
        <v>0</v>
      </c>
      <c r="BA48" s="289">
        <v>3842</v>
      </c>
      <c r="BB48" s="289">
        <v>12469</v>
      </c>
      <c r="BC48" s="289">
        <v>0</v>
      </c>
      <c r="BD48" s="289">
        <v>0</v>
      </c>
      <c r="BE48" s="289">
        <v>48875</v>
      </c>
      <c r="BF48" s="289">
        <v>36027</v>
      </c>
      <c r="BG48" s="289">
        <v>0</v>
      </c>
      <c r="BH48" s="289">
        <v>0</v>
      </c>
      <c r="BI48" s="289">
        <v>0</v>
      </c>
      <c r="BJ48" s="289">
        <v>68812</v>
      </c>
      <c r="BK48" s="289">
        <v>0</v>
      </c>
      <c r="BL48" s="289">
        <v>63048</v>
      </c>
      <c r="BM48" s="289">
        <v>0</v>
      </c>
      <c r="BN48" s="289">
        <v>271425</v>
      </c>
      <c r="BO48" s="289">
        <v>0</v>
      </c>
      <c r="BP48" s="289">
        <v>0</v>
      </c>
      <c r="BQ48" s="289">
        <v>0</v>
      </c>
      <c r="BR48" s="289">
        <v>0</v>
      </c>
      <c r="BS48" s="289">
        <v>0</v>
      </c>
      <c r="BT48" s="289">
        <v>0</v>
      </c>
      <c r="BU48" s="289">
        <v>0</v>
      </c>
      <c r="BV48" s="289">
        <v>43519</v>
      </c>
      <c r="BW48" s="289">
        <v>0</v>
      </c>
      <c r="BX48" s="289">
        <v>39656</v>
      </c>
      <c r="BY48" s="289">
        <v>27457</v>
      </c>
      <c r="BZ48" s="289">
        <v>0</v>
      </c>
      <c r="CA48" s="289">
        <v>0</v>
      </c>
      <c r="CB48" s="289">
        <v>12658</v>
      </c>
      <c r="CC48" s="289">
        <v>0</v>
      </c>
      <c r="CD48" s="289"/>
      <c r="CE48" s="289">
        <v>3382628</v>
      </c>
    </row>
    <row r="49" spans="1:84" ht="12.6" customHeight="1" x14ac:dyDescent="0.25">
      <c r="A49" s="283" t="s">
        <v>206</v>
      </c>
      <c r="B49" s="289">
        <v>3382628</v>
      </c>
      <c r="C49" s="289"/>
      <c r="D49" s="289"/>
      <c r="E49" s="289"/>
      <c r="F49" s="289"/>
      <c r="G49" s="289"/>
      <c r="H49" s="289"/>
      <c r="I49" s="289"/>
      <c r="J49" s="289"/>
      <c r="K49" s="289"/>
      <c r="L49" s="289"/>
      <c r="M49" s="289"/>
      <c r="N49" s="289"/>
      <c r="O49" s="289"/>
      <c r="P49" s="289"/>
      <c r="Q49" s="289"/>
      <c r="R49" s="289"/>
      <c r="S49" s="289"/>
      <c r="T49" s="289"/>
      <c r="U49" s="289"/>
      <c r="V49" s="289"/>
      <c r="W49" s="289"/>
      <c r="X49" s="289"/>
      <c r="Y49" s="289"/>
      <c r="Z49" s="289"/>
      <c r="AA49" s="289"/>
      <c r="AB49" s="289"/>
      <c r="AC49" s="289"/>
      <c r="AD49" s="289"/>
      <c r="AE49" s="289"/>
      <c r="AF49" s="289"/>
      <c r="AG49" s="289"/>
      <c r="AH49" s="289"/>
      <c r="AI49" s="289"/>
      <c r="AJ49" s="289"/>
      <c r="AK49" s="289"/>
      <c r="AL49" s="289"/>
      <c r="AM49" s="289"/>
      <c r="AN49" s="289"/>
      <c r="AO49" s="289"/>
      <c r="AP49" s="289"/>
      <c r="AQ49" s="289"/>
      <c r="AR49" s="289"/>
      <c r="AS49" s="289"/>
      <c r="AT49" s="289"/>
      <c r="AU49" s="289"/>
      <c r="AV49" s="289"/>
      <c r="AW49" s="289"/>
      <c r="AX49" s="289"/>
      <c r="AY49" s="289"/>
      <c r="AZ49" s="289"/>
      <c r="BA49" s="289"/>
      <c r="BB49" s="289"/>
      <c r="BC49" s="289"/>
      <c r="BD49" s="289"/>
      <c r="BE49" s="289"/>
      <c r="BF49" s="289"/>
      <c r="BG49" s="289"/>
      <c r="BH49" s="289"/>
      <c r="BI49" s="289"/>
      <c r="BJ49" s="289"/>
      <c r="BK49" s="289"/>
      <c r="BL49" s="289"/>
      <c r="BM49" s="289"/>
      <c r="BN49" s="289"/>
      <c r="BO49" s="289"/>
      <c r="BP49" s="289"/>
      <c r="BQ49" s="289"/>
      <c r="BR49" s="289"/>
      <c r="BS49" s="289"/>
      <c r="BT49" s="289"/>
      <c r="BU49" s="289"/>
      <c r="BV49" s="289"/>
      <c r="BW49" s="289"/>
      <c r="BX49" s="289"/>
      <c r="BY49" s="289"/>
      <c r="BZ49" s="289"/>
      <c r="CA49" s="289"/>
      <c r="CB49" s="289"/>
      <c r="CC49" s="289"/>
      <c r="CD49" s="289"/>
      <c r="CE49" s="289"/>
    </row>
    <row r="50" spans="1:84" ht="12.6" customHeight="1" x14ac:dyDescent="0.25">
      <c r="A50" s="283" t="s">
        <v>6</v>
      </c>
      <c r="B50" s="289"/>
      <c r="C50" s="289"/>
      <c r="D50" s="289"/>
      <c r="E50" s="289"/>
      <c r="F50" s="289"/>
      <c r="G50" s="289"/>
      <c r="H50" s="289"/>
      <c r="I50" s="289"/>
      <c r="J50" s="289"/>
      <c r="K50" s="289"/>
      <c r="L50" s="289"/>
      <c r="M50" s="289"/>
      <c r="N50" s="289"/>
      <c r="O50" s="289"/>
      <c r="P50" s="289"/>
      <c r="Q50" s="289"/>
      <c r="R50" s="289"/>
      <c r="S50" s="289"/>
      <c r="T50" s="289"/>
      <c r="U50" s="289"/>
      <c r="V50" s="289"/>
      <c r="W50" s="289"/>
      <c r="X50" s="289"/>
      <c r="Y50" s="289"/>
      <c r="Z50" s="289"/>
      <c r="AA50" s="289"/>
      <c r="AB50" s="289"/>
      <c r="AC50" s="289"/>
      <c r="AD50" s="289"/>
      <c r="AE50" s="289"/>
      <c r="AF50" s="289"/>
      <c r="AG50" s="289"/>
      <c r="AH50" s="289"/>
      <c r="AI50" s="289"/>
      <c r="AJ50" s="289"/>
      <c r="AK50" s="289"/>
      <c r="AL50" s="289"/>
      <c r="AM50" s="289"/>
      <c r="AN50" s="289"/>
      <c r="AO50" s="289"/>
      <c r="AP50" s="289"/>
      <c r="AQ50" s="289"/>
      <c r="AR50" s="289"/>
      <c r="AS50" s="289"/>
      <c r="AT50" s="289"/>
      <c r="AU50" s="289"/>
      <c r="AV50" s="289"/>
      <c r="AW50" s="289"/>
      <c r="AX50" s="289"/>
      <c r="AY50" s="289"/>
      <c r="AZ50" s="289"/>
      <c r="BA50" s="289"/>
      <c r="BB50" s="289"/>
      <c r="BC50" s="289"/>
      <c r="BD50" s="289"/>
      <c r="BE50" s="289"/>
      <c r="BF50" s="289"/>
      <c r="BG50" s="289"/>
      <c r="BH50" s="289"/>
      <c r="BI50" s="289"/>
      <c r="BJ50" s="289"/>
      <c r="BK50" s="289"/>
      <c r="BL50" s="289"/>
      <c r="BM50" s="289"/>
      <c r="BN50" s="289"/>
      <c r="BO50" s="289"/>
      <c r="BP50" s="289"/>
      <c r="BQ50" s="289"/>
      <c r="BR50" s="289"/>
      <c r="BS50" s="289"/>
      <c r="BT50" s="289"/>
      <c r="BU50" s="289"/>
      <c r="BV50" s="289"/>
      <c r="BW50" s="289"/>
      <c r="BX50" s="289"/>
      <c r="BY50" s="289"/>
      <c r="BZ50" s="289"/>
      <c r="CA50" s="289"/>
      <c r="CB50" s="289"/>
      <c r="CC50" s="289"/>
      <c r="CD50" s="289"/>
      <c r="CE50" s="289"/>
    </row>
    <row r="51" spans="1:84" ht="12.6" customHeight="1" x14ac:dyDescent="0.25">
      <c r="A51" s="282" t="s">
        <v>207</v>
      </c>
      <c r="B51" s="299">
        <v>0</v>
      </c>
      <c r="C51" s="299">
        <v>0</v>
      </c>
      <c r="D51" s="299">
        <v>0</v>
      </c>
      <c r="E51" s="299">
        <v>0</v>
      </c>
      <c r="F51" s="299">
        <v>0</v>
      </c>
      <c r="G51" s="299">
        <v>0</v>
      </c>
      <c r="H51" s="299">
        <v>0</v>
      </c>
      <c r="I51" s="299">
        <v>8700</v>
      </c>
      <c r="J51" s="299">
        <v>0</v>
      </c>
      <c r="K51" s="299">
        <v>0</v>
      </c>
      <c r="L51" s="299">
        <v>0</v>
      </c>
      <c r="M51" s="299">
        <v>0</v>
      </c>
      <c r="N51" s="299">
        <v>0</v>
      </c>
      <c r="O51" s="299">
        <v>66431</v>
      </c>
      <c r="P51" s="299">
        <v>142447</v>
      </c>
      <c r="Q51" s="299">
        <v>437</v>
      </c>
      <c r="R51" s="299">
        <v>22678</v>
      </c>
      <c r="S51" s="299">
        <v>0</v>
      </c>
      <c r="T51" s="299">
        <v>0</v>
      </c>
      <c r="U51" s="299">
        <v>18915</v>
      </c>
      <c r="V51" s="299">
        <v>0</v>
      </c>
      <c r="W51" s="299">
        <v>0</v>
      </c>
      <c r="X51" s="299">
        <v>0</v>
      </c>
      <c r="Y51" s="299">
        <v>87509</v>
      </c>
      <c r="Z51" s="299">
        <v>0</v>
      </c>
      <c r="AA51" s="299">
        <v>0</v>
      </c>
      <c r="AB51" s="299">
        <v>1699.23</v>
      </c>
      <c r="AC51" s="299">
        <v>0</v>
      </c>
      <c r="AD51" s="299">
        <v>0</v>
      </c>
      <c r="AE51" s="299">
        <v>0</v>
      </c>
      <c r="AF51" s="299">
        <v>0</v>
      </c>
      <c r="AG51" s="299">
        <v>19422.22</v>
      </c>
      <c r="AH51" s="299">
        <v>27009.88</v>
      </c>
      <c r="AI51" s="299">
        <v>0</v>
      </c>
      <c r="AJ51" s="299">
        <v>62717.899999999994</v>
      </c>
      <c r="AK51" s="299">
        <v>0</v>
      </c>
      <c r="AL51" s="299">
        <v>0</v>
      </c>
      <c r="AM51" s="299">
        <v>0</v>
      </c>
      <c r="AN51" s="299">
        <v>0</v>
      </c>
      <c r="AO51" s="299">
        <v>0</v>
      </c>
      <c r="AP51" s="299">
        <v>0</v>
      </c>
      <c r="AQ51" s="299">
        <v>0</v>
      </c>
      <c r="AR51" s="299">
        <v>596.89</v>
      </c>
      <c r="AS51" s="299">
        <v>0</v>
      </c>
      <c r="AT51" s="299">
        <v>0</v>
      </c>
      <c r="AU51" s="299">
        <v>0</v>
      </c>
      <c r="AV51" s="299">
        <v>278.52999999999997</v>
      </c>
      <c r="AW51" s="299">
        <v>0</v>
      </c>
      <c r="AX51" s="299">
        <v>0</v>
      </c>
      <c r="AY51" s="299">
        <v>1956.93</v>
      </c>
      <c r="AZ51" s="299">
        <v>0</v>
      </c>
      <c r="BA51" s="299">
        <v>0</v>
      </c>
      <c r="BB51" s="299">
        <v>0</v>
      </c>
      <c r="BC51" s="299">
        <v>0</v>
      </c>
      <c r="BD51" s="299">
        <v>0</v>
      </c>
      <c r="BE51" s="299">
        <v>4243.3599999999997</v>
      </c>
      <c r="BF51" s="299">
        <v>0</v>
      </c>
      <c r="BG51" s="299">
        <v>0</v>
      </c>
      <c r="BH51" s="299">
        <v>0</v>
      </c>
      <c r="BI51" s="299">
        <v>0</v>
      </c>
      <c r="BJ51" s="299">
        <v>0</v>
      </c>
      <c r="BK51" s="299">
        <v>0</v>
      </c>
      <c r="BL51" s="299">
        <v>0</v>
      </c>
      <c r="BM51" s="299">
        <v>0</v>
      </c>
      <c r="BN51" s="299">
        <v>77050.8</v>
      </c>
      <c r="BO51" s="299">
        <v>0</v>
      </c>
      <c r="BP51" s="299">
        <v>0</v>
      </c>
      <c r="BQ51" s="299">
        <v>0</v>
      </c>
      <c r="BR51" s="299">
        <v>0</v>
      </c>
      <c r="BS51" s="299">
        <v>0</v>
      </c>
      <c r="BT51" s="299">
        <v>0</v>
      </c>
      <c r="BU51" s="299">
        <v>0</v>
      </c>
      <c r="BV51" s="299">
        <v>0</v>
      </c>
      <c r="BW51" s="299">
        <v>0</v>
      </c>
      <c r="BX51" s="299">
        <v>0</v>
      </c>
      <c r="BY51" s="299">
        <v>0</v>
      </c>
      <c r="BZ51" s="299">
        <v>0</v>
      </c>
      <c r="CA51" s="299">
        <v>0</v>
      </c>
      <c r="CB51" s="299">
        <v>0</v>
      </c>
      <c r="CC51" s="299">
        <v>0</v>
      </c>
      <c r="CD51" s="289"/>
      <c r="CE51" s="289">
        <v>542092.74</v>
      </c>
    </row>
    <row r="52" spans="1:84" ht="12.6" customHeight="1" x14ac:dyDescent="0.25">
      <c r="A52" s="282" t="s">
        <v>208</v>
      </c>
      <c r="B52" s="300">
        <v>201795.85999999987</v>
      </c>
      <c r="C52" s="289">
        <v>0</v>
      </c>
      <c r="D52" s="289">
        <v>0</v>
      </c>
      <c r="E52" s="289">
        <v>41309</v>
      </c>
      <c r="F52" s="289">
        <v>0</v>
      </c>
      <c r="G52" s="289">
        <v>0</v>
      </c>
      <c r="H52" s="289">
        <v>0</v>
      </c>
      <c r="I52" s="289">
        <v>18560</v>
      </c>
      <c r="J52" s="289">
        <v>0</v>
      </c>
      <c r="K52" s="289">
        <v>0</v>
      </c>
      <c r="L52" s="289">
        <v>0</v>
      </c>
      <c r="M52" s="289">
        <v>0</v>
      </c>
      <c r="N52" s="289">
        <v>0</v>
      </c>
      <c r="O52" s="289">
        <v>4281</v>
      </c>
      <c r="P52" s="289">
        <v>4891</v>
      </c>
      <c r="Q52" s="289">
        <v>2583</v>
      </c>
      <c r="R52" s="289">
        <v>324</v>
      </c>
      <c r="S52" s="289">
        <v>9458</v>
      </c>
      <c r="T52" s="289">
        <v>0</v>
      </c>
      <c r="U52" s="289">
        <v>3931</v>
      </c>
      <c r="V52" s="289">
        <v>0</v>
      </c>
      <c r="W52" s="289">
        <v>0</v>
      </c>
      <c r="X52" s="289">
        <v>0</v>
      </c>
      <c r="Y52" s="289">
        <v>7592</v>
      </c>
      <c r="Z52" s="289">
        <v>0</v>
      </c>
      <c r="AA52" s="289">
        <v>0</v>
      </c>
      <c r="AB52" s="289">
        <v>2189</v>
      </c>
      <c r="AC52" s="289">
        <v>771</v>
      </c>
      <c r="AD52" s="289">
        <v>0</v>
      </c>
      <c r="AE52" s="289">
        <v>6223</v>
      </c>
      <c r="AF52" s="289">
        <v>0</v>
      </c>
      <c r="AG52" s="289">
        <v>7684</v>
      </c>
      <c r="AH52" s="289">
        <v>6719</v>
      </c>
      <c r="AI52" s="289">
        <v>0</v>
      </c>
      <c r="AJ52" s="289">
        <v>3402</v>
      </c>
      <c r="AK52" s="289">
        <v>0</v>
      </c>
      <c r="AL52" s="289">
        <v>0</v>
      </c>
      <c r="AM52" s="289">
        <v>0</v>
      </c>
      <c r="AN52" s="289">
        <v>0</v>
      </c>
      <c r="AO52" s="289">
        <v>0</v>
      </c>
      <c r="AP52" s="289">
        <v>0</v>
      </c>
      <c r="AQ52" s="289">
        <v>0</v>
      </c>
      <c r="AR52" s="289">
        <v>0</v>
      </c>
      <c r="AS52" s="289">
        <v>0</v>
      </c>
      <c r="AT52" s="289">
        <v>0</v>
      </c>
      <c r="AU52" s="289">
        <v>0</v>
      </c>
      <c r="AV52" s="289">
        <v>0</v>
      </c>
      <c r="AW52" s="289">
        <v>0</v>
      </c>
      <c r="AX52" s="289">
        <v>0</v>
      </c>
      <c r="AY52" s="289">
        <v>6023</v>
      </c>
      <c r="AZ52" s="289">
        <v>5090</v>
      </c>
      <c r="BA52" s="289">
        <v>604</v>
      </c>
      <c r="BB52" s="289">
        <v>388</v>
      </c>
      <c r="BC52" s="289">
        <v>0</v>
      </c>
      <c r="BD52" s="289">
        <v>0</v>
      </c>
      <c r="BE52" s="289">
        <v>21552</v>
      </c>
      <c r="BF52" s="289">
        <v>1763</v>
      </c>
      <c r="BG52" s="289">
        <v>0</v>
      </c>
      <c r="BH52" s="289">
        <v>0</v>
      </c>
      <c r="BI52" s="289">
        <v>0</v>
      </c>
      <c r="BJ52" s="289">
        <v>0</v>
      </c>
      <c r="BK52" s="289">
        <v>0</v>
      </c>
      <c r="BL52" s="289">
        <v>0</v>
      </c>
      <c r="BM52" s="289">
        <v>0</v>
      </c>
      <c r="BN52" s="289">
        <v>42760</v>
      </c>
      <c r="BO52" s="289">
        <v>0</v>
      </c>
      <c r="BP52" s="289">
        <v>0</v>
      </c>
      <c r="BQ52" s="289">
        <v>0</v>
      </c>
      <c r="BR52" s="289">
        <v>0</v>
      </c>
      <c r="BS52" s="289">
        <v>0</v>
      </c>
      <c r="BT52" s="289">
        <v>0</v>
      </c>
      <c r="BU52" s="289">
        <v>0</v>
      </c>
      <c r="BV52" s="289">
        <v>2896</v>
      </c>
      <c r="BW52" s="289">
        <v>0</v>
      </c>
      <c r="BX52" s="289">
        <v>0</v>
      </c>
      <c r="BY52" s="289">
        <v>803</v>
      </c>
      <c r="BZ52" s="289">
        <v>0</v>
      </c>
      <c r="CA52" s="289">
        <v>0</v>
      </c>
      <c r="CB52" s="289">
        <v>0</v>
      </c>
      <c r="CC52" s="289">
        <v>0</v>
      </c>
      <c r="CD52" s="289"/>
      <c r="CE52" s="289">
        <v>201796</v>
      </c>
    </row>
    <row r="53" spans="1:84" ht="12.6" customHeight="1" x14ac:dyDescent="0.25">
      <c r="A53" s="283" t="s">
        <v>206</v>
      </c>
      <c r="B53" s="289">
        <v>201795.85999999987</v>
      </c>
      <c r="C53" s="289"/>
      <c r="D53" s="289"/>
      <c r="E53" s="289"/>
      <c r="F53" s="289"/>
      <c r="G53" s="289"/>
      <c r="H53" s="289"/>
      <c r="I53" s="289"/>
      <c r="J53" s="289"/>
      <c r="K53" s="289"/>
      <c r="L53" s="289"/>
      <c r="M53" s="289"/>
      <c r="N53" s="289"/>
      <c r="O53" s="289"/>
      <c r="P53" s="289"/>
      <c r="Q53" s="289"/>
      <c r="R53" s="289"/>
      <c r="S53" s="289"/>
      <c r="T53" s="289"/>
      <c r="U53" s="289"/>
      <c r="V53" s="289"/>
      <c r="W53" s="289"/>
      <c r="X53" s="289"/>
      <c r="Y53" s="289"/>
      <c r="Z53" s="289"/>
      <c r="AA53" s="289"/>
      <c r="AB53" s="289"/>
      <c r="AC53" s="289"/>
      <c r="AD53" s="289"/>
      <c r="AE53" s="289"/>
      <c r="AF53" s="289"/>
      <c r="AG53" s="289"/>
      <c r="AH53" s="289"/>
      <c r="AI53" s="289"/>
      <c r="AJ53" s="289"/>
      <c r="AK53" s="289"/>
      <c r="AL53" s="289"/>
      <c r="AM53" s="289"/>
      <c r="AN53" s="289"/>
      <c r="AO53" s="289"/>
      <c r="AP53" s="289"/>
      <c r="AQ53" s="289"/>
      <c r="AR53" s="289"/>
      <c r="AS53" s="289"/>
      <c r="AT53" s="289"/>
      <c r="AU53" s="289"/>
      <c r="AV53" s="289"/>
      <c r="AW53" s="289"/>
      <c r="AX53" s="289"/>
      <c r="AY53" s="289"/>
      <c r="AZ53" s="289"/>
      <c r="BA53" s="289"/>
      <c r="BB53" s="289"/>
      <c r="BC53" s="289"/>
      <c r="BD53" s="289"/>
      <c r="BE53" s="289"/>
      <c r="BF53" s="289"/>
      <c r="BG53" s="289"/>
      <c r="BH53" s="289"/>
      <c r="BI53" s="289"/>
      <c r="BJ53" s="289"/>
      <c r="BK53" s="289"/>
      <c r="BL53" s="289"/>
      <c r="BM53" s="289"/>
      <c r="BN53" s="289"/>
      <c r="BO53" s="289"/>
      <c r="BP53" s="289"/>
      <c r="BQ53" s="289"/>
      <c r="BR53" s="289"/>
      <c r="BS53" s="289"/>
      <c r="BT53" s="289"/>
      <c r="BU53" s="289"/>
      <c r="BV53" s="289"/>
      <c r="BW53" s="289"/>
      <c r="BX53" s="289"/>
      <c r="BY53" s="289"/>
      <c r="BZ53" s="289"/>
      <c r="CA53" s="289"/>
      <c r="CB53" s="289"/>
      <c r="CC53" s="289"/>
      <c r="CD53" s="289"/>
      <c r="CE53" s="289"/>
    </row>
    <row r="54" spans="1:84" ht="15.75" customHeight="1" x14ac:dyDescent="0.25">
      <c r="A54" s="283"/>
      <c r="B54" s="283"/>
      <c r="C54" s="288"/>
      <c r="D54" s="283"/>
      <c r="E54" s="283"/>
      <c r="F54" s="283"/>
      <c r="G54" s="283"/>
      <c r="H54" s="283"/>
      <c r="I54" s="283"/>
      <c r="J54" s="283"/>
      <c r="K54" s="283"/>
      <c r="L54" s="283"/>
      <c r="M54" s="283"/>
      <c r="N54" s="283"/>
      <c r="O54" s="283"/>
      <c r="P54" s="283"/>
      <c r="Q54" s="283"/>
      <c r="R54" s="283"/>
      <c r="S54" s="283"/>
      <c r="T54" s="283"/>
      <c r="U54" s="283"/>
      <c r="V54" s="283"/>
      <c r="W54" s="283"/>
      <c r="X54" s="283"/>
      <c r="Y54" s="283"/>
      <c r="Z54" s="283"/>
      <c r="AA54" s="283"/>
      <c r="AB54" s="283"/>
      <c r="AC54" s="283"/>
      <c r="AD54" s="283"/>
      <c r="AE54" s="283"/>
      <c r="AF54" s="283"/>
      <c r="AG54" s="283"/>
      <c r="AH54" s="283"/>
      <c r="AI54" s="283"/>
      <c r="AJ54" s="283"/>
      <c r="AK54" s="283"/>
      <c r="AL54" s="283"/>
      <c r="AM54" s="283"/>
      <c r="AN54" s="283"/>
      <c r="AO54" s="283"/>
      <c r="AP54" s="283"/>
      <c r="AQ54" s="283"/>
      <c r="AR54" s="283"/>
      <c r="AS54" s="283"/>
      <c r="AT54" s="283"/>
      <c r="AU54" s="283"/>
      <c r="AV54" s="283"/>
      <c r="AW54" s="283"/>
      <c r="AX54" s="283"/>
      <c r="AY54" s="283"/>
      <c r="AZ54" s="283"/>
      <c r="BA54" s="283"/>
      <c r="BB54" s="283"/>
      <c r="BC54" s="283"/>
      <c r="BD54" s="283"/>
      <c r="BE54" s="283"/>
      <c r="BF54" s="283"/>
      <c r="BG54" s="283"/>
      <c r="BH54" s="283"/>
      <c r="BI54" s="283"/>
      <c r="BJ54" s="283"/>
      <c r="BK54" s="283"/>
      <c r="BL54" s="283"/>
      <c r="BM54" s="283"/>
      <c r="BN54" s="283"/>
      <c r="BO54" s="283"/>
      <c r="BP54" s="283"/>
      <c r="BQ54" s="283"/>
      <c r="BR54" s="283"/>
      <c r="BS54" s="283"/>
      <c r="BT54" s="283"/>
      <c r="BU54" s="283"/>
      <c r="BV54" s="283"/>
      <c r="BW54" s="283"/>
      <c r="BX54" s="283"/>
      <c r="BY54" s="283"/>
      <c r="BZ54" s="283"/>
      <c r="CA54" s="283"/>
      <c r="CB54" s="283"/>
      <c r="CC54" s="283"/>
      <c r="CD54" s="283"/>
      <c r="CE54" s="283"/>
    </row>
    <row r="55" spans="1:84" ht="12.6" customHeight="1" x14ac:dyDescent="0.25">
      <c r="A55" s="282" t="s">
        <v>209</v>
      </c>
      <c r="B55" s="283"/>
      <c r="C55" s="285" t="s">
        <v>10</v>
      </c>
      <c r="D55" s="281" t="s">
        <v>11</v>
      </c>
      <c r="E55" s="281" t="s">
        <v>12</v>
      </c>
      <c r="F55" s="281" t="s">
        <v>13</v>
      </c>
      <c r="G55" s="281" t="s">
        <v>14</v>
      </c>
      <c r="H55" s="281" t="s">
        <v>15</v>
      </c>
      <c r="I55" s="281" t="s">
        <v>16</v>
      </c>
      <c r="J55" s="281" t="s">
        <v>17</v>
      </c>
      <c r="K55" s="281" t="s">
        <v>18</v>
      </c>
      <c r="L55" s="281" t="s">
        <v>19</v>
      </c>
      <c r="M55" s="281" t="s">
        <v>20</v>
      </c>
      <c r="N55" s="281" t="s">
        <v>21</v>
      </c>
      <c r="O55" s="281" t="s">
        <v>22</v>
      </c>
      <c r="P55" s="281" t="s">
        <v>23</v>
      </c>
      <c r="Q55" s="281" t="s">
        <v>24</v>
      </c>
      <c r="R55" s="281" t="s">
        <v>25</v>
      </c>
      <c r="S55" s="281" t="s">
        <v>26</v>
      </c>
      <c r="T55" s="292" t="s">
        <v>27</v>
      </c>
      <c r="U55" s="281" t="s">
        <v>28</v>
      </c>
      <c r="V55" s="281" t="s">
        <v>29</v>
      </c>
      <c r="W55" s="281" t="s">
        <v>30</v>
      </c>
      <c r="X55" s="281" t="s">
        <v>31</v>
      </c>
      <c r="Y55" s="281" t="s">
        <v>32</v>
      </c>
      <c r="Z55" s="281" t="s">
        <v>33</v>
      </c>
      <c r="AA55" s="281" t="s">
        <v>34</v>
      </c>
      <c r="AB55" s="281" t="s">
        <v>35</v>
      </c>
      <c r="AC55" s="281" t="s">
        <v>36</v>
      </c>
      <c r="AD55" s="281" t="s">
        <v>37</v>
      </c>
      <c r="AE55" s="281" t="s">
        <v>38</v>
      </c>
      <c r="AF55" s="281" t="s">
        <v>39</v>
      </c>
      <c r="AG55" s="281" t="s">
        <v>40</v>
      </c>
      <c r="AH55" s="281" t="s">
        <v>41</v>
      </c>
      <c r="AI55" s="281" t="s">
        <v>42</v>
      </c>
      <c r="AJ55" s="281" t="s">
        <v>43</v>
      </c>
      <c r="AK55" s="281" t="s">
        <v>44</v>
      </c>
      <c r="AL55" s="281" t="s">
        <v>45</v>
      </c>
      <c r="AM55" s="281" t="s">
        <v>46</v>
      </c>
      <c r="AN55" s="281" t="s">
        <v>47</v>
      </c>
      <c r="AO55" s="281" t="s">
        <v>48</v>
      </c>
      <c r="AP55" s="281" t="s">
        <v>49</v>
      </c>
      <c r="AQ55" s="281" t="s">
        <v>50</v>
      </c>
      <c r="AR55" s="281" t="s">
        <v>51</v>
      </c>
      <c r="AS55" s="281" t="s">
        <v>52</v>
      </c>
      <c r="AT55" s="281" t="s">
        <v>53</v>
      </c>
      <c r="AU55" s="281" t="s">
        <v>54</v>
      </c>
      <c r="AV55" s="281" t="s">
        <v>55</v>
      </c>
      <c r="AW55" s="281" t="s">
        <v>56</v>
      </c>
      <c r="AX55" s="281" t="s">
        <v>57</v>
      </c>
      <c r="AY55" s="281" t="s">
        <v>58</v>
      </c>
      <c r="AZ55" s="281" t="s">
        <v>59</v>
      </c>
      <c r="BA55" s="281" t="s">
        <v>60</v>
      </c>
      <c r="BB55" s="281" t="s">
        <v>61</v>
      </c>
      <c r="BC55" s="281" t="s">
        <v>62</v>
      </c>
      <c r="BD55" s="281" t="s">
        <v>63</v>
      </c>
      <c r="BE55" s="281" t="s">
        <v>64</v>
      </c>
      <c r="BF55" s="281" t="s">
        <v>65</v>
      </c>
      <c r="BG55" s="281" t="s">
        <v>66</v>
      </c>
      <c r="BH55" s="281" t="s">
        <v>67</v>
      </c>
      <c r="BI55" s="281" t="s">
        <v>68</v>
      </c>
      <c r="BJ55" s="281" t="s">
        <v>69</v>
      </c>
      <c r="BK55" s="281" t="s">
        <v>70</v>
      </c>
      <c r="BL55" s="281" t="s">
        <v>71</v>
      </c>
      <c r="BM55" s="281" t="s">
        <v>72</v>
      </c>
      <c r="BN55" s="281" t="s">
        <v>73</v>
      </c>
      <c r="BO55" s="281" t="s">
        <v>74</v>
      </c>
      <c r="BP55" s="281" t="s">
        <v>75</v>
      </c>
      <c r="BQ55" s="281" t="s">
        <v>76</v>
      </c>
      <c r="BR55" s="281" t="s">
        <v>77</v>
      </c>
      <c r="BS55" s="281" t="s">
        <v>78</v>
      </c>
      <c r="BT55" s="281" t="s">
        <v>79</v>
      </c>
      <c r="BU55" s="281" t="s">
        <v>80</v>
      </c>
      <c r="BV55" s="281" t="s">
        <v>81</v>
      </c>
      <c r="BW55" s="281" t="s">
        <v>82</v>
      </c>
      <c r="BX55" s="281" t="s">
        <v>83</v>
      </c>
      <c r="BY55" s="281" t="s">
        <v>84</v>
      </c>
      <c r="BZ55" s="281" t="s">
        <v>85</v>
      </c>
      <c r="CA55" s="281" t="s">
        <v>86</v>
      </c>
      <c r="CB55" s="281" t="s">
        <v>87</v>
      </c>
      <c r="CC55" s="281" t="s">
        <v>88</v>
      </c>
      <c r="CD55" s="281" t="s">
        <v>89</v>
      </c>
      <c r="CE55" s="281" t="s">
        <v>90</v>
      </c>
    </row>
    <row r="56" spans="1:84" ht="12.6" customHeight="1" x14ac:dyDescent="0.25">
      <c r="A56" s="282" t="s">
        <v>210</v>
      </c>
      <c r="B56" s="283"/>
      <c r="C56" s="285" t="s">
        <v>92</v>
      </c>
      <c r="D56" s="281" t="s">
        <v>93</v>
      </c>
      <c r="E56" s="281" t="s">
        <v>94</v>
      </c>
      <c r="F56" s="281" t="s">
        <v>95</v>
      </c>
      <c r="G56" s="281" t="s">
        <v>96</v>
      </c>
      <c r="H56" s="281" t="s">
        <v>97</v>
      </c>
      <c r="I56" s="281" t="s">
        <v>98</v>
      </c>
      <c r="J56" s="281" t="s">
        <v>99</v>
      </c>
      <c r="K56" s="281" t="s">
        <v>100</v>
      </c>
      <c r="L56" s="281" t="s">
        <v>101</v>
      </c>
      <c r="M56" s="281" t="s">
        <v>102</v>
      </c>
      <c r="N56" s="281" t="s">
        <v>103</v>
      </c>
      <c r="O56" s="281" t="s">
        <v>104</v>
      </c>
      <c r="P56" s="281" t="s">
        <v>105</v>
      </c>
      <c r="Q56" s="281" t="s">
        <v>106</v>
      </c>
      <c r="R56" s="281" t="s">
        <v>107</v>
      </c>
      <c r="S56" s="281" t="s">
        <v>108</v>
      </c>
      <c r="T56" s="281" t="s">
        <v>1194</v>
      </c>
      <c r="U56" s="281" t="s">
        <v>109</v>
      </c>
      <c r="V56" s="281" t="s">
        <v>110</v>
      </c>
      <c r="W56" s="281" t="s">
        <v>111</v>
      </c>
      <c r="X56" s="281" t="s">
        <v>112</v>
      </c>
      <c r="Y56" s="281" t="s">
        <v>113</v>
      </c>
      <c r="Z56" s="281" t="s">
        <v>113</v>
      </c>
      <c r="AA56" s="281" t="s">
        <v>114</v>
      </c>
      <c r="AB56" s="281" t="s">
        <v>115</v>
      </c>
      <c r="AC56" s="281" t="s">
        <v>116</v>
      </c>
      <c r="AD56" s="281" t="s">
        <v>117</v>
      </c>
      <c r="AE56" s="281" t="s">
        <v>96</v>
      </c>
      <c r="AF56" s="281" t="s">
        <v>97</v>
      </c>
      <c r="AG56" s="281" t="s">
        <v>118</v>
      </c>
      <c r="AH56" s="281" t="s">
        <v>119</v>
      </c>
      <c r="AI56" s="281" t="s">
        <v>120</v>
      </c>
      <c r="AJ56" s="281" t="s">
        <v>121</v>
      </c>
      <c r="AK56" s="281" t="s">
        <v>122</v>
      </c>
      <c r="AL56" s="281" t="s">
        <v>123</v>
      </c>
      <c r="AM56" s="281" t="s">
        <v>124</v>
      </c>
      <c r="AN56" s="281" t="s">
        <v>110</v>
      </c>
      <c r="AO56" s="281" t="s">
        <v>125</v>
      </c>
      <c r="AP56" s="281" t="s">
        <v>126</v>
      </c>
      <c r="AQ56" s="281" t="s">
        <v>127</v>
      </c>
      <c r="AR56" s="281" t="s">
        <v>128</v>
      </c>
      <c r="AS56" s="281" t="s">
        <v>129</v>
      </c>
      <c r="AT56" s="281" t="s">
        <v>130</v>
      </c>
      <c r="AU56" s="281" t="s">
        <v>131</v>
      </c>
      <c r="AV56" s="281" t="s">
        <v>132</v>
      </c>
      <c r="AW56" s="281" t="s">
        <v>133</v>
      </c>
      <c r="AX56" s="281" t="s">
        <v>134</v>
      </c>
      <c r="AY56" s="281" t="s">
        <v>135</v>
      </c>
      <c r="AZ56" s="281" t="s">
        <v>136</v>
      </c>
      <c r="BA56" s="281" t="s">
        <v>137</v>
      </c>
      <c r="BB56" s="281" t="s">
        <v>138</v>
      </c>
      <c r="BC56" s="281" t="s">
        <v>108</v>
      </c>
      <c r="BD56" s="281" t="s">
        <v>139</v>
      </c>
      <c r="BE56" s="281" t="s">
        <v>140</v>
      </c>
      <c r="BF56" s="281" t="s">
        <v>141</v>
      </c>
      <c r="BG56" s="281" t="s">
        <v>142</v>
      </c>
      <c r="BH56" s="281" t="s">
        <v>143</v>
      </c>
      <c r="BI56" s="281" t="s">
        <v>144</v>
      </c>
      <c r="BJ56" s="281" t="s">
        <v>145</v>
      </c>
      <c r="BK56" s="281" t="s">
        <v>146</v>
      </c>
      <c r="BL56" s="281" t="s">
        <v>147</v>
      </c>
      <c r="BM56" s="281" t="s">
        <v>132</v>
      </c>
      <c r="BN56" s="281" t="s">
        <v>148</v>
      </c>
      <c r="BO56" s="281" t="s">
        <v>149</v>
      </c>
      <c r="BP56" s="281" t="s">
        <v>150</v>
      </c>
      <c r="BQ56" s="281" t="s">
        <v>151</v>
      </c>
      <c r="BR56" s="281" t="s">
        <v>152</v>
      </c>
      <c r="BS56" s="281" t="s">
        <v>153</v>
      </c>
      <c r="BT56" s="281" t="s">
        <v>154</v>
      </c>
      <c r="BU56" s="281" t="s">
        <v>155</v>
      </c>
      <c r="BV56" s="281" t="s">
        <v>155</v>
      </c>
      <c r="BW56" s="281" t="s">
        <v>155</v>
      </c>
      <c r="BX56" s="281" t="s">
        <v>156</v>
      </c>
      <c r="BY56" s="281" t="s">
        <v>157</v>
      </c>
      <c r="BZ56" s="281" t="s">
        <v>158</v>
      </c>
      <c r="CA56" s="281" t="s">
        <v>159</v>
      </c>
      <c r="CB56" s="281" t="s">
        <v>160</v>
      </c>
      <c r="CC56" s="281" t="s">
        <v>132</v>
      </c>
      <c r="CD56" s="281" t="s">
        <v>211</v>
      </c>
      <c r="CE56" s="281" t="s">
        <v>161</v>
      </c>
    </row>
    <row r="57" spans="1:84" ht="12.6" customHeight="1" x14ac:dyDescent="0.25">
      <c r="A57" s="282" t="s">
        <v>212</v>
      </c>
      <c r="B57" s="283"/>
      <c r="C57" s="285" t="s">
        <v>163</v>
      </c>
      <c r="D57" s="281" t="s">
        <v>163</v>
      </c>
      <c r="E57" s="281" t="s">
        <v>163</v>
      </c>
      <c r="F57" s="281" t="s">
        <v>164</v>
      </c>
      <c r="G57" s="281" t="s">
        <v>165</v>
      </c>
      <c r="H57" s="281" t="s">
        <v>163</v>
      </c>
      <c r="I57" s="281" t="s">
        <v>166</v>
      </c>
      <c r="J57" s="281"/>
      <c r="K57" s="281" t="s">
        <v>157</v>
      </c>
      <c r="L57" s="281" t="s">
        <v>167</v>
      </c>
      <c r="M57" s="281" t="s">
        <v>168</v>
      </c>
      <c r="N57" s="281" t="s">
        <v>169</v>
      </c>
      <c r="O57" s="281" t="s">
        <v>170</v>
      </c>
      <c r="P57" s="281" t="s">
        <v>169</v>
      </c>
      <c r="Q57" s="281" t="s">
        <v>171</v>
      </c>
      <c r="R57" s="281"/>
      <c r="S57" s="281" t="s">
        <v>169</v>
      </c>
      <c r="T57" s="281" t="s">
        <v>172</v>
      </c>
      <c r="U57" s="281"/>
      <c r="V57" s="281" t="s">
        <v>173</v>
      </c>
      <c r="W57" s="281" t="s">
        <v>174</v>
      </c>
      <c r="X57" s="281" t="s">
        <v>175</v>
      </c>
      <c r="Y57" s="281" t="s">
        <v>176</v>
      </c>
      <c r="Z57" s="281" t="s">
        <v>177</v>
      </c>
      <c r="AA57" s="281" t="s">
        <v>178</v>
      </c>
      <c r="AB57" s="281"/>
      <c r="AC57" s="281" t="s">
        <v>172</v>
      </c>
      <c r="AD57" s="281"/>
      <c r="AE57" s="281" t="s">
        <v>172</v>
      </c>
      <c r="AF57" s="281" t="s">
        <v>179</v>
      </c>
      <c r="AG57" s="281" t="s">
        <v>171</v>
      </c>
      <c r="AH57" s="281"/>
      <c r="AI57" s="281" t="s">
        <v>180</v>
      </c>
      <c r="AJ57" s="281"/>
      <c r="AK57" s="281" t="s">
        <v>172</v>
      </c>
      <c r="AL57" s="281" t="s">
        <v>172</v>
      </c>
      <c r="AM57" s="281" t="s">
        <v>172</v>
      </c>
      <c r="AN57" s="281" t="s">
        <v>181</v>
      </c>
      <c r="AO57" s="281" t="s">
        <v>182</v>
      </c>
      <c r="AP57" s="281" t="s">
        <v>121</v>
      </c>
      <c r="AQ57" s="281" t="s">
        <v>183</v>
      </c>
      <c r="AR57" s="281" t="s">
        <v>169</v>
      </c>
      <c r="AS57" s="281"/>
      <c r="AT57" s="281" t="s">
        <v>184</v>
      </c>
      <c r="AU57" s="281" t="s">
        <v>185</v>
      </c>
      <c r="AV57" s="281" t="s">
        <v>186</v>
      </c>
      <c r="AW57" s="281" t="s">
        <v>187</v>
      </c>
      <c r="AX57" s="281" t="s">
        <v>188</v>
      </c>
      <c r="AY57" s="281"/>
      <c r="AZ57" s="281"/>
      <c r="BA57" s="281" t="s">
        <v>189</v>
      </c>
      <c r="BB57" s="281" t="s">
        <v>169</v>
      </c>
      <c r="BC57" s="281" t="s">
        <v>183</v>
      </c>
      <c r="BD57" s="281"/>
      <c r="BE57" s="281"/>
      <c r="BF57" s="281"/>
      <c r="BG57" s="281"/>
      <c r="BH57" s="281" t="s">
        <v>190</v>
      </c>
      <c r="BI57" s="281" t="s">
        <v>169</v>
      </c>
      <c r="BJ57" s="281"/>
      <c r="BK57" s="281" t="s">
        <v>191</v>
      </c>
      <c r="BL57" s="281"/>
      <c r="BM57" s="281" t="s">
        <v>192</v>
      </c>
      <c r="BN57" s="281" t="s">
        <v>193</v>
      </c>
      <c r="BO57" s="281" t="s">
        <v>194</v>
      </c>
      <c r="BP57" s="281" t="s">
        <v>195</v>
      </c>
      <c r="BQ57" s="281" t="s">
        <v>196</v>
      </c>
      <c r="BR57" s="281"/>
      <c r="BS57" s="281" t="s">
        <v>197</v>
      </c>
      <c r="BT57" s="281" t="s">
        <v>169</v>
      </c>
      <c r="BU57" s="281" t="s">
        <v>198</v>
      </c>
      <c r="BV57" s="281" t="s">
        <v>199</v>
      </c>
      <c r="BW57" s="281" t="s">
        <v>200</v>
      </c>
      <c r="BX57" s="281" t="s">
        <v>151</v>
      </c>
      <c r="BY57" s="281" t="s">
        <v>193</v>
      </c>
      <c r="BZ57" s="281" t="s">
        <v>152</v>
      </c>
      <c r="CA57" s="281" t="s">
        <v>201</v>
      </c>
      <c r="CB57" s="281" t="s">
        <v>201</v>
      </c>
      <c r="CC57" s="281" t="s">
        <v>202</v>
      </c>
      <c r="CD57" s="281" t="s">
        <v>213</v>
      </c>
      <c r="CE57" s="281" t="s">
        <v>203</v>
      </c>
    </row>
    <row r="58" spans="1:84" ht="12.6" customHeight="1" x14ac:dyDescent="0.25">
      <c r="A58" s="282" t="s">
        <v>214</v>
      </c>
      <c r="B58" s="283"/>
      <c r="C58" s="285" t="s">
        <v>215</v>
      </c>
      <c r="D58" s="281" t="s">
        <v>215</v>
      </c>
      <c r="E58" s="281" t="s">
        <v>215</v>
      </c>
      <c r="F58" s="281" t="s">
        <v>215</v>
      </c>
      <c r="G58" s="281" t="s">
        <v>215</v>
      </c>
      <c r="H58" s="281" t="s">
        <v>215</v>
      </c>
      <c r="I58" s="281" t="s">
        <v>215</v>
      </c>
      <c r="J58" s="281" t="s">
        <v>216</v>
      </c>
      <c r="K58" s="281" t="s">
        <v>215</v>
      </c>
      <c r="L58" s="281" t="s">
        <v>215</v>
      </c>
      <c r="M58" s="281" t="s">
        <v>215</v>
      </c>
      <c r="N58" s="281" t="s">
        <v>215</v>
      </c>
      <c r="O58" s="281" t="s">
        <v>217</v>
      </c>
      <c r="P58" s="281" t="s">
        <v>218</v>
      </c>
      <c r="Q58" s="281" t="s">
        <v>219</v>
      </c>
      <c r="R58" s="290" t="s">
        <v>220</v>
      </c>
      <c r="S58" s="293" t="s">
        <v>221</v>
      </c>
      <c r="T58" s="293" t="s">
        <v>221</v>
      </c>
      <c r="U58" s="281" t="s">
        <v>222</v>
      </c>
      <c r="V58" s="281" t="s">
        <v>222</v>
      </c>
      <c r="W58" s="281" t="s">
        <v>223</v>
      </c>
      <c r="X58" s="281" t="s">
        <v>224</v>
      </c>
      <c r="Y58" s="281" t="s">
        <v>225</v>
      </c>
      <c r="Z58" s="281" t="s">
        <v>225</v>
      </c>
      <c r="AA58" s="281" t="s">
        <v>225</v>
      </c>
      <c r="AB58" s="293" t="s">
        <v>221</v>
      </c>
      <c r="AC58" s="281" t="s">
        <v>226</v>
      </c>
      <c r="AD58" s="281" t="s">
        <v>227</v>
      </c>
      <c r="AE58" s="281" t="s">
        <v>226</v>
      </c>
      <c r="AF58" s="281" t="s">
        <v>228</v>
      </c>
      <c r="AG58" s="281" t="s">
        <v>228</v>
      </c>
      <c r="AH58" s="281" t="s">
        <v>229</v>
      </c>
      <c r="AI58" s="281" t="s">
        <v>230</v>
      </c>
      <c r="AJ58" s="281" t="s">
        <v>228</v>
      </c>
      <c r="AK58" s="281" t="s">
        <v>226</v>
      </c>
      <c r="AL58" s="281" t="s">
        <v>226</v>
      </c>
      <c r="AM58" s="281" t="s">
        <v>226</v>
      </c>
      <c r="AN58" s="281" t="s">
        <v>217</v>
      </c>
      <c r="AO58" s="281" t="s">
        <v>227</v>
      </c>
      <c r="AP58" s="281" t="s">
        <v>228</v>
      </c>
      <c r="AQ58" s="281" t="s">
        <v>229</v>
      </c>
      <c r="AR58" s="281" t="s">
        <v>228</v>
      </c>
      <c r="AS58" s="281" t="s">
        <v>226</v>
      </c>
      <c r="AT58" s="281" t="s">
        <v>1212</v>
      </c>
      <c r="AU58" s="281" t="s">
        <v>228</v>
      </c>
      <c r="AV58" s="293" t="s">
        <v>221</v>
      </c>
      <c r="AW58" s="293" t="s">
        <v>221</v>
      </c>
      <c r="AX58" s="293" t="s">
        <v>221</v>
      </c>
      <c r="AY58" s="281" t="s">
        <v>231</v>
      </c>
      <c r="AZ58" s="281" t="s">
        <v>231</v>
      </c>
      <c r="BA58" s="293" t="s">
        <v>221</v>
      </c>
      <c r="BB58" s="293" t="s">
        <v>221</v>
      </c>
      <c r="BC58" s="293" t="s">
        <v>221</v>
      </c>
      <c r="BD58" s="293" t="s">
        <v>221</v>
      </c>
      <c r="BE58" s="281" t="s">
        <v>232</v>
      </c>
      <c r="BF58" s="293" t="s">
        <v>221</v>
      </c>
      <c r="BG58" s="293" t="s">
        <v>221</v>
      </c>
      <c r="BH58" s="293" t="s">
        <v>221</v>
      </c>
      <c r="BI58" s="293" t="s">
        <v>221</v>
      </c>
      <c r="BJ58" s="293" t="s">
        <v>221</v>
      </c>
      <c r="BK58" s="293" t="s">
        <v>221</v>
      </c>
      <c r="BL58" s="293" t="s">
        <v>221</v>
      </c>
      <c r="BM58" s="293" t="s">
        <v>221</v>
      </c>
      <c r="BN58" s="293" t="s">
        <v>221</v>
      </c>
      <c r="BO58" s="293" t="s">
        <v>221</v>
      </c>
      <c r="BP58" s="293" t="s">
        <v>221</v>
      </c>
      <c r="BQ58" s="293" t="s">
        <v>221</v>
      </c>
      <c r="BR58" s="293" t="s">
        <v>221</v>
      </c>
      <c r="BS58" s="293" t="s">
        <v>221</v>
      </c>
      <c r="BT58" s="293" t="s">
        <v>221</v>
      </c>
      <c r="BU58" s="293" t="s">
        <v>221</v>
      </c>
      <c r="BV58" s="293" t="s">
        <v>221</v>
      </c>
      <c r="BW58" s="293" t="s">
        <v>221</v>
      </c>
      <c r="BX58" s="293" t="s">
        <v>221</v>
      </c>
      <c r="BY58" s="293" t="s">
        <v>221</v>
      </c>
      <c r="BZ58" s="293" t="s">
        <v>221</v>
      </c>
      <c r="CA58" s="293" t="s">
        <v>221</v>
      </c>
      <c r="CB58" s="293" t="s">
        <v>221</v>
      </c>
      <c r="CC58" s="293" t="s">
        <v>221</v>
      </c>
      <c r="CD58" s="293" t="s">
        <v>221</v>
      </c>
      <c r="CE58" s="293" t="s">
        <v>221</v>
      </c>
    </row>
    <row r="59" spans="1:84" ht="12.6" customHeight="1" x14ac:dyDescent="0.25">
      <c r="A59" s="282" t="s">
        <v>233</v>
      </c>
      <c r="B59" s="283"/>
      <c r="C59" s="286">
        <v>0</v>
      </c>
      <c r="D59" s="286">
        <v>0</v>
      </c>
      <c r="E59" s="286">
        <v>737</v>
      </c>
      <c r="F59" s="286">
        <v>0</v>
      </c>
      <c r="G59" s="286">
        <v>0</v>
      </c>
      <c r="H59" s="286">
        <v>0</v>
      </c>
      <c r="I59" s="286">
        <v>510</v>
      </c>
      <c r="J59" s="286">
        <v>0</v>
      </c>
      <c r="K59" s="286">
        <v>0</v>
      </c>
      <c r="L59" s="286">
        <v>4910</v>
      </c>
      <c r="M59" s="286">
        <v>0</v>
      </c>
      <c r="N59" s="286">
        <v>0</v>
      </c>
      <c r="O59" s="286">
        <v>0</v>
      </c>
      <c r="P59" s="287">
        <v>51987</v>
      </c>
      <c r="Q59" s="287">
        <v>39961</v>
      </c>
      <c r="R59" s="287">
        <v>46218</v>
      </c>
      <c r="S59" s="294"/>
      <c r="T59" s="294"/>
      <c r="U59" s="305">
        <v>44695</v>
      </c>
      <c r="V59" s="305">
        <v>0</v>
      </c>
      <c r="W59" s="305">
        <v>0</v>
      </c>
      <c r="X59" s="305">
        <v>0</v>
      </c>
      <c r="Y59" s="305">
        <v>6865</v>
      </c>
      <c r="Z59" s="305">
        <v>0</v>
      </c>
      <c r="AA59" s="305">
        <v>0</v>
      </c>
      <c r="AB59" s="294"/>
      <c r="AC59" s="305">
        <v>1798</v>
      </c>
      <c r="AD59" s="305">
        <v>0</v>
      </c>
      <c r="AE59" s="305">
        <v>19913</v>
      </c>
      <c r="AF59" s="305">
        <v>0</v>
      </c>
      <c r="AG59" s="305">
        <v>5373</v>
      </c>
      <c r="AH59" s="305">
        <v>1359</v>
      </c>
      <c r="AI59" s="305">
        <v>0</v>
      </c>
      <c r="AJ59" s="305">
        <v>0</v>
      </c>
      <c r="AK59" s="305">
        <v>0</v>
      </c>
      <c r="AL59" s="305">
        <v>0</v>
      </c>
      <c r="AM59" s="305">
        <v>0</v>
      </c>
      <c r="AN59" s="305">
        <v>0</v>
      </c>
      <c r="AO59" s="305">
        <v>0</v>
      </c>
      <c r="AP59" s="305">
        <v>0</v>
      </c>
      <c r="AQ59" s="305">
        <v>0</v>
      </c>
      <c r="AR59" s="305">
        <v>0</v>
      </c>
      <c r="AS59" s="305">
        <v>0</v>
      </c>
      <c r="AT59" s="305">
        <v>0</v>
      </c>
      <c r="AU59" s="305">
        <v>0</v>
      </c>
      <c r="AV59" s="294"/>
      <c r="AW59" s="294"/>
      <c r="AX59" s="294"/>
      <c r="AY59" s="287">
        <v>18463</v>
      </c>
      <c r="AZ59" s="287">
        <v>0</v>
      </c>
      <c r="BA59" s="294"/>
      <c r="BB59" s="294"/>
      <c r="BC59" s="294"/>
      <c r="BD59" s="294"/>
      <c r="BE59" s="287">
        <v>37424</v>
      </c>
      <c r="BF59" s="294"/>
      <c r="BG59" s="294"/>
      <c r="BH59" s="294"/>
      <c r="BI59" s="294"/>
      <c r="BJ59" s="294"/>
      <c r="BK59" s="294"/>
      <c r="BL59" s="294"/>
      <c r="BM59" s="294"/>
      <c r="BN59" s="294"/>
      <c r="BO59" s="294"/>
      <c r="BP59" s="294"/>
      <c r="BQ59" s="294"/>
      <c r="BR59" s="294"/>
      <c r="BS59" s="294"/>
      <c r="BT59" s="294"/>
      <c r="BU59" s="294"/>
      <c r="BV59" s="294"/>
      <c r="BW59" s="294"/>
      <c r="BX59" s="294"/>
      <c r="BY59" s="294"/>
      <c r="BZ59" s="294"/>
      <c r="CA59" s="294"/>
      <c r="CB59" s="294"/>
      <c r="CC59" s="294"/>
      <c r="CD59" s="295"/>
      <c r="CE59" s="289"/>
    </row>
    <row r="60" spans="1:84" ht="12.6" customHeight="1" x14ac:dyDescent="0.25">
      <c r="A60" s="296" t="s">
        <v>234</v>
      </c>
      <c r="B60" s="283"/>
      <c r="C60" s="299">
        <v>0</v>
      </c>
      <c r="D60" s="299">
        <v>0</v>
      </c>
      <c r="E60" s="304">
        <v>9.1999999999999993</v>
      </c>
      <c r="F60" s="302">
        <v>0</v>
      </c>
      <c r="G60" s="299">
        <v>0</v>
      </c>
      <c r="H60" s="299">
        <v>0</v>
      </c>
      <c r="I60" s="304">
        <v>2.4300000000000002</v>
      </c>
      <c r="J60" s="304">
        <v>0.59</v>
      </c>
      <c r="K60" s="302">
        <v>0</v>
      </c>
      <c r="L60" s="304">
        <v>30.76</v>
      </c>
      <c r="M60" s="301">
        <v>0</v>
      </c>
      <c r="N60" s="301">
        <v>0</v>
      </c>
      <c r="O60" s="303">
        <v>4.3966586538461536</v>
      </c>
      <c r="P60" s="303">
        <v>6.6295432692307692</v>
      </c>
      <c r="Q60" s="303">
        <v>2.243096153846154</v>
      </c>
      <c r="R60" s="303">
        <v>1.1408653846153847</v>
      </c>
      <c r="S60" s="303">
        <v>5.0491826923076921</v>
      </c>
      <c r="T60" s="303">
        <v>0</v>
      </c>
      <c r="U60" s="303">
        <v>8.6527211538461533</v>
      </c>
      <c r="V60" s="303">
        <v>0</v>
      </c>
      <c r="W60" s="303">
        <v>0</v>
      </c>
      <c r="X60" s="303">
        <v>0</v>
      </c>
      <c r="Y60" s="303">
        <v>7.0801826923076927</v>
      </c>
      <c r="Z60" s="303">
        <v>0</v>
      </c>
      <c r="AA60" s="303">
        <v>0</v>
      </c>
      <c r="AB60" s="303">
        <v>2.0024038461538463</v>
      </c>
      <c r="AC60" s="303">
        <v>1.1102403846153848</v>
      </c>
      <c r="AD60" s="303">
        <v>0</v>
      </c>
      <c r="AE60" s="303">
        <v>5.2289663461538458</v>
      </c>
      <c r="AF60" s="303">
        <v>0</v>
      </c>
      <c r="AG60" s="303">
        <v>11.654884615384615</v>
      </c>
      <c r="AH60" s="303">
        <v>22.013221153846153</v>
      </c>
      <c r="AI60" s="303">
        <v>0</v>
      </c>
      <c r="AJ60" s="303">
        <v>37.97775</v>
      </c>
      <c r="AK60" s="303">
        <v>1.0617788461538462</v>
      </c>
      <c r="AL60" s="303">
        <v>0</v>
      </c>
      <c r="AM60" s="303">
        <v>0</v>
      </c>
      <c r="AN60" s="303">
        <v>0</v>
      </c>
      <c r="AO60" s="303">
        <v>0</v>
      </c>
      <c r="AP60" s="303">
        <v>0</v>
      </c>
      <c r="AQ60" s="303">
        <v>0</v>
      </c>
      <c r="AR60" s="303">
        <v>0</v>
      </c>
      <c r="AS60" s="303">
        <v>0</v>
      </c>
      <c r="AT60" s="303">
        <v>0</v>
      </c>
      <c r="AU60" s="303">
        <v>0</v>
      </c>
      <c r="AV60" s="303">
        <v>0</v>
      </c>
      <c r="AW60" s="303">
        <v>0</v>
      </c>
      <c r="AX60" s="303">
        <v>0</v>
      </c>
      <c r="AY60" s="303">
        <v>9.0222019230769224</v>
      </c>
      <c r="AZ60" s="303">
        <v>0</v>
      </c>
      <c r="BA60" s="303">
        <v>0.66766826923076927</v>
      </c>
      <c r="BB60" s="303">
        <v>0.81510096153846157</v>
      </c>
      <c r="BC60" s="303">
        <v>0</v>
      </c>
      <c r="BD60" s="303">
        <v>0</v>
      </c>
      <c r="BE60" s="303">
        <v>4.7365192307692308</v>
      </c>
      <c r="BF60" s="303">
        <v>5.0435961538461536</v>
      </c>
      <c r="BG60" s="303">
        <v>0</v>
      </c>
      <c r="BH60" s="303">
        <v>0</v>
      </c>
      <c r="BI60" s="303">
        <v>0</v>
      </c>
      <c r="BJ60" s="303">
        <v>7.8432692307692307</v>
      </c>
      <c r="BK60" s="303">
        <v>0</v>
      </c>
      <c r="BL60" s="303">
        <v>8.3874230769230778</v>
      </c>
      <c r="BM60" s="303">
        <v>0</v>
      </c>
      <c r="BN60" s="303">
        <v>14.232499999999998</v>
      </c>
      <c r="BO60" s="303">
        <v>0</v>
      </c>
      <c r="BP60" s="303">
        <v>0</v>
      </c>
      <c r="BQ60" s="303">
        <v>0</v>
      </c>
      <c r="BR60" s="303">
        <v>0</v>
      </c>
      <c r="BS60" s="303">
        <v>0</v>
      </c>
      <c r="BT60" s="303">
        <v>0</v>
      </c>
      <c r="BU60" s="303">
        <v>0</v>
      </c>
      <c r="BV60" s="303">
        <v>4.2818509615384617</v>
      </c>
      <c r="BW60" s="303">
        <v>0</v>
      </c>
      <c r="BX60" s="303">
        <v>1.8887019230769231</v>
      </c>
      <c r="BY60" s="303">
        <v>0.99615384615384617</v>
      </c>
      <c r="BZ60" s="303">
        <v>0</v>
      </c>
      <c r="CA60" s="303">
        <v>0</v>
      </c>
      <c r="CB60" s="303">
        <v>1.0048076923076923</v>
      </c>
      <c r="CC60" s="303">
        <v>0</v>
      </c>
      <c r="CD60" s="295" t="s">
        <v>221</v>
      </c>
      <c r="CE60" s="297">
        <v>218.14128846153847</v>
      </c>
    </row>
    <row r="61" spans="1:84" ht="12.6" customHeight="1" x14ac:dyDescent="0.25">
      <c r="A61" s="282" t="s">
        <v>235</v>
      </c>
      <c r="B61" s="283"/>
      <c r="C61" s="299">
        <v>0</v>
      </c>
      <c r="D61" s="299">
        <v>0</v>
      </c>
      <c r="E61" s="299">
        <v>693387</v>
      </c>
      <c r="F61" s="302">
        <v>0</v>
      </c>
      <c r="G61" s="299">
        <v>0</v>
      </c>
      <c r="H61" s="299">
        <v>0</v>
      </c>
      <c r="I61" s="302">
        <v>177553</v>
      </c>
      <c r="J61" s="302">
        <v>0</v>
      </c>
      <c r="K61" s="302">
        <v>0</v>
      </c>
      <c r="L61" s="302">
        <v>2278432</v>
      </c>
      <c r="M61" s="301">
        <v>0</v>
      </c>
      <c r="N61" s="301">
        <v>0</v>
      </c>
      <c r="O61" s="299">
        <v>374899</v>
      </c>
      <c r="P61" s="299">
        <v>513248</v>
      </c>
      <c r="Q61" s="299">
        <v>205116</v>
      </c>
      <c r="R61" s="299">
        <v>455950</v>
      </c>
      <c r="S61" s="299">
        <v>247643</v>
      </c>
      <c r="T61" s="299">
        <v>0</v>
      </c>
      <c r="U61" s="299">
        <v>558087</v>
      </c>
      <c r="V61" s="299">
        <v>0</v>
      </c>
      <c r="W61" s="299">
        <v>0</v>
      </c>
      <c r="X61" s="299">
        <v>0</v>
      </c>
      <c r="Y61" s="299">
        <v>506640</v>
      </c>
      <c r="Z61" s="299">
        <v>0</v>
      </c>
      <c r="AA61" s="299">
        <v>0</v>
      </c>
      <c r="AB61" s="299">
        <v>209047</v>
      </c>
      <c r="AC61" s="299">
        <v>113825</v>
      </c>
      <c r="AD61" s="299">
        <v>0</v>
      </c>
      <c r="AE61" s="299">
        <v>431807</v>
      </c>
      <c r="AF61" s="299">
        <v>0</v>
      </c>
      <c r="AG61" s="299">
        <v>1607647</v>
      </c>
      <c r="AH61" s="299">
        <v>1149277</v>
      </c>
      <c r="AI61" s="299">
        <v>0</v>
      </c>
      <c r="AJ61" s="299">
        <v>4124409</v>
      </c>
      <c r="AK61" s="299">
        <v>92213</v>
      </c>
      <c r="AL61" s="299">
        <v>0</v>
      </c>
      <c r="AM61" s="299">
        <v>0</v>
      </c>
      <c r="AN61" s="299">
        <v>0</v>
      </c>
      <c r="AO61" s="299">
        <v>0</v>
      </c>
      <c r="AP61" s="299">
        <v>0</v>
      </c>
      <c r="AQ61" s="299">
        <v>0</v>
      </c>
      <c r="AR61" s="299">
        <v>203</v>
      </c>
      <c r="AS61" s="299">
        <v>0</v>
      </c>
      <c r="AT61" s="299">
        <v>0</v>
      </c>
      <c r="AU61" s="299">
        <v>0</v>
      </c>
      <c r="AV61" s="299">
        <v>0</v>
      </c>
      <c r="AW61" s="299">
        <v>0</v>
      </c>
      <c r="AX61" s="299">
        <v>0</v>
      </c>
      <c r="AY61" s="299">
        <v>356043</v>
      </c>
      <c r="AZ61" s="299">
        <v>0</v>
      </c>
      <c r="BA61" s="299">
        <v>19656</v>
      </c>
      <c r="BB61" s="299">
        <v>63800</v>
      </c>
      <c r="BC61" s="299">
        <v>0</v>
      </c>
      <c r="BD61" s="299">
        <v>0</v>
      </c>
      <c r="BE61" s="299">
        <v>250076</v>
      </c>
      <c r="BF61" s="299">
        <v>184336</v>
      </c>
      <c r="BG61" s="299">
        <v>0</v>
      </c>
      <c r="BH61" s="299">
        <v>0</v>
      </c>
      <c r="BI61" s="299">
        <v>0</v>
      </c>
      <c r="BJ61" s="299">
        <v>352082</v>
      </c>
      <c r="BK61" s="299">
        <v>0</v>
      </c>
      <c r="BL61" s="299">
        <v>322593</v>
      </c>
      <c r="BM61" s="299">
        <v>0</v>
      </c>
      <c r="BN61" s="299">
        <v>1388775</v>
      </c>
      <c r="BO61" s="299">
        <v>0</v>
      </c>
      <c r="BP61" s="299">
        <v>0</v>
      </c>
      <c r="BQ61" s="299">
        <v>0</v>
      </c>
      <c r="BR61" s="299">
        <v>0</v>
      </c>
      <c r="BS61" s="299">
        <v>0</v>
      </c>
      <c r="BT61" s="299">
        <v>0</v>
      </c>
      <c r="BU61" s="299">
        <v>0</v>
      </c>
      <c r="BV61" s="299">
        <v>222671</v>
      </c>
      <c r="BW61" s="299">
        <v>0</v>
      </c>
      <c r="BX61" s="299">
        <v>202904</v>
      </c>
      <c r="BY61" s="299">
        <v>140488</v>
      </c>
      <c r="BZ61" s="299">
        <v>0</v>
      </c>
      <c r="CA61" s="299">
        <v>0</v>
      </c>
      <c r="CB61" s="299">
        <v>64764</v>
      </c>
      <c r="CC61" s="299">
        <v>0</v>
      </c>
      <c r="CD61" s="295" t="s">
        <v>221</v>
      </c>
      <c r="CE61" s="289">
        <v>17307571</v>
      </c>
      <c r="CF61" s="248"/>
    </row>
    <row r="62" spans="1:84" ht="12.6" customHeight="1" x14ac:dyDescent="0.25">
      <c r="A62" s="282" t="s">
        <v>3</v>
      </c>
      <c r="B62" s="283"/>
      <c r="C62" s="289">
        <v>0</v>
      </c>
      <c r="D62" s="289">
        <v>0</v>
      </c>
      <c r="E62" s="289">
        <v>135517</v>
      </c>
      <c r="F62" s="289">
        <v>0</v>
      </c>
      <c r="G62" s="289">
        <v>0</v>
      </c>
      <c r="H62" s="289">
        <v>0</v>
      </c>
      <c r="I62" s="289">
        <v>34701</v>
      </c>
      <c r="J62" s="289">
        <v>0</v>
      </c>
      <c r="K62" s="289">
        <v>0</v>
      </c>
      <c r="L62" s="289">
        <v>445302</v>
      </c>
      <c r="M62" s="289">
        <v>0</v>
      </c>
      <c r="N62" s="289">
        <v>0</v>
      </c>
      <c r="O62" s="289">
        <v>73271</v>
      </c>
      <c r="P62" s="289">
        <v>100310</v>
      </c>
      <c r="Q62" s="289">
        <v>40088</v>
      </c>
      <c r="R62" s="289">
        <v>89112</v>
      </c>
      <c r="S62" s="289">
        <v>48400</v>
      </c>
      <c r="T62" s="289">
        <v>0</v>
      </c>
      <c r="U62" s="289">
        <v>109074</v>
      </c>
      <c r="V62" s="289">
        <v>0</v>
      </c>
      <c r="W62" s="289">
        <v>0</v>
      </c>
      <c r="X62" s="289">
        <v>0</v>
      </c>
      <c r="Y62" s="289">
        <v>99019</v>
      </c>
      <c r="Z62" s="289">
        <v>0</v>
      </c>
      <c r="AA62" s="289">
        <v>0</v>
      </c>
      <c r="AB62" s="289">
        <v>40857</v>
      </c>
      <c r="AC62" s="289">
        <v>22246</v>
      </c>
      <c r="AD62" s="289">
        <v>0</v>
      </c>
      <c r="AE62" s="289">
        <v>84393</v>
      </c>
      <c r="AF62" s="289">
        <v>0</v>
      </c>
      <c r="AG62" s="289">
        <v>314202</v>
      </c>
      <c r="AH62" s="289">
        <v>224617</v>
      </c>
      <c r="AI62" s="289">
        <v>0</v>
      </c>
      <c r="AJ62" s="289">
        <v>806083</v>
      </c>
      <c r="AK62" s="289">
        <v>18022</v>
      </c>
      <c r="AL62" s="289">
        <v>0</v>
      </c>
      <c r="AM62" s="289">
        <v>0</v>
      </c>
      <c r="AN62" s="289">
        <v>0</v>
      </c>
      <c r="AO62" s="289">
        <v>0</v>
      </c>
      <c r="AP62" s="289">
        <v>0</v>
      </c>
      <c r="AQ62" s="289">
        <v>0</v>
      </c>
      <c r="AR62" s="289">
        <v>40</v>
      </c>
      <c r="AS62" s="289">
        <v>0</v>
      </c>
      <c r="AT62" s="289">
        <v>0</v>
      </c>
      <c r="AU62" s="289">
        <v>0</v>
      </c>
      <c r="AV62" s="289">
        <v>0</v>
      </c>
      <c r="AW62" s="289">
        <v>0</v>
      </c>
      <c r="AX62" s="289">
        <v>0</v>
      </c>
      <c r="AY62" s="289">
        <v>69586</v>
      </c>
      <c r="AZ62" s="289">
        <v>0</v>
      </c>
      <c r="BA62" s="289">
        <v>3842</v>
      </c>
      <c r="BB62" s="289">
        <v>12469</v>
      </c>
      <c r="BC62" s="289">
        <v>0</v>
      </c>
      <c r="BD62" s="289">
        <v>0</v>
      </c>
      <c r="BE62" s="289">
        <v>48875</v>
      </c>
      <c r="BF62" s="289">
        <v>36027</v>
      </c>
      <c r="BG62" s="289">
        <v>0</v>
      </c>
      <c r="BH62" s="289">
        <v>0</v>
      </c>
      <c r="BI62" s="289">
        <v>0</v>
      </c>
      <c r="BJ62" s="289">
        <v>68812</v>
      </c>
      <c r="BK62" s="289">
        <v>0</v>
      </c>
      <c r="BL62" s="289">
        <v>63048</v>
      </c>
      <c r="BM62" s="289">
        <v>0</v>
      </c>
      <c r="BN62" s="289">
        <v>271425</v>
      </c>
      <c r="BO62" s="289">
        <v>0</v>
      </c>
      <c r="BP62" s="289">
        <v>0</v>
      </c>
      <c r="BQ62" s="289">
        <v>0</v>
      </c>
      <c r="BR62" s="289">
        <v>0</v>
      </c>
      <c r="BS62" s="289">
        <v>0</v>
      </c>
      <c r="BT62" s="289">
        <v>0</v>
      </c>
      <c r="BU62" s="289">
        <v>0</v>
      </c>
      <c r="BV62" s="289">
        <v>43519</v>
      </c>
      <c r="BW62" s="289">
        <v>0</v>
      </c>
      <c r="BX62" s="289">
        <v>39656</v>
      </c>
      <c r="BY62" s="289">
        <v>27457</v>
      </c>
      <c r="BZ62" s="289">
        <v>0</v>
      </c>
      <c r="CA62" s="289">
        <v>0</v>
      </c>
      <c r="CB62" s="289">
        <v>12658</v>
      </c>
      <c r="CC62" s="289">
        <v>0</v>
      </c>
      <c r="CD62" s="295" t="s">
        <v>221</v>
      </c>
      <c r="CE62" s="289">
        <v>3382628</v>
      </c>
      <c r="CF62" s="248"/>
    </row>
    <row r="63" spans="1:84" ht="12.6" customHeight="1" x14ac:dyDescent="0.25">
      <c r="A63" s="282" t="s">
        <v>236</v>
      </c>
      <c r="B63" s="283"/>
      <c r="C63" s="299">
        <v>0</v>
      </c>
      <c r="D63" s="299">
        <v>0</v>
      </c>
      <c r="E63" s="299">
        <v>0</v>
      </c>
      <c r="F63" s="302">
        <v>0</v>
      </c>
      <c r="G63" s="299">
        <v>0</v>
      </c>
      <c r="H63" s="299">
        <v>0</v>
      </c>
      <c r="I63" s="302">
        <v>0</v>
      </c>
      <c r="J63" s="302">
        <v>0</v>
      </c>
      <c r="K63" s="302">
        <v>0</v>
      </c>
      <c r="L63" s="302">
        <v>0</v>
      </c>
      <c r="M63" s="301">
        <v>0</v>
      </c>
      <c r="N63" s="301">
        <v>0</v>
      </c>
      <c r="O63" s="299">
        <v>0</v>
      </c>
      <c r="P63" s="299">
        <v>0</v>
      </c>
      <c r="Q63" s="299">
        <v>0</v>
      </c>
      <c r="R63" s="299">
        <v>0</v>
      </c>
      <c r="S63" s="299">
        <v>0</v>
      </c>
      <c r="T63" s="299">
        <v>0</v>
      </c>
      <c r="U63" s="299">
        <v>7200</v>
      </c>
      <c r="V63" s="299">
        <v>0</v>
      </c>
      <c r="W63" s="299">
        <v>0</v>
      </c>
      <c r="X63" s="299">
        <v>0</v>
      </c>
      <c r="Y63" s="299">
        <v>335205</v>
      </c>
      <c r="Z63" s="299">
        <v>0</v>
      </c>
      <c r="AA63" s="299">
        <v>0</v>
      </c>
      <c r="AB63" s="299">
        <v>0</v>
      </c>
      <c r="AC63" s="299">
        <v>0</v>
      </c>
      <c r="AD63" s="299">
        <v>0</v>
      </c>
      <c r="AE63" s="299">
        <v>0</v>
      </c>
      <c r="AF63" s="299">
        <v>0</v>
      </c>
      <c r="AG63" s="299">
        <v>117498</v>
      </c>
      <c r="AH63" s="299">
        <v>0</v>
      </c>
      <c r="AI63" s="299">
        <v>0</v>
      </c>
      <c r="AJ63" s="299">
        <v>0</v>
      </c>
      <c r="AK63" s="299">
        <v>0</v>
      </c>
      <c r="AL63" s="299">
        <v>0</v>
      </c>
      <c r="AM63" s="299">
        <v>0</v>
      </c>
      <c r="AN63" s="299">
        <v>0</v>
      </c>
      <c r="AO63" s="299">
        <v>0</v>
      </c>
      <c r="AP63" s="299">
        <v>0</v>
      </c>
      <c r="AQ63" s="299">
        <v>0</v>
      </c>
      <c r="AR63" s="299">
        <v>0</v>
      </c>
      <c r="AS63" s="299">
        <v>0</v>
      </c>
      <c r="AT63" s="299">
        <v>0</v>
      </c>
      <c r="AU63" s="299">
        <v>0</v>
      </c>
      <c r="AV63" s="299">
        <v>0</v>
      </c>
      <c r="AW63" s="299">
        <v>0</v>
      </c>
      <c r="AX63" s="299">
        <v>0</v>
      </c>
      <c r="AY63" s="299">
        <v>0</v>
      </c>
      <c r="AZ63" s="299">
        <v>0</v>
      </c>
      <c r="BA63" s="299">
        <v>0</v>
      </c>
      <c r="BB63" s="299">
        <v>0</v>
      </c>
      <c r="BC63" s="299">
        <v>0</v>
      </c>
      <c r="BD63" s="299">
        <v>0</v>
      </c>
      <c r="BE63" s="299">
        <v>0</v>
      </c>
      <c r="BF63" s="299">
        <v>0</v>
      </c>
      <c r="BG63" s="299">
        <v>0</v>
      </c>
      <c r="BH63" s="299">
        <v>0</v>
      </c>
      <c r="BI63" s="299">
        <v>0</v>
      </c>
      <c r="BJ63" s="299">
        <v>0</v>
      </c>
      <c r="BK63" s="299">
        <v>0</v>
      </c>
      <c r="BL63" s="299">
        <v>0</v>
      </c>
      <c r="BM63" s="299">
        <v>0</v>
      </c>
      <c r="BN63" s="299">
        <v>0</v>
      </c>
      <c r="BO63" s="299">
        <v>0</v>
      </c>
      <c r="BP63" s="299">
        <v>0</v>
      </c>
      <c r="BQ63" s="299">
        <v>0</v>
      </c>
      <c r="BR63" s="299">
        <v>0</v>
      </c>
      <c r="BS63" s="299">
        <v>0</v>
      </c>
      <c r="BT63" s="299">
        <v>0</v>
      </c>
      <c r="BU63" s="299">
        <v>0</v>
      </c>
      <c r="BV63" s="299">
        <v>0</v>
      </c>
      <c r="BW63" s="299">
        <v>0</v>
      </c>
      <c r="BX63" s="299">
        <v>0</v>
      </c>
      <c r="BY63" s="299">
        <v>0</v>
      </c>
      <c r="BZ63" s="299">
        <v>0</v>
      </c>
      <c r="CA63" s="299">
        <v>0</v>
      </c>
      <c r="CB63" s="299">
        <v>0</v>
      </c>
      <c r="CC63" s="299">
        <v>0</v>
      </c>
      <c r="CD63" s="295" t="s">
        <v>221</v>
      </c>
      <c r="CE63" s="289">
        <v>459903</v>
      </c>
      <c r="CF63" s="248"/>
    </row>
    <row r="64" spans="1:84" ht="12.6" customHeight="1" x14ac:dyDescent="0.25">
      <c r="A64" s="282" t="s">
        <v>237</v>
      </c>
      <c r="B64" s="283"/>
      <c r="C64" s="299">
        <v>0</v>
      </c>
      <c r="D64" s="299">
        <v>0</v>
      </c>
      <c r="E64" s="302">
        <v>29326</v>
      </c>
      <c r="F64" s="302">
        <v>0</v>
      </c>
      <c r="G64" s="299">
        <v>0</v>
      </c>
      <c r="H64" s="299">
        <v>0</v>
      </c>
      <c r="I64" s="302">
        <v>2076</v>
      </c>
      <c r="J64" s="299">
        <v>11164</v>
      </c>
      <c r="K64" s="302">
        <v>0</v>
      </c>
      <c r="L64" s="302">
        <v>55241</v>
      </c>
      <c r="M64" s="301">
        <v>0</v>
      </c>
      <c r="N64" s="301">
        <v>0</v>
      </c>
      <c r="O64" s="299">
        <v>8585</v>
      </c>
      <c r="P64" s="299">
        <v>73675</v>
      </c>
      <c r="Q64" s="299">
        <v>18781</v>
      </c>
      <c r="R64" s="299">
        <v>4920</v>
      </c>
      <c r="S64" s="299">
        <v>616920</v>
      </c>
      <c r="T64" s="299">
        <v>0</v>
      </c>
      <c r="U64" s="299">
        <v>358616</v>
      </c>
      <c r="V64" s="299">
        <v>0</v>
      </c>
      <c r="W64" s="299">
        <v>0</v>
      </c>
      <c r="X64" s="299">
        <v>0</v>
      </c>
      <c r="Y64" s="299">
        <v>42904</v>
      </c>
      <c r="Z64" s="299">
        <v>0</v>
      </c>
      <c r="AA64" s="299">
        <v>0</v>
      </c>
      <c r="AB64" s="299">
        <v>286476.34999999998</v>
      </c>
      <c r="AC64" s="299">
        <v>17764</v>
      </c>
      <c r="AD64" s="299">
        <v>0</v>
      </c>
      <c r="AE64" s="299">
        <v>6164</v>
      </c>
      <c r="AF64" s="299">
        <v>0</v>
      </c>
      <c r="AG64" s="299">
        <v>37378</v>
      </c>
      <c r="AH64" s="299">
        <v>45029</v>
      </c>
      <c r="AI64" s="299">
        <v>0</v>
      </c>
      <c r="AJ64" s="299">
        <v>250168.65</v>
      </c>
      <c r="AK64" s="299">
        <v>368</v>
      </c>
      <c r="AL64" s="299">
        <v>0</v>
      </c>
      <c r="AM64" s="299">
        <v>0</v>
      </c>
      <c r="AN64" s="299">
        <v>0</v>
      </c>
      <c r="AO64" s="299">
        <v>0</v>
      </c>
      <c r="AP64" s="299">
        <v>0</v>
      </c>
      <c r="AQ64" s="299">
        <v>0</v>
      </c>
      <c r="AR64" s="299">
        <v>995</v>
      </c>
      <c r="AS64" s="299">
        <v>0</v>
      </c>
      <c r="AT64" s="299">
        <v>0</v>
      </c>
      <c r="AU64" s="299">
        <v>0</v>
      </c>
      <c r="AV64" s="299">
        <v>0</v>
      </c>
      <c r="AW64" s="299">
        <v>0</v>
      </c>
      <c r="AX64" s="299">
        <v>0</v>
      </c>
      <c r="AY64" s="299">
        <v>243633</v>
      </c>
      <c r="AZ64" s="299">
        <v>0</v>
      </c>
      <c r="BA64" s="299">
        <v>0</v>
      </c>
      <c r="BB64" s="299">
        <v>1329</v>
      </c>
      <c r="BC64" s="299">
        <v>0</v>
      </c>
      <c r="BD64" s="299">
        <v>0</v>
      </c>
      <c r="BE64" s="299">
        <v>15514</v>
      </c>
      <c r="BF64" s="299">
        <v>28085</v>
      </c>
      <c r="BG64" s="299">
        <v>0</v>
      </c>
      <c r="BH64" s="299">
        <v>0</v>
      </c>
      <c r="BI64" s="299">
        <v>0</v>
      </c>
      <c r="BJ64" s="299">
        <v>7566</v>
      </c>
      <c r="BK64" s="299">
        <v>0</v>
      </c>
      <c r="BL64" s="299">
        <v>5280</v>
      </c>
      <c r="BM64" s="299">
        <v>0</v>
      </c>
      <c r="BN64" s="299">
        <v>73988</v>
      </c>
      <c r="BO64" s="299">
        <v>0</v>
      </c>
      <c r="BP64" s="299">
        <v>0</v>
      </c>
      <c r="BQ64" s="299">
        <v>0</v>
      </c>
      <c r="BR64" s="299">
        <v>0</v>
      </c>
      <c r="BS64" s="299">
        <v>0</v>
      </c>
      <c r="BT64" s="299">
        <v>0</v>
      </c>
      <c r="BU64" s="299">
        <v>0</v>
      </c>
      <c r="BV64" s="299">
        <v>4401</v>
      </c>
      <c r="BW64" s="299">
        <v>0</v>
      </c>
      <c r="BX64" s="299">
        <v>1190</v>
      </c>
      <c r="BY64" s="299">
        <v>987</v>
      </c>
      <c r="BZ64" s="299">
        <v>0</v>
      </c>
      <c r="CA64" s="299">
        <v>0</v>
      </c>
      <c r="CB64" s="299">
        <v>354</v>
      </c>
      <c r="CC64" s="299">
        <v>0</v>
      </c>
      <c r="CD64" s="295" t="s">
        <v>221</v>
      </c>
      <c r="CE64" s="289">
        <v>2248878</v>
      </c>
      <c r="CF64" s="248"/>
    </row>
    <row r="65" spans="1:84" ht="12.6" customHeight="1" x14ac:dyDescent="0.25">
      <c r="A65" s="282" t="s">
        <v>238</v>
      </c>
      <c r="B65" s="283"/>
      <c r="C65" s="299">
        <v>0</v>
      </c>
      <c r="D65" s="299">
        <v>0</v>
      </c>
      <c r="E65" s="299">
        <v>0</v>
      </c>
      <c r="F65" s="299">
        <v>0</v>
      </c>
      <c r="G65" s="299">
        <v>0</v>
      </c>
      <c r="H65" s="299">
        <v>0</v>
      </c>
      <c r="I65" s="302">
        <v>344</v>
      </c>
      <c r="J65" s="299">
        <v>0</v>
      </c>
      <c r="K65" s="302">
        <v>0</v>
      </c>
      <c r="L65" s="302">
        <v>2607</v>
      </c>
      <c r="M65" s="301">
        <v>0</v>
      </c>
      <c r="N65" s="301">
        <v>0</v>
      </c>
      <c r="O65" s="299">
        <v>0</v>
      </c>
      <c r="P65" s="299">
        <v>1305</v>
      </c>
      <c r="Q65" s="299">
        <v>499.9</v>
      </c>
      <c r="R65" s="299">
        <v>0</v>
      </c>
      <c r="S65" s="299">
        <v>0</v>
      </c>
      <c r="T65" s="299">
        <v>0</v>
      </c>
      <c r="U65" s="299">
        <v>302</v>
      </c>
      <c r="V65" s="299">
        <v>0</v>
      </c>
      <c r="W65" s="299">
        <v>0</v>
      </c>
      <c r="X65" s="299">
        <v>0</v>
      </c>
      <c r="Y65" s="299">
        <v>890</v>
      </c>
      <c r="Z65" s="299">
        <v>0</v>
      </c>
      <c r="AA65" s="299">
        <v>0</v>
      </c>
      <c r="AB65" s="299">
        <v>0</v>
      </c>
      <c r="AC65" s="299">
        <v>0</v>
      </c>
      <c r="AD65" s="299">
        <v>0</v>
      </c>
      <c r="AE65" s="299">
        <v>1271</v>
      </c>
      <c r="AF65" s="299">
        <v>0</v>
      </c>
      <c r="AG65" s="299">
        <v>2123</v>
      </c>
      <c r="AH65" s="299">
        <v>11535</v>
      </c>
      <c r="AI65" s="299">
        <v>0</v>
      </c>
      <c r="AJ65" s="299">
        <v>22945</v>
      </c>
      <c r="AK65" s="299">
        <v>0</v>
      </c>
      <c r="AL65" s="299">
        <v>0</v>
      </c>
      <c r="AM65" s="299">
        <v>0</v>
      </c>
      <c r="AN65" s="299">
        <v>0</v>
      </c>
      <c r="AO65" s="299">
        <v>0</v>
      </c>
      <c r="AP65" s="299">
        <v>0</v>
      </c>
      <c r="AQ65" s="299">
        <v>0</v>
      </c>
      <c r="AR65" s="299">
        <v>0</v>
      </c>
      <c r="AS65" s="299">
        <v>0</v>
      </c>
      <c r="AT65" s="299">
        <v>0</v>
      </c>
      <c r="AU65" s="299">
        <v>0</v>
      </c>
      <c r="AV65" s="299">
        <v>0</v>
      </c>
      <c r="AW65" s="299">
        <v>0</v>
      </c>
      <c r="AX65" s="299">
        <v>0</v>
      </c>
      <c r="AY65" s="299">
        <v>0</v>
      </c>
      <c r="AZ65" s="299">
        <v>0</v>
      </c>
      <c r="BA65" s="299">
        <v>0</v>
      </c>
      <c r="BB65" s="299">
        <v>0</v>
      </c>
      <c r="BC65" s="299">
        <v>0</v>
      </c>
      <c r="BD65" s="299">
        <v>0</v>
      </c>
      <c r="BE65" s="299">
        <v>103954</v>
      </c>
      <c r="BF65" s="299">
        <v>961</v>
      </c>
      <c r="BG65" s="299">
        <v>0</v>
      </c>
      <c r="BH65" s="299">
        <v>0</v>
      </c>
      <c r="BI65" s="299">
        <v>0</v>
      </c>
      <c r="BJ65" s="299">
        <v>2118</v>
      </c>
      <c r="BK65" s="299">
        <v>0</v>
      </c>
      <c r="BL65" s="299">
        <v>0</v>
      </c>
      <c r="BM65" s="299">
        <v>0</v>
      </c>
      <c r="BN65" s="299">
        <v>46065.1</v>
      </c>
      <c r="BO65" s="299">
        <v>0</v>
      </c>
      <c r="BP65" s="299">
        <v>0</v>
      </c>
      <c r="BQ65" s="299">
        <v>0</v>
      </c>
      <c r="BR65" s="299">
        <v>0</v>
      </c>
      <c r="BS65" s="299">
        <v>0</v>
      </c>
      <c r="BT65" s="299">
        <v>0</v>
      </c>
      <c r="BU65" s="299">
        <v>0</v>
      </c>
      <c r="BV65" s="299">
        <v>825</v>
      </c>
      <c r="BW65" s="299">
        <v>0</v>
      </c>
      <c r="BX65" s="299">
        <v>0</v>
      </c>
      <c r="BY65" s="299">
        <v>2229</v>
      </c>
      <c r="BZ65" s="299">
        <v>0</v>
      </c>
      <c r="CA65" s="299">
        <v>0</v>
      </c>
      <c r="CB65" s="299">
        <v>296</v>
      </c>
      <c r="CC65" s="299">
        <v>0</v>
      </c>
      <c r="CD65" s="295" t="s">
        <v>221</v>
      </c>
      <c r="CE65" s="289">
        <v>200270</v>
      </c>
      <c r="CF65" s="248"/>
    </row>
    <row r="66" spans="1:84" ht="12.6" customHeight="1" x14ac:dyDescent="0.25">
      <c r="A66" s="282" t="s">
        <v>239</v>
      </c>
      <c r="B66" s="283"/>
      <c r="C66" s="299">
        <v>0</v>
      </c>
      <c r="D66" s="299">
        <v>0</v>
      </c>
      <c r="E66" s="299">
        <v>12637</v>
      </c>
      <c r="F66" s="299">
        <v>0</v>
      </c>
      <c r="G66" s="299">
        <v>0</v>
      </c>
      <c r="H66" s="299">
        <v>0</v>
      </c>
      <c r="I66" s="299">
        <v>0</v>
      </c>
      <c r="J66" s="299">
        <v>0</v>
      </c>
      <c r="K66" s="302">
        <v>0</v>
      </c>
      <c r="L66" s="302">
        <v>0</v>
      </c>
      <c r="M66" s="301">
        <v>0</v>
      </c>
      <c r="N66" s="301">
        <v>0</v>
      </c>
      <c r="O66" s="299">
        <v>106066</v>
      </c>
      <c r="P66" s="299">
        <v>3490</v>
      </c>
      <c r="Q66" s="299">
        <v>0</v>
      </c>
      <c r="R66" s="299">
        <v>79391</v>
      </c>
      <c r="S66" s="299">
        <v>38</v>
      </c>
      <c r="T66" s="299">
        <v>0</v>
      </c>
      <c r="U66" s="299">
        <v>248043</v>
      </c>
      <c r="V66" s="299">
        <v>0</v>
      </c>
      <c r="W66" s="299">
        <v>0</v>
      </c>
      <c r="X66" s="299">
        <v>0</v>
      </c>
      <c r="Y66" s="299">
        <v>182557</v>
      </c>
      <c r="Z66" s="299">
        <v>0</v>
      </c>
      <c r="AA66" s="299">
        <v>0</v>
      </c>
      <c r="AB66" s="299">
        <v>173936</v>
      </c>
      <c r="AC66" s="299">
        <v>0</v>
      </c>
      <c r="AD66" s="299">
        <v>0</v>
      </c>
      <c r="AE66" s="299">
        <v>171</v>
      </c>
      <c r="AF66" s="299">
        <v>0</v>
      </c>
      <c r="AG66" s="299">
        <v>8912</v>
      </c>
      <c r="AH66" s="299">
        <v>95886</v>
      </c>
      <c r="AI66" s="299">
        <v>0</v>
      </c>
      <c r="AJ66" s="299">
        <v>432798</v>
      </c>
      <c r="AK66" s="299">
        <v>0</v>
      </c>
      <c r="AL66" s="299">
        <v>0</v>
      </c>
      <c r="AM66" s="299">
        <v>0</v>
      </c>
      <c r="AN66" s="299">
        <v>0</v>
      </c>
      <c r="AO66" s="299">
        <v>0</v>
      </c>
      <c r="AP66" s="299">
        <v>0</v>
      </c>
      <c r="AQ66" s="299">
        <v>0</v>
      </c>
      <c r="AR66" s="299">
        <v>0</v>
      </c>
      <c r="AS66" s="299">
        <v>0</v>
      </c>
      <c r="AT66" s="299">
        <v>0</v>
      </c>
      <c r="AU66" s="299">
        <v>0</v>
      </c>
      <c r="AV66" s="299">
        <v>0</v>
      </c>
      <c r="AW66" s="299">
        <v>0</v>
      </c>
      <c r="AX66" s="299">
        <v>0</v>
      </c>
      <c r="AY66" s="299">
        <v>3289</v>
      </c>
      <c r="AZ66" s="299">
        <v>0</v>
      </c>
      <c r="BA66" s="299">
        <v>101497</v>
      </c>
      <c r="BB66" s="299">
        <v>0</v>
      </c>
      <c r="BC66" s="299">
        <v>0</v>
      </c>
      <c r="BD66" s="299">
        <v>0</v>
      </c>
      <c r="BE66" s="299">
        <v>17093</v>
      </c>
      <c r="BF66" s="299">
        <v>0</v>
      </c>
      <c r="BG66" s="299">
        <v>0</v>
      </c>
      <c r="BH66" s="299">
        <v>0</v>
      </c>
      <c r="BI66" s="299">
        <v>0</v>
      </c>
      <c r="BJ66" s="299">
        <v>139069</v>
      </c>
      <c r="BK66" s="299">
        <v>0</v>
      </c>
      <c r="BL66" s="299">
        <v>9000</v>
      </c>
      <c r="BM66" s="299">
        <v>0</v>
      </c>
      <c r="BN66" s="299">
        <v>474690</v>
      </c>
      <c r="BO66" s="299">
        <v>0</v>
      </c>
      <c r="BP66" s="299">
        <v>0</v>
      </c>
      <c r="BQ66" s="299">
        <v>0</v>
      </c>
      <c r="BR66" s="299">
        <v>0</v>
      </c>
      <c r="BS66" s="299">
        <v>0</v>
      </c>
      <c r="BT66" s="299">
        <v>0</v>
      </c>
      <c r="BU66" s="299">
        <v>0</v>
      </c>
      <c r="BV66" s="299">
        <v>22089</v>
      </c>
      <c r="BW66" s="299">
        <v>0</v>
      </c>
      <c r="BX66" s="299">
        <v>10093</v>
      </c>
      <c r="BY66" s="299">
        <v>0</v>
      </c>
      <c r="BZ66" s="299">
        <v>0</v>
      </c>
      <c r="CA66" s="299">
        <v>0</v>
      </c>
      <c r="CB66" s="299">
        <v>2419</v>
      </c>
      <c r="CC66" s="299">
        <v>0</v>
      </c>
      <c r="CD66" s="295" t="s">
        <v>221</v>
      </c>
      <c r="CE66" s="289">
        <v>2123164</v>
      </c>
      <c r="CF66" s="248"/>
    </row>
    <row r="67" spans="1:84" ht="12.6" customHeight="1" x14ac:dyDescent="0.25">
      <c r="A67" s="282" t="s">
        <v>6</v>
      </c>
      <c r="B67" s="283"/>
      <c r="C67" s="289">
        <v>0</v>
      </c>
      <c r="D67" s="289">
        <v>0</v>
      </c>
      <c r="E67" s="289">
        <v>41309</v>
      </c>
      <c r="F67" s="289">
        <v>0</v>
      </c>
      <c r="G67" s="289">
        <v>0</v>
      </c>
      <c r="H67" s="289">
        <v>0</v>
      </c>
      <c r="I67" s="289">
        <v>27260</v>
      </c>
      <c r="J67" s="289">
        <v>0</v>
      </c>
      <c r="K67" s="289">
        <v>0</v>
      </c>
      <c r="L67" s="289">
        <v>0</v>
      </c>
      <c r="M67" s="289">
        <v>0</v>
      </c>
      <c r="N67" s="289">
        <v>0</v>
      </c>
      <c r="O67" s="289">
        <v>70712</v>
      </c>
      <c r="P67" s="289">
        <v>147338</v>
      </c>
      <c r="Q67" s="289">
        <v>3020</v>
      </c>
      <c r="R67" s="289">
        <v>23002</v>
      </c>
      <c r="S67" s="289">
        <v>9458</v>
      </c>
      <c r="T67" s="289">
        <v>0</v>
      </c>
      <c r="U67" s="289">
        <v>22846</v>
      </c>
      <c r="V67" s="289">
        <v>0</v>
      </c>
      <c r="W67" s="289">
        <v>0</v>
      </c>
      <c r="X67" s="289">
        <v>0</v>
      </c>
      <c r="Y67" s="289">
        <v>95101</v>
      </c>
      <c r="Z67" s="289">
        <v>0</v>
      </c>
      <c r="AA67" s="289">
        <v>0</v>
      </c>
      <c r="AB67" s="289">
        <v>3888</v>
      </c>
      <c r="AC67" s="289">
        <v>771</v>
      </c>
      <c r="AD67" s="289">
        <v>0</v>
      </c>
      <c r="AE67" s="289">
        <v>6223</v>
      </c>
      <c r="AF67" s="289">
        <v>0</v>
      </c>
      <c r="AG67" s="289">
        <v>27106</v>
      </c>
      <c r="AH67" s="289">
        <v>33729</v>
      </c>
      <c r="AI67" s="289">
        <v>0</v>
      </c>
      <c r="AJ67" s="289">
        <v>66120</v>
      </c>
      <c r="AK67" s="289">
        <v>0</v>
      </c>
      <c r="AL67" s="289">
        <v>0</v>
      </c>
      <c r="AM67" s="289">
        <v>0</v>
      </c>
      <c r="AN67" s="289">
        <v>0</v>
      </c>
      <c r="AO67" s="289">
        <v>0</v>
      </c>
      <c r="AP67" s="289">
        <v>0</v>
      </c>
      <c r="AQ67" s="289">
        <v>0</v>
      </c>
      <c r="AR67" s="289">
        <v>597</v>
      </c>
      <c r="AS67" s="289">
        <v>0</v>
      </c>
      <c r="AT67" s="289">
        <v>0</v>
      </c>
      <c r="AU67" s="289">
        <v>0</v>
      </c>
      <c r="AV67" s="289">
        <v>279</v>
      </c>
      <c r="AW67" s="289">
        <v>0</v>
      </c>
      <c r="AX67" s="289">
        <v>0</v>
      </c>
      <c r="AY67" s="289">
        <v>7980</v>
      </c>
      <c r="AZ67" s="289">
        <v>5090</v>
      </c>
      <c r="BA67" s="289">
        <v>604</v>
      </c>
      <c r="BB67" s="289">
        <v>388</v>
      </c>
      <c r="BC67" s="289">
        <v>0</v>
      </c>
      <c r="BD67" s="289">
        <v>0</v>
      </c>
      <c r="BE67" s="289">
        <v>25795</v>
      </c>
      <c r="BF67" s="289">
        <v>1763</v>
      </c>
      <c r="BG67" s="289">
        <v>0</v>
      </c>
      <c r="BH67" s="289">
        <v>0</v>
      </c>
      <c r="BI67" s="289">
        <v>0</v>
      </c>
      <c r="BJ67" s="289">
        <v>0</v>
      </c>
      <c r="BK67" s="289">
        <v>0</v>
      </c>
      <c r="BL67" s="289">
        <v>0</v>
      </c>
      <c r="BM67" s="289">
        <v>0</v>
      </c>
      <c r="BN67" s="289">
        <v>119811</v>
      </c>
      <c r="BO67" s="289">
        <v>0</v>
      </c>
      <c r="BP67" s="289">
        <v>0</v>
      </c>
      <c r="BQ67" s="289">
        <v>0</v>
      </c>
      <c r="BR67" s="289">
        <v>0</v>
      </c>
      <c r="BS67" s="289">
        <v>0</v>
      </c>
      <c r="BT67" s="289">
        <v>0</v>
      </c>
      <c r="BU67" s="289">
        <v>0</v>
      </c>
      <c r="BV67" s="289">
        <v>2896</v>
      </c>
      <c r="BW67" s="289">
        <v>0</v>
      </c>
      <c r="BX67" s="289">
        <v>0</v>
      </c>
      <c r="BY67" s="289">
        <v>803</v>
      </c>
      <c r="BZ67" s="289">
        <v>0</v>
      </c>
      <c r="CA67" s="289">
        <v>0</v>
      </c>
      <c r="CB67" s="289">
        <v>0</v>
      </c>
      <c r="CC67" s="289">
        <v>0</v>
      </c>
      <c r="CD67" s="295" t="s">
        <v>221</v>
      </c>
      <c r="CE67" s="289">
        <v>743889</v>
      </c>
      <c r="CF67" s="248"/>
    </row>
    <row r="68" spans="1:84" ht="12.6" customHeight="1" x14ac:dyDescent="0.25">
      <c r="A68" s="282" t="s">
        <v>240</v>
      </c>
      <c r="B68" s="283"/>
      <c r="C68" s="299">
        <v>0</v>
      </c>
      <c r="D68" s="299">
        <v>0</v>
      </c>
      <c r="E68" s="299">
        <v>7097</v>
      </c>
      <c r="F68" s="299">
        <v>0</v>
      </c>
      <c r="G68" s="299">
        <v>0</v>
      </c>
      <c r="H68" s="299">
        <v>0</v>
      </c>
      <c r="I68" s="299">
        <v>2654</v>
      </c>
      <c r="J68" s="299">
        <v>0</v>
      </c>
      <c r="K68" s="302">
        <v>0</v>
      </c>
      <c r="L68" s="302">
        <v>29653</v>
      </c>
      <c r="M68" s="301">
        <v>0</v>
      </c>
      <c r="N68" s="301">
        <v>0</v>
      </c>
      <c r="O68" s="299">
        <v>4459</v>
      </c>
      <c r="P68" s="299">
        <v>18092</v>
      </c>
      <c r="Q68" s="299">
        <v>0</v>
      </c>
      <c r="R68" s="299">
        <v>469</v>
      </c>
      <c r="S68" s="299">
        <v>95</v>
      </c>
      <c r="T68" s="299">
        <v>0</v>
      </c>
      <c r="U68" s="299">
        <v>1282</v>
      </c>
      <c r="V68" s="299">
        <v>0</v>
      </c>
      <c r="W68" s="299">
        <v>0</v>
      </c>
      <c r="X68" s="299">
        <v>0</v>
      </c>
      <c r="Y68" s="299">
        <v>1042</v>
      </c>
      <c r="Z68" s="299">
        <v>0</v>
      </c>
      <c r="AA68" s="299">
        <v>0</v>
      </c>
      <c r="AB68" s="299">
        <v>14006</v>
      </c>
      <c r="AC68" s="299">
        <v>3978</v>
      </c>
      <c r="AD68" s="299">
        <v>0</v>
      </c>
      <c r="AE68" s="299">
        <v>1331</v>
      </c>
      <c r="AF68" s="299">
        <v>0</v>
      </c>
      <c r="AG68" s="299">
        <v>13977</v>
      </c>
      <c r="AH68" s="299">
        <v>5095</v>
      </c>
      <c r="AI68" s="299">
        <v>0</v>
      </c>
      <c r="AJ68" s="299">
        <v>205977</v>
      </c>
      <c r="AK68" s="299">
        <v>0</v>
      </c>
      <c r="AL68" s="299">
        <v>0</v>
      </c>
      <c r="AM68" s="299">
        <v>0</v>
      </c>
      <c r="AN68" s="299">
        <v>0</v>
      </c>
      <c r="AO68" s="299">
        <v>0</v>
      </c>
      <c r="AP68" s="299">
        <v>0</v>
      </c>
      <c r="AQ68" s="299">
        <v>0</v>
      </c>
      <c r="AR68" s="299">
        <v>0</v>
      </c>
      <c r="AS68" s="299">
        <v>0</v>
      </c>
      <c r="AT68" s="299">
        <v>0</v>
      </c>
      <c r="AU68" s="299">
        <v>0</v>
      </c>
      <c r="AV68" s="299">
        <v>0</v>
      </c>
      <c r="AW68" s="299">
        <v>0</v>
      </c>
      <c r="AX68" s="299">
        <v>0</v>
      </c>
      <c r="AY68" s="299">
        <v>1092</v>
      </c>
      <c r="AZ68" s="299">
        <v>0</v>
      </c>
      <c r="BA68" s="299">
        <v>0</v>
      </c>
      <c r="BB68" s="299">
        <v>1042</v>
      </c>
      <c r="BC68" s="299">
        <v>0</v>
      </c>
      <c r="BD68" s="299">
        <v>0</v>
      </c>
      <c r="BE68" s="299">
        <v>610</v>
      </c>
      <c r="BF68" s="299">
        <v>0</v>
      </c>
      <c r="BG68" s="299">
        <v>0</v>
      </c>
      <c r="BH68" s="299">
        <v>0</v>
      </c>
      <c r="BI68" s="299">
        <v>0</v>
      </c>
      <c r="BJ68" s="299">
        <v>37033</v>
      </c>
      <c r="BK68" s="299">
        <v>0</v>
      </c>
      <c r="BL68" s="299">
        <v>6708</v>
      </c>
      <c r="BM68" s="299">
        <v>0</v>
      </c>
      <c r="BN68" s="299">
        <v>41684</v>
      </c>
      <c r="BO68" s="299">
        <v>0</v>
      </c>
      <c r="BP68" s="299">
        <v>0</v>
      </c>
      <c r="BQ68" s="299">
        <v>0</v>
      </c>
      <c r="BR68" s="299">
        <v>0</v>
      </c>
      <c r="BS68" s="299">
        <v>0</v>
      </c>
      <c r="BT68" s="299">
        <v>0</v>
      </c>
      <c r="BU68" s="299">
        <v>0</v>
      </c>
      <c r="BV68" s="299">
        <v>12340</v>
      </c>
      <c r="BW68" s="299">
        <v>0</v>
      </c>
      <c r="BX68" s="299">
        <v>1776</v>
      </c>
      <c r="BY68" s="299">
        <v>1042</v>
      </c>
      <c r="BZ68" s="299">
        <v>0</v>
      </c>
      <c r="CA68" s="299">
        <v>0</v>
      </c>
      <c r="CB68" s="299">
        <v>0</v>
      </c>
      <c r="CC68" s="299">
        <v>0</v>
      </c>
      <c r="CD68" s="295" t="s">
        <v>221</v>
      </c>
      <c r="CE68" s="289">
        <v>412534</v>
      </c>
      <c r="CF68" s="248"/>
    </row>
    <row r="69" spans="1:84" ht="12.6" customHeight="1" x14ac:dyDescent="0.25">
      <c r="A69" s="278" t="s">
        <v>1262</v>
      </c>
      <c r="B69" s="175"/>
      <c r="C69" s="245" t="s">
        <v>221</v>
      </c>
      <c r="D69" s="245" t="s">
        <v>221</v>
      </c>
      <c r="E69" s="245" t="s">
        <v>221</v>
      </c>
      <c r="F69" s="245" t="s">
        <v>221</v>
      </c>
      <c r="G69" s="245" t="s">
        <v>221</v>
      </c>
      <c r="H69" s="245" t="s">
        <v>221</v>
      </c>
      <c r="I69" s="245" t="s">
        <v>221</v>
      </c>
      <c r="J69" s="245" t="s">
        <v>221</v>
      </c>
      <c r="K69" s="245" t="s">
        <v>221</v>
      </c>
      <c r="L69" s="245"/>
      <c r="M69" s="245" t="s">
        <v>221</v>
      </c>
      <c r="N69" s="245" t="s">
        <v>221</v>
      </c>
      <c r="O69" s="245" t="s">
        <v>221</v>
      </c>
      <c r="P69" s="245" t="s">
        <v>221</v>
      </c>
      <c r="Q69" s="245" t="s">
        <v>221</v>
      </c>
      <c r="R69" s="245" t="s">
        <v>221</v>
      </c>
      <c r="S69" s="245" t="s">
        <v>221</v>
      </c>
      <c r="T69" s="245" t="s">
        <v>221</v>
      </c>
      <c r="U69" s="245" t="s">
        <v>221</v>
      </c>
      <c r="V69" s="245" t="s">
        <v>221</v>
      </c>
      <c r="W69" s="245" t="s">
        <v>221</v>
      </c>
      <c r="X69" s="245" t="s">
        <v>221</v>
      </c>
      <c r="Y69" s="245" t="s">
        <v>221</v>
      </c>
      <c r="Z69" s="245" t="s">
        <v>221</v>
      </c>
      <c r="AA69" s="245" t="s">
        <v>221</v>
      </c>
      <c r="AB69" s="245" t="s">
        <v>221</v>
      </c>
      <c r="AC69" s="245" t="s">
        <v>221</v>
      </c>
      <c r="AD69" s="245" t="s">
        <v>221</v>
      </c>
      <c r="AE69" s="245" t="s">
        <v>221</v>
      </c>
      <c r="AF69" s="245" t="s">
        <v>221</v>
      </c>
      <c r="AG69" s="245" t="s">
        <v>221</v>
      </c>
      <c r="AH69" s="245" t="s">
        <v>221</v>
      </c>
      <c r="AI69" s="245" t="s">
        <v>221</v>
      </c>
      <c r="AJ69" s="245" t="s">
        <v>221</v>
      </c>
      <c r="AK69" s="245" t="s">
        <v>221</v>
      </c>
      <c r="AL69" s="245" t="s">
        <v>221</v>
      </c>
      <c r="AM69" s="245" t="s">
        <v>221</v>
      </c>
      <c r="AN69" s="245" t="s">
        <v>221</v>
      </c>
      <c r="AO69" s="245" t="s">
        <v>221</v>
      </c>
      <c r="AP69" s="245" t="s">
        <v>221</v>
      </c>
      <c r="AQ69" s="245" t="s">
        <v>221</v>
      </c>
      <c r="AR69" s="245" t="s">
        <v>221</v>
      </c>
      <c r="AS69" s="245" t="s">
        <v>221</v>
      </c>
      <c r="AT69" s="245" t="s">
        <v>221</v>
      </c>
      <c r="AU69" s="245" t="s">
        <v>221</v>
      </c>
      <c r="AV69" s="245" t="s">
        <v>221</v>
      </c>
      <c r="AW69" s="245" t="s">
        <v>221</v>
      </c>
      <c r="AX69" s="245" t="s">
        <v>221</v>
      </c>
      <c r="AY69" s="245" t="s">
        <v>221</v>
      </c>
      <c r="AZ69" s="245" t="s">
        <v>221</v>
      </c>
      <c r="BA69" s="245" t="s">
        <v>221</v>
      </c>
      <c r="BB69" s="245" t="s">
        <v>221</v>
      </c>
      <c r="BC69" s="245" t="s">
        <v>221</v>
      </c>
      <c r="BD69" s="245" t="s">
        <v>221</v>
      </c>
      <c r="BE69" s="245" t="s">
        <v>221</v>
      </c>
      <c r="BF69" s="245" t="s">
        <v>221</v>
      </c>
      <c r="BG69" s="245" t="s">
        <v>221</v>
      </c>
      <c r="BH69" s="245" t="s">
        <v>221</v>
      </c>
      <c r="BI69" s="245" t="s">
        <v>221</v>
      </c>
      <c r="BJ69" s="245" t="s">
        <v>221</v>
      </c>
      <c r="BK69" s="245" t="s">
        <v>221</v>
      </c>
      <c r="BL69" s="245" t="s">
        <v>221</v>
      </c>
      <c r="BM69" s="245" t="s">
        <v>221</v>
      </c>
      <c r="BN69" s="245" t="s">
        <v>221</v>
      </c>
      <c r="BO69" s="245" t="s">
        <v>221</v>
      </c>
      <c r="BP69" s="245" t="s">
        <v>221</v>
      </c>
      <c r="BQ69" s="245" t="s">
        <v>221</v>
      </c>
      <c r="BR69" s="245" t="s">
        <v>221</v>
      </c>
      <c r="BS69" s="245" t="s">
        <v>221</v>
      </c>
      <c r="BT69" s="245" t="s">
        <v>221</v>
      </c>
      <c r="BU69" s="245" t="s">
        <v>221</v>
      </c>
      <c r="BV69" s="245" t="s">
        <v>221</v>
      </c>
      <c r="BW69" s="245" t="s">
        <v>221</v>
      </c>
      <c r="BX69" s="245" t="s">
        <v>221</v>
      </c>
      <c r="BY69" s="245" t="s">
        <v>221</v>
      </c>
      <c r="BZ69" s="245" t="s">
        <v>221</v>
      </c>
      <c r="CA69" s="245" t="s">
        <v>221</v>
      </c>
      <c r="CB69" s="245" t="s">
        <v>221</v>
      </c>
      <c r="CC69" s="245" t="s">
        <v>221</v>
      </c>
      <c r="CD69" s="186"/>
      <c r="CE69" s="193">
        <f>CD69</f>
        <v>0</v>
      </c>
      <c r="CF69" s="248"/>
    </row>
    <row r="70" spans="1:84" ht="12.6" customHeight="1" x14ac:dyDescent="0.25">
      <c r="A70" s="308" t="s">
        <v>241</v>
      </c>
      <c r="B70" s="312"/>
      <c r="C70" s="342">
        <v>0</v>
      </c>
      <c r="D70" s="342">
        <v>0</v>
      </c>
      <c r="E70" s="344">
        <v>27787</v>
      </c>
      <c r="F70" s="344">
        <v>0</v>
      </c>
      <c r="G70" s="342">
        <v>0</v>
      </c>
      <c r="H70" s="342">
        <v>0</v>
      </c>
      <c r="I70" s="344">
        <v>2478</v>
      </c>
      <c r="J70" s="344">
        <v>0</v>
      </c>
      <c r="K70" s="344">
        <v>0</v>
      </c>
      <c r="L70" s="344">
        <v>56212</v>
      </c>
      <c r="M70" s="343">
        <v>0</v>
      </c>
      <c r="N70" s="343">
        <v>0</v>
      </c>
      <c r="O70" s="342">
        <v>40579</v>
      </c>
      <c r="P70" s="342">
        <v>112729</v>
      </c>
      <c r="Q70" s="342">
        <v>184</v>
      </c>
      <c r="R70" s="342">
        <v>9024</v>
      </c>
      <c r="S70" s="342">
        <v>19830</v>
      </c>
      <c r="T70" s="342">
        <v>0</v>
      </c>
      <c r="U70" s="342">
        <v>41192</v>
      </c>
      <c r="V70" s="342">
        <v>0</v>
      </c>
      <c r="W70" s="342">
        <v>0</v>
      </c>
      <c r="X70" s="342">
        <v>0</v>
      </c>
      <c r="Y70" s="342">
        <v>242366</v>
      </c>
      <c r="Z70" s="342">
        <v>0</v>
      </c>
      <c r="AA70" s="342">
        <v>0</v>
      </c>
      <c r="AB70" s="342">
        <v>13781</v>
      </c>
      <c r="AC70" s="342">
        <v>3051</v>
      </c>
      <c r="AD70" s="342">
        <v>0</v>
      </c>
      <c r="AE70" s="342">
        <v>7647</v>
      </c>
      <c r="AF70" s="342">
        <v>0</v>
      </c>
      <c r="AG70" s="342">
        <v>83240</v>
      </c>
      <c r="AH70" s="342">
        <v>64115</v>
      </c>
      <c r="AI70" s="342">
        <v>0</v>
      </c>
      <c r="AJ70" s="342">
        <v>88379</v>
      </c>
      <c r="AK70" s="342">
        <v>1002</v>
      </c>
      <c r="AL70" s="342">
        <v>0</v>
      </c>
      <c r="AM70" s="342">
        <v>0</v>
      </c>
      <c r="AN70" s="342">
        <v>0</v>
      </c>
      <c r="AO70" s="342">
        <v>0</v>
      </c>
      <c r="AP70" s="342">
        <v>0</v>
      </c>
      <c r="AQ70" s="342">
        <v>0</v>
      </c>
      <c r="AR70" s="342">
        <v>0</v>
      </c>
      <c r="AS70" s="342">
        <v>0</v>
      </c>
      <c r="AT70" s="342">
        <v>0</v>
      </c>
      <c r="AU70" s="342">
        <v>0</v>
      </c>
      <c r="AV70" s="342">
        <v>0</v>
      </c>
      <c r="AW70" s="342">
        <v>0</v>
      </c>
      <c r="AX70" s="342">
        <v>0</v>
      </c>
      <c r="AY70" s="342">
        <v>3130</v>
      </c>
      <c r="AZ70" s="342">
        <v>0</v>
      </c>
      <c r="BA70" s="342">
        <v>0</v>
      </c>
      <c r="BB70" s="342">
        <v>0</v>
      </c>
      <c r="BC70" s="342">
        <v>0</v>
      </c>
      <c r="BD70" s="342">
        <v>0</v>
      </c>
      <c r="BE70" s="342">
        <v>24649</v>
      </c>
      <c r="BF70" s="342">
        <v>789</v>
      </c>
      <c r="BG70" s="342">
        <v>0</v>
      </c>
      <c r="BH70" s="342">
        <v>0</v>
      </c>
      <c r="BI70" s="342">
        <v>0</v>
      </c>
      <c r="BJ70" s="342">
        <v>17601</v>
      </c>
      <c r="BK70" s="342">
        <v>0</v>
      </c>
      <c r="BL70" s="342">
        <v>10861</v>
      </c>
      <c r="BM70" s="342">
        <v>0</v>
      </c>
      <c r="BN70" s="342">
        <v>244484</v>
      </c>
      <c r="BO70" s="342">
        <v>0</v>
      </c>
      <c r="BP70" s="342">
        <v>0</v>
      </c>
      <c r="BQ70" s="342">
        <v>0</v>
      </c>
      <c r="BR70" s="342">
        <v>0</v>
      </c>
      <c r="BS70" s="342">
        <v>0</v>
      </c>
      <c r="BT70" s="342">
        <v>0</v>
      </c>
      <c r="BU70" s="342">
        <v>0</v>
      </c>
      <c r="BV70" s="342">
        <v>40371</v>
      </c>
      <c r="BW70" s="342">
        <v>0</v>
      </c>
      <c r="BX70" s="342">
        <v>6453</v>
      </c>
      <c r="BY70" s="342">
        <v>3350</v>
      </c>
      <c r="BZ70" s="342">
        <v>0</v>
      </c>
      <c r="CA70" s="342">
        <v>0</v>
      </c>
      <c r="CB70" s="342">
        <v>52667.119999999995</v>
      </c>
      <c r="CC70" s="342">
        <v>0</v>
      </c>
      <c r="CD70" s="342">
        <v>763158.04</v>
      </c>
      <c r="CE70" s="325">
        <v>1981109.1600000001</v>
      </c>
      <c r="CF70" s="334"/>
    </row>
    <row r="71" spans="1:84" ht="12.6" customHeight="1" x14ac:dyDescent="0.25">
      <c r="A71" s="308" t="s">
        <v>242</v>
      </c>
      <c r="B71" s="312"/>
      <c r="C71" s="342">
        <v>0</v>
      </c>
      <c r="D71" s="342">
        <v>0</v>
      </c>
      <c r="E71" s="342">
        <v>0</v>
      </c>
      <c r="F71" s="342">
        <v>0</v>
      </c>
      <c r="G71" s="342">
        <v>0</v>
      </c>
      <c r="H71" s="342">
        <v>0</v>
      </c>
      <c r="I71" s="342">
        <v>0</v>
      </c>
      <c r="J71" s="342">
        <v>0</v>
      </c>
      <c r="K71" s="342">
        <v>0</v>
      </c>
      <c r="L71" s="342">
        <v>0</v>
      </c>
      <c r="M71" s="342">
        <v>0</v>
      </c>
      <c r="N71" s="342">
        <v>0</v>
      </c>
      <c r="O71" s="342">
        <v>0</v>
      </c>
      <c r="P71" s="342">
        <v>0</v>
      </c>
      <c r="Q71" s="342">
        <v>0</v>
      </c>
      <c r="R71" s="342">
        <v>0</v>
      </c>
      <c r="S71" s="342">
        <v>0</v>
      </c>
      <c r="T71" s="342">
        <v>0</v>
      </c>
      <c r="U71" s="342">
        <v>0</v>
      </c>
      <c r="V71" s="342">
        <v>0</v>
      </c>
      <c r="W71" s="342">
        <v>0</v>
      </c>
      <c r="X71" s="342">
        <v>0</v>
      </c>
      <c r="Y71" s="342">
        <v>0</v>
      </c>
      <c r="Z71" s="342">
        <v>0</v>
      </c>
      <c r="AA71" s="342">
        <v>0</v>
      </c>
      <c r="AB71" s="342">
        <v>407120</v>
      </c>
      <c r="AC71" s="342">
        <v>0</v>
      </c>
      <c r="AD71" s="342">
        <v>0</v>
      </c>
      <c r="AE71" s="342">
        <v>0</v>
      </c>
      <c r="AF71" s="342">
        <v>0</v>
      </c>
      <c r="AG71" s="342">
        <v>0</v>
      </c>
      <c r="AH71" s="342">
        <v>61776</v>
      </c>
      <c r="AI71" s="342">
        <v>0</v>
      </c>
      <c r="AJ71" s="342">
        <v>0</v>
      </c>
      <c r="AK71" s="342">
        <v>0</v>
      </c>
      <c r="AL71" s="342">
        <v>0</v>
      </c>
      <c r="AM71" s="342">
        <v>0</v>
      </c>
      <c r="AN71" s="342">
        <v>0</v>
      </c>
      <c r="AO71" s="342">
        <v>0</v>
      </c>
      <c r="AP71" s="342">
        <v>0</v>
      </c>
      <c r="AQ71" s="342">
        <v>0</v>
      </c>
      <c r="AR71" s="342">
        <v>0</v>
      </c>
      <c r="AS71" s="342">
        <v>0</v>
      </c>
      <c r="AT71" s="342">
        <v>0</v>
      </c>
      <c r="AU71" s="342">
        <v>0</v>
      </c>
      <c r="AV71" s="342">
        <v>0</v>
      </c>
      <c r="AW71" s="342">
        <v>0</v>
      </c>
      <c r="AX71" s="342">
        <v>0</v>
      </c>
      <c r="AY71" s="342">
        <v>123209</v>
      </c>
      <c r="AZ71" s="342">
        <v>0</v>
      </c>
      <c r="BA71" s="342">
        <v>0</v>
      </c>
      <c r="BB71" s="342">
        <v>0</v>
      </c>
      <c r="BC71" s="342">
        <v>0</v>
      </c>
      <c r="BD71" s="342">
        <v>0</v>
      </c>
      <c r="BE71" s="342">
        <v>0</v>
      </c>
      <c r="BF71" s="342">
        <v>0</v>
      </c>
      <c r="BG71" s="342">
        <v>0</v>
      </c>
      <c r="BH71" s="342">
        <v>0</v>
      </c>
      <c r="BI71" s="342">
        <v>0</v>
      </c>
      <c r="BJ71" s="342">
        <v>0</v>
      </c>
      <c r="BK71" s="342">
        <v>0</v>
      </c>
      <c r="BL71" s="342">
        <v>0</v>
      </c>
      <c r="BM71" s="342">
        <v>0</v>
      </c>
      <c r="BN71" s="342">
        <v>36340</v>
      </c>
      <c r="BO71" s="342">
        <v>0</v>
      </c>
      <c r="BP71" s="342">
        <v>0</v>
      </c>
      <c r="BQ71" s="342">
        <v>0</v>
      </c>
      <c r="BR71" s="342">
        <v>0</v>
      </c>
      <c r="BS71" s="342">
        <v>0</v>
      </c>
      <c r="BT71" s="342">
        <v>0</v>
      </c>
      <c r="BU71" s="342">
        <v>0</v>
      </c>
      <c r="BV71" s="342">
        <v>11098</v>
      </c>
      <c r="BW71" s="342">
        <v>0</v>
      </c>
      <c r="BX71" s="342">
        <v>0</v>
      </c>
      <c r="BY71" s="342">
        <v>0</v>
      </c>
      <c r="BZ71" s="342">
        <v>0</v>
      </c>
      <c r="CA71" s="342">
        <v>0</v>
      </c>
      <c r="CB71" s="342">
        <v>0</v>
      </c>
      <c r="CC71" s="342">
        <v>0</v>
      </c>
      <c r="CD71" s="342">
        <v>202034</v>
      </c>
      <c r="CE71" s="325">
        <v>841577</v>
      </c>
      <c r="CF71" s="334"/>
    </row>
    <row r="72" spans="1:84" ht="12.6" customHeight="1" x14ac:dyDescent="0.25">
      <c r="A72" s="308" t="s">
        <v>243</v>
      </c>
      <c r="B72" s="312"/>
      <c r="C72" s="325">
        <v>0</v>
      </c>
      <c r="D72" s="325">
        <v>0</v>
      </c>
      <c r="E72" s="325">
        <v>947060</v>
      </c>
      <c r="F72" s="325">
        <v>0</v>
      </c>
      <c r="G72" s="325">
        <v>0</v>
      </c>
      <c r="H72" s="325">
        <v>0</v>
      </c>
      <c r="I72" s="325">
        <v>247066</v>
      </c>
      <c r="J72" s="325">
        <v>11164</v>
      </c>
      <c r="K72" s="325">
        <v>0</v>
      </c>
      <c r="L72" s="325">
        <v>2867447</v>
      </c>
      <c r="M72" s="325">
        <v>0</v>
      </c>
      <c r="N72" s="325">
        <v>0</v>
      </c>
      <c r="O72" s="325">
        <v>678571</v>
      </c>
      <c r="P72" s="325">
        <v>970187</v>
      </c>
      <c r="Q72" s="325">
        <v>267688.90000000002</v>
      </c>
      <c r="R72" s="325">
        <v>661868</v>
      </c>
      <c r="S72" s="325">
        <v>942384</v>
      </c>
      <c r="T72" s="325">
        <v>0</v>
      </c>
      <c r="U72" s="325">
        <v>1346642</v>
      </c>
      <c r="V72" s="325">
        <v>0</v>
      </c>
      <c r="W72" s="325">
        <v>0</v>
      </c>
      <c r="X72" s="325">
        <v>0</v>
      </c>
      <c r="Y72" s="325">
        <v>1505724</v>
      </c>
      <c r="Z72" s="325">
        <v>0</v>
      </c>
      <c r="AA72" s="325">
        <v>0</v>
      </c>
      <c r="AB72" s="325">
        <v>334871.34999999998</v>
      </c>
      <c r="AC72" s="325">
        <v>161635</v>
      </c>
      <c r="AD72" s="325">
        <v>0</v>
      </c>
      <c r="AE72" s="325">
        <v>539007</v>
      </c>
      <c r="AF72" s="325">
        <v>0</v>
      </c>
      <c r="AG72" s="325">
        <v>2212083</v>
      </c>
      <c r="AH72" s="325">
        <v>1567507</v>
      </c>
      <c r="AI72" s="325">
        <v>0</v>
      </c>
      <c r="AJ72" s="325">
        <v>5996879.6500000004</v>
      </c>
      <c r="AK72" s="325">
        <v>111605</v>
      </c>
      <c r="AL72" s="325">
        <v>0</v>
      </c>
      <c r="AM72" s="325">
        <v>0</v>
      </c>
      <c r="AN72" s="325">
        <v>0</v>
      </c>
      <c r="AO72" s="325">
        <v>0</v>
      </c>
      <c r="AP72" s="325">
        <v>0</v>
      </c>
      <c r="AQ72" s="325">
        <v>0</v>
      </c>
      <c r="AR72" s="325">
        <v>1835</v>
      </c>
      <c r="AS72" s="325">
        <v>0</v>
      </c>
      <c r="AT72" s="325">
        <v>0</v>
      </c>
      <c r="AU72" s="325">
        <v>0</v>
      </c>
      <c r="AV72" s="325">
        <v>279</v>
      </c>
      <c r="AW72" s="325">
        <v>0</v>
      </c>
      <c r="AX72" s="325">
        <v>0</v>
      </c>
      <c r="AY72" s="325">
        <v>561544</v>
      </c>
      <c r="AZ72" s="325">
        <v>5090</v>
      </c>
      <c r="BA72" s="325">
        <v>125599</v>
      </c>
      <c r="BB72" s="325">
        <v>79028</v>
      </c>
      <c r="BC72" s="325">
        <v>0</v>
      </c>
      <c r="BD72" s="325">
        <v>0</v>
      </c>
      <c r="BE72" s="325">
        <v>486566</v>
      </c>
      <c r="BF72" s="325">
        <v>251961</v>
      </c>
      <c r="BG72" s="325">
        <v>0</v>
      </c>
      <c r="BH72" s="325">
        <v>0</v>
      </c>
      <c r="BI72" s="325">
        <v>0</v>
      </c>
      <c r="BJ72" s="325">
        <v>624281</v>
      </c>
      <c r="BK72" s="325">
        <v>0</v>
      </c>
      <c r="BL72" s="325">
        <v>417490</v>
      </c>
      <c r="BM72" s="325">
        <v>0</v>
      </c>
      <c r="BN72" s="325">
        <v>2624582.1</v>
      </c>
      <c r="BO72" s="325">
        <v>0</v>
      </c>
      <c r="BP72" s="325">
        <v>0</v>
      </c>
      <c r="BQ72" s="325">
        <v>0</v>
      </c>
      <c r="BR72" s="325">
        <v>0</v>
      </c>
      <c r="BS72" s="325">
        <v>0</v>
      </c>
      <c r="BT72" s="325">
        <v>0</v>
      </c>
      <c r="BU72" s="325">
        <v>0</v>
      </c>
      <c r="BV72" s="325">
        <v>338014</v>
      </c>
      <c r="BW72" s="325">
        <v>0</v>
      </c>
      <c r="BX72" s="325">
        <v>262072</v>
      </c>
      <c r="BY72" s="325">
        <v>176356</v>
      </c>
      <c r="BZ72" s="325">
        <v>0</v>
      </c>
      <c r="CA72" s="325">
        <v>0</v>
      </c>
      <c r="CB72" s="325">
        <v>133158.12</v>
      </c>
      <c r="CC72" s="325">
        <v>0</v>
      </c>
      <c r="CD72" s="332">
        <v>561124.04</v>
      </c>
      <c r="CE72" s="325">
        <v>28018369.16</v>
      </c>
      <c r="CF72" s="334"/>
    </row>
    <row r="73" spans="1:84" ht="12.6" customHeight="1" x14ac:dyDescent="0.25">
      <c r="A73" s="308" t="s">
        <v>244</v>
      </c>
      <c r="B73" s="312"/>
      <c r="C73" s="333" t="s">
        <v>221</v>
      </c>
      <c r="D73" s="333" t="s">
        <v>221</v>
      </c>
      <c r="E73" s="333" t="s">
        <v>221</v>
      </c>
      <c r="F73" s="333" t="s">
        <v>221</v>
      </c>
      <c r="G73" s="333" t="s">
        <v>221</v>
      </c>
      <c r="H73" s="333" t="s">
        <v>221</v>
      </c>
      <c r="I73" s="333" t="s">
        <v>221</v>
      </c>
      <c r="J73" s="333" t="s">
        <v>221</v>
      </c>
      <c r="K73" s="335" t="s">
        <v>221</v>
      </c>
      <c r="L73" s="333" t="s">
        <v>221</v>
      </c>
      <c r="M73" s="333" t="s">
        <v>221</v>
      </c>
      <c r="N73" s="333" t="s">
        <v>221</v>
      </c>
      <c r="O73" s="333" t="s">
        <v>221</v>
      </c>
      <c r="P73" s="333" t="s">
        <v>221</v>
      </c>
      <c r="Q73" s="333" t="s">
        <v>221</v>
      </c>
      <c r="R73" s="333" t="s">
        <v>221</v>
      </c>
      <c r="S73" s="333" t="s">
        <v>221</v>
      </c>
      <c r="T73" s="333" t="s">
        <v>221</v>
      </c>
      <c r="U73" s="333" t="s">
        <v>221</v>
      </c>
      <c r="V73" s="333" t="s">
        <v>221</v>
      </c>
      <c r="W73" s="333" t="s">
        <v>221</v>
      </c>
      <c r="X73" s="333" t="s">
        <v>221</v>
      </c>
      <c r="Y73" s="333" t="s">
        <v>221</v>
      </c>
      <c r="Z73" s="333" t="s">
        <v>221</v>
      </c>
      <c r="AA73" s="333" t="s">
        <v>221</v>
      </c>
      <c r="AB73" s="333" t="s">
        <v>221</v>
      </c>
      <c r="AC73" s="333" t="s">
        <v>221</v>
      </c>
      <c r="AD73" s="333" t="s">
        <v>221</v>
      </c>
      <c r="AE73" s="333" t="s">
        <v>221</v>
      </c>
      <c r="AF73" s="333" t="s">
        <v>221</v>
      </c>
      <c r="AG73" s="333" t="s">
        <v>221</v>
      </c>
      <c r="AH73" s="333" t="s">
        <v>221</v>
      </c>
      <c r="AI73" s="333" t="s">
        <v>221</v>
      </c>
      <c r="AJ73" s="333" t="s">
        <v>221</v>
      </c>
      <c r="AK73" s="333" t="s">
        <v>221</v>
      </c>
      <c r="AL73" s="333" t="s">
        <v>221</v>
      </c>
      <c r="AM73" s="333" t="s">
        <v>221</v>
      </c>
      <c r="AN73" s="333" t="s">
        <v>221</v>
      </c>
      <c r="AO73" s="333" t="s">
        <v>221</v>
      </c>
      <c r="AP73" s="333" t="s">
        <v>221</v>
      </c>
      <c r="AQ73" s="333" t="s">
        <v>221</v>
      </c>
      <c r="AR73" s="333" t="s">
        <v>221</v>
      </c>
      <c r="AS73" s="333" t="s">
        <v>221</v>
      </c>
      <c r="AT73" s="333" t="s">
        <v>221</v>
      </c>
      <c r="AU73" s="333" t="s">
        <v>221</v>
      </c>
      <c r="AV73" s="333" t="s">
        <v>221</v>
      </c>
      <c r="AW73" s="333" t="s">
        <v>221</v>
      </c>
      <c r="AX73" s="333" t="s">
        <v>221</v>
      </c>
      <c r="AY73" s="333" t="s">
        <v>221</v>
      </c>
      <c r="AZ73" s="333" t="s">
        <v>221</v>
      </c>
      <c r="BA73" s="333" t="s">
        <v>221</v>
      </c>
      <c r="BB73" s="333" t="s">
        <v>221</v>
      </c>
      <c r="BC73" s="333" t="s">
        <v>221</v>
      </c>
      <c r="BD73" s="333" t="s">
        <v>221</v>
      </c>
      <c r="BE73" s="333" t="s">
        <v>221</v>
      </c>
      <c r="BF73" s="333" t="s">
        <v>221</v>
      </c>
      <c r="BG73" s="333" t="s">
        <v>221</v>
      </c>
      <c r="BH73" s="333" t="s">
        <v>221</v>
      </c>
      <c r="BI73" s="333" t="s">
        <v>221</v>
      </c>
      <c r="BJ73" s="333" t="s">
        <v>221</v>
      </c>
      <c r="BK73" s="333" t="s">
        <v>221</v>
      </c>
      <c r="BL73" s="333" t="s">
        <v>221</v>
      </c>
      <c r="BM73" s="333" t="s">
        <v>221</v>
      </c>
      <c r="BN73" s="333" t="s">
        <v>221</v>
      </c>
      <c r="BO73" s="333" t="s">
        <v>221</v>
      </c>
      <c r="BP73" s="333" t="s">
        <v>221</v>
      </c>
      <c r="BQ73" s="333" t="s">
        <v>221</v>
      </c>
      <c r="BR73" s="333" t="s">
        <v>221</v>
      </c>
      <c r="BS73" s="333" t="s">
        <v>221</v>
      </c>
      <c r="BT73" s="333" t="s">
        <v>221</v>
      </c>
      <c r="BU73" s="333" t="s">
        <v>221</v>
      </c>
      <c r="BV73" s="333" t="s">
        <v>221</v>
      </c>
      <c r="BW73" s="333" t="s">
        <v>221</v>
      </c>
      <c r="BX73" s="333" t="s">
        <v>221</v>
      </c>
      <c r="BY73" s="333" t="s">
        <v>221</v>
      </c>
      <c r="BZ73" s="333" t="s">
        <v>221</v>
      </c>
      <c r="CA73" s="333" t="s">
        <v>221</v>
      </c>
      <c r="CB73" s="333" t="s">
        <v>221</v>
      </c>
      <c r="CC73" s="333" t="s">
        <v>221</v>
      </c>
      <c r="CD73" s="333" t="s">
        <v>221</v>
      </c>
      <c r="CE73" s="350">
        <v>1676063</v>
      </c>
      <c r="CF73" s="334"/>
    </row>
    <row r="74" spans="1:84" ht="12.6" customHeight="1" x14ac:dyDescent="0.25">
      <c r="A74" s="308" t="s">
        <v>245</v>
      </c>
      <c r="B74" s="312"/>
      <c r="C74" s="346">
        <v>0</v>
      </c>
      <c r="D74" s="346">
        <v>0</v>
      </c>
      <c r="E74" s="346">
        <v>1543346.71</v>
      </c>
      <c r="F74" s="346">
        <v>0</v>
      </c>
      <c r="G74" s="346">
        <v>0</v>
      </c>
      <c r="H74" s="346">
        <v>0</v>
      </c>
      <c r="I74" s="346">
        <v>727382.72</v>
      </c>
      <c r="J74" s="346">
        <v>253502</v>
      </c>
      <c r="K74" s="346">
        <v>0</v>
      </c>
      <c r="L74" s="346">
        <v>4552471</v>
      </c>
      <c r="M74" s="346">
        <v>0</v>
      </c>
      <c r="N74" s="346">
        <v>0</v>
      </c>
      <c r="O74" s="346">
        <v>794599</v>
      </c>
      <c r="P74" s="346">
        <v>454390.30000000005</v>
      </c>
      <c r="Q74" s="346">
        <v>197848</v>
      </c>
      <c r="R74" s="346">
        <v>342346</v>
      </c>
      <c r="S74" s="346">
        <v>265466.67</v>
      </c>
      <c r="T74" s="346">
        <v>0</v>
      </c>
      <c r="U74" s="346">
        <v>579335.76</v>
      </c>
      <c r="V74" s="346">
        <v>0</v>
      </c>
      <c r="W74" s="346">
        <v>0</v>
      </c>
      <c r="X74" s="346">
        <v>0</v>
      </c>
      <c r="Y74" s="346">
        <v>242203.79000000004</v>
      </c>
      <c r="Z74" s="346">
        <v>0</v>
      </c>
      <c r="AA74" s="346">
        <v>0</v>
      </c>
      <c r="AB74" s="346">
        <v>2215456.5300000003</v>
      </c>
      <c r="AC74" s="346">
        <v>537320.84</v>
      </c>
      <c r="AD74" s="346">
        <v>0</v>
      </c>
      <c r="AE74" s="346">
        <v>173815.58</v>
      </c>
      <c r="AF74" s="346">
        <v>0</v>
      </c>
      <c r="AG74" s="346">
        <v>152351.81</v>
      </c>
      <c r="AH74" s="346">
        <v>0</v>
      </c>
      <c r="AI74" s="346">
        <v>0</v>
      </c>
      <c r="AJ74" s="346">
        <v>185400.61000000002</v>
      </c>
      <c r="AK74" s="346">
        <v>73266.080000000002</v>
      </c>
      <c r="AL74" s="346">
        <v>0</v>
      </c>
      <c r="AM74" s="346">
        <v>0</v>
      </c>
      <c r="AN74" s="346">
        <v>0</v>
      </c>
      <c r="AO74" s="346">
        <v>0</v>
      </c>
      <c r="AP74" s="346">
        <v>0</v>
      </c>
      <c r="AQ74" s="346">
        <v>0</v>
      </c>
      <c r="AR74" s="346">
        <v>0</v>
      </c>
      <c r="AS74" s="346">
        <v>0</v>
      </c>
      <c r="AT74" s="346">
        <v>0</v>
      </c>
      <c r="AU74" s="346">
        <v>0</v>
      </c>
      <c r="AV74" s="318"/>
      <c r="AW74" s="333" t="s">
        <v>221</v>
      </c>
      <c r="AX74" s="333" t="s">
        <v>221</v>
      </c>
      <c r="AY74" s="333" t="s">
        <v>221</v>
      </c>
      <c r="AZ74" s="333" t="s">
        <v>221</v>
      </c>
      <c r="BA74" s="333" t="s">
        <v>221</v>
      </c>
      <c r="BB74" s="333" t="s">
        <v>221</v>
      </c>
      <c r="BC74" s="333" t="s">
        <v>221</v>
      </c>
      <c r="BD74" s="333" t="s">
        <v>221</v>
      </c>
      <c r="BE74" s="333" t="s">
        <v>221</v>
      </c>
      <c r="BF74" s="333" t="s">
        <v>221</v>
      </c>
      <c r="BG74" s="333" t="s">
        <v>221</v>
      </c>
      <c r="BH74" s="333" t="s">
        <v>221</v>
      </c>
      <c r="BI74" s="333" t="s">
        <v>221</v>
      </c>
      <c r="BJ74" s="333" t="s">
        <v>221</v>
      </c>
      <c r="BK74" s="333" t="s">
        <v>221</v>
      </c>
      <c r="BL74" s="333" t="s">
        <v>221</v>
      </c>
      <c r="BM74" s="333" t="s">
        <v>221</v>
      </c>
      <c r="BN74" s="333" t="s">
        <v>221</v>
      </c>
      <c r="BO74" s="333" t="s">
        <v>221</v>
      </c>
      <c r="BP74" s="333" t="s">
        <v>221</v>
      </c>
      <c r="BQ74" s="333" t="s">
        <v>221</v>
      </c>
      <c r="BR74" s="333" t="s">
        <v>221</v>
      </c>
      <c r="BS74" s="333" t="s">
        <v>221</v>
      </c>
      <c r="BT74" s="333" t="s">
        <v>221</v>
      </c>
      <c r="BU74" s="333" t="s">
        <v>221</v>
      </c>
      <c r="BV74" s="333" t="s">
        <v>221</v>
      </c>
      <c r="BW74" s="333" t="s">
        <v>221</v>
      </c>
      <c r="BX74" s="333" t="s">
        <v>221</v>
      </c>
      <c r="BY74" s="333" t="s">
        <v>221</v>
      </c>
      <c r="BZ74" s="333" t="s">
        <v>221</v>
      </c>
      <c r="CA74" s="333" t="s">
        <v>221</v>
      </c>
      <c r="CB74" s="333" t="s">
        <v>221</v>
      </c>
      <c r="CC74" s="333" t="s">
        <v>221</v>
      </c>
      <c r="CD74" s="333" t="s">
        <v>221</v>
      </c>
      <c r="CE74" s="325">
        <v>13290503.4</v>
      </c>
      <c r="CF74" s="334"/>
    </row>
    <row r="75" spans="1:84" ht="12.6" customHeight="1" x14ac:dyDescent="0.25">
      <c r="A75" s="308" t="s">
        <v>246</v>
      </c>
      <c r="B75" s="312"/>
      <c r="C75" s="346">
        <v>0</v>
      </c>
      <c r="D75" s="346">
        <v>0</v>
      </c>
      <c r="E75" s="346">
        <v>4188670.58</v>
      </c>
      <c r="F75" s="346">
        <v>0</v>
      </c>
      <c r="G75" s="346">
        <v>0</v>
      </c>
      <c r="H75" s="346">
        <v>0</v>
      </c>
      <c r="I75" s="346">
        <v>92126.27</v>
      </c>
      <c r="J75" s="346">
        <v>0</v>
      </c>
      <c r="K75" s="346">
        <v>0</v>
      </c>
      <c r="L75" s="346">
        <v>0</v>
      </c>
      <c r="M75" s="346">
        <v>0</v>
      </c>
      <c r="N75" s="346">
        <v>0</v>
      </c>
      <c r="O75" s="346">
        <v>107661.9</v>
      </c>
      <c r="P75" s="346">
        <v>4145043.23</v>
      </c>
      <c r="Q75" s="346">
        <v>536446.86</v>
      </c>
      <c r="R75" s="346">
        <v>1211052.77</v>
      </c>
      <c r="S75" s="346">
        <v>2946342.34</v>
      </c>
      <c r="T75" s="346">
        <v>0</v>
      </c>
      <c r="U75" s="346">
        <v>2854196.7710000002</v>
      </c>
      <c r="V75" s="346">
        <v>0</v>
      </c>
      <c r="W75" s="346">
        <v>0</v>
      </c>
      <c r="X75" s="346">
        <v>0</v>
      </c>
      <c r="Y75" s="346">
        <v>5172649.21</v>
      </c>
      <c r="Z75" s="346">
        <v>0</v>
      </c>
      <c r="AA75" s="346">
        <v>0</v>
      </c>
      <c r="AB75" s="346">
        <v>1250666.2525999998</v>
      </c>
      <c r="AC75" s="346">
        <v>399301.58</v>
      </c>
      <c r="AD75" s="346">
        <v>0</v>
      </c>
      <c r="AE75" s="346">
        <v>1004582.3700000001</v>
      </c>
      <c r="AF75" s="346">
        <v>0</v>
      </c>
      <c r="AG75" s="346">
        <v>8138588.379999999</v>
      </c>
      <c r="AH75" s="346">
        <v>2021573.3399999999</v>
      </c>
      <c r="AI75" s="346">
        <v>0</v>
      </c>
      <c r="AJ75" s="346">
        <v>25588.44</v>
      </c>
      <c r="AK75" s="346">
        <v>252577.47999999998</v>
      </c>
      <c r="AL75" s="346">
        <v>0</v>
      </c>
      <c r="AM75" s="346">
        <v>0</v>
      </c>
      <c r="AN75" s="346">
        <v>0</v>
      </c>
      <c r="AO75" s="346">
        <v>241052</v>
      </c>
      <c r="AP75" s="346">
        <v>0</v>
      </c>
      <c r="AQ75" s="346">
        <v>0</v>
      </c>
      <c r="AR75" s="346">
        <v>0</v>
      </c>
      <c r="AS75" s="346">
        <v>0</v>
      </c>
      <c r="AT75" s="346">
        <v>0</v>
      </c>
      <c r="AU75" s="346">
        <v>0</v>
      </c>
      <c r="AV75" s="318"/>
      <c r="AW75" s="333" t="s">
        <v>221</v>
      </c>
      <c r="AX75" s="333" t="s">
        <v>221</v>
      </c>
      <c r="AY75" s="333" t="s">
        <v>221</v>
      </c>
      <c r="AZ75" s="333" t="s">
        <v>221</v>
      </c>
      <c r="BA75" s="333" t="s">
        <v>221</v>
      </c>
      <c r="BB75" s="333" t="s">
        <v>221</v>
      </c>
      <c r="BC75" s="333" t="s">
        <v>221</v>
      </c>
      <c r="BD75" s="333" t="s">
        <v>221</v>
      </c>
      <c r="BE75" s="333" t="s">
        <v>221</v>
      </c>
      <c r="BF75" s="333" t="s">
        <v>221</v>
      </c>
      <c r="BG75" s="333" t="s">
        <v>221</v>
      </c>
      <c r="BH75" s="333" t="s">
        <v>221</v>
      </c>
      <c r="BI75" s="333" t="s">
        <v>221</v>
      </c>
      <c r="BJ75" s="333" t="s">
        <v>221</v>
      </c>
      <c r="BK75" s="333" t="s">
        <v>221</v>
      </c>
      <c r="BL75" s="333" t="s">
        <v>221</v>
      </c>
      <c r="BM75" s="333" t="s">
        <v>221</v>
      </c>
      <c r="BN75" s="333" t="s">
        <v>221</v>
      </c>
      <c r="BO75" s="333" t="s">
        <v>221</v>
      </c>
      <c r="BP75" s="333" t="s">
        <v>221</v>
      </c>
      <c r="BQ75" s="333" t="s">
        <v>221</v>
      </c>
      <c r="BR75" s="333" t="s">
        <v>221</v>
      </c>
      <c r="BS75" s="333" t="s">
        <v>221</v>
      </c>
      <c r="BT75" s="333" t="s">
        <v>221</v>
      </c>
      <c r="BU75" s="333" t="s">
        <v>221</v>
      </c>
      <c r="BV75" s="333" t="s">
        <v>221</v>
      </c>
      <c r="BW75" s="333" t="s">
        <v>221</v>
      </c>
      <c r="BX75" s="333" t="s">
        <v>221</v>
      </c>
      <c r="BY75" s="333" t="s">
        <v>221</v>
      </c>
      <c r="BZ75" s="333" t="s">
        <v>221</v>
      </c>
      <c r="CA75" s="333" t="s">
        <v>221</v>
      </c>
      <c r="CB75" s="333" t="s">
        <v>221</v>
      </c>
      <c r="CC75" s="333" t="s">
        <v>221</v>
      </c>
      <c r="CD75" s="333" t="s">
        <v>221</v>
      </c>
      <c r="CE75" s="325">
        <v>34588119.77359999</v>
      </c>
      <c r="CF75" s="334"/>
    </row>
    <row r="76" spans="1:84" ht="12.6" customHeight="1" x14ac:dyDescent="0.25">
      <c r="A76" s="308" t="s">
        <v>247</v>
      </c>
      <c r="B76" s="312"/>
      <c r="C76" s="325">
        <v>0</v>
      </c>
      <c r="D76" s="325">
        <v>0</v>
      </c>
      <c r="E76" s="325">
        <v>5732017.29</v>
      </c>
      <c r="F76" s="325">
        <v>0</v>
      </c>
      <c r="G76" s="325">
        <v>0</v>
      </c>
      <c r="H76" s="325">
        <v>0</v>
      </c>
      <c r="I76" s="325">
        <v>819508.99</v>
      </c>
      <c r="J76" s="325">
        <v>253502</v>
      </c>
      <c r="K76" s="325">
        <v>0</v>
      </c>
      <c r="L76" s="325">
        <v>4552471</v>
      </c>
      <c r="M76" s="325">
        <v>0</v>
      </c>
      <c r="N76" s="325">
        <v>0</v>
      </c>
      <c r="O76" s="325">
        <v>902260.9</v>
      </c>
      <c r="P76" s="325">
        <v>4599433.53</v>
      </c>
      <c r="Q76" s="325">
        <v>734294.86</v>
      </c>
      <c r="R76" s="325">
        <v>1553398.77</v>
      </c>
      <c r="S76" s="325">
        <v>3211809.01</v>
      </c>
      <c r="T76" s="325">
        <v>0</v>
      </c>
      <c r="U76" s="325">
        <v>3433532.5310000004</v>
      </c>
      <c r="V76" s="325">
        <v>0</v>
      </c>
      <c r="W76" s="325">
        <v>0</v>
      </c>
      <c r="X76" s="325">
        <v>0</v>
      </c>
      <c r="Y76" s="325">
        <v>5414853</v>
      </c>
      <c r="Z76" s="325">
        <v>0</v>
      </c>
      <c r="AA76" s="325">
        <v>0</v>
      </c>
      <c r="AB76" s="325">
        <v>3466122.7826</v>
      </c>
      <c r="AC76" s="325">
        <v>936622.41999999993</v>
      </c>
      <c r="AD76" s="325">
        <v>0</v>
      </c>
      <c r="AE76" s="325">
        <v>1178397.9500000002</v>
      </c>
      <c r="AF76" s="325">
        <v>0</v>
      </c>
      <c r="AG76" s="325">
        <v>8290940.1899999985</v>
      </c>
      <c r="AH76" s="325">
        <v>2021573.3399999999</v>
      </c>
      <c r="AI76" s="325">
        <v>0</v>
      </c>
      <c r="AJ76" s="325">
        <v>210989.05000000002</v>
      </c>
      <c r="AK76" s="325">
        <v>325843.56</v>
      </c>
      <c r="AL76" s="325">
        <v>0</v>
      </c>
      <c r="AM76" s="325">
        <v>0</v>
      </c>
      <c r="AN76" s="325">
        <v>0</v>
      </c>
      <c r="AO76" s="325">
        <v>241052</v>
      </c>
      <c r="AP76" s="325">
        <v>0</v>
      </c>
      <c r="AQ76" s="325">
        <v>0</v>
      </c>
      <c r="AR76" s="325">
        <v>0</v>
      </c>
      <c r="AS76" s="325">
        <v>0</v>
      </c>
      <c r="AT76" s="325">
        <v>0</v>
      </c>
      <c r="AU76" s="325">
        <v>0</v>
      </c>
      <c r="AV76" s="325">
        <v>0</v>
      </c>
      <c r="AW76" s="333" t="s">
        <v>221</v>
      </c>
      <c r="AX76" s="333" t="s">
        <v>221</v>
      </c>
      <c r="AY76" s="333" t="s">
        <v>221</v>
      </c>
      <c r="AZ76" s="333" t="s">
        <v>221</v>
      </c>
      <c r="BA76" s="333" t="s">
        <v>221</v>
      </c>
      <c r="BB76" s="333" t="s">
        <v>221</v>
      </c>
      <c r="BC76" s="333" t="s">
        <v>221</v>
      </c>
      <c r="BD76" s="333" t="s">
        <v>221</v>
      </c>
      <c r="BE76" s="333" t="s">
        <v>221</v>
      </c>
      <c r="BF76" s="333" t="s">
        <v>221</v>
      </c>
      <c r="BG76" s="333" t="s">
        <v>221</v>
      </c>
      <c r="BH76" s="333" t="s">
        <v>221</v>
      </c>
      <c r="BI76" s="333" t="s">
        <v>221</v>
      </c>
      <c r="BJ76" s="333" t="s">
        <v>221</v>
      </c>
      <c r="BK76" s="333" t="s">
        <v>221</v>
      </c>
      <c r="BL76" s="333" t="s">
        <v>221</v>
      </c>
      <c r="BM76" s="333" t="s">
        <v>221</v>
      </c>
      <c r="BN76" s="333" t="s">
        <v>221</v>
      </c>
      <c r="BO76" s="333" t="s">
        <v>221</v>
      </c>
      <c r="BP76" s="333" t="s">
        <v>221</v>
      </c>
      <c r="BQ76" s="333" t="s">
        <v>221</v>
      </c>
      <c r="BR76" s="333" t="s">
        <v>221</v>
      </c>
      <c r="BS76" s="333" t="s">
        <v>221</v>
      </c>
      <c r="BT76" s="333" t="s">
        <v>221</v>
      </c>
      <c r="BU76" s="333" t="s">
        <v>221</v>
      </c>
      <c r="BV76" s="333" t="s">
        <v>221</v>
      </c>
      <c r="BW76" s="333" t="s">
        <v>221</v>
      </c>
      <c r="BX76" s="333" t="s">
        <v>221</v>
      </c>
      <c r="BY76" s="333" t="s">
        <v>221</v>
      </c>
      <c r="BZ76" s="333" t="s">
        <v>221</v>
      </c>
      <c r="CA76" s="333" t="s">
        <v>221</v>
      </c>
      <c r="CB76" s="333" t="s">
        <v>221</v>
      </c>
      <c r="CC76" s="333" t="s">
        <v>221</v>
      </c>
      <c r="CD76" s="333" t="s">
        <v>221</v>
      </c>
      <c r="CE76" s="325">
        <v>47878623.173600003</v>
      </c>
      <c r="CF76" s="334"/>
    </row>
    <row r="77" spans="1:84" ht="12.6" customHeight="1" x14ac:dyDescent="0.25">
      <c r="A77" s="308" t="s">
        <v>248</v>
      </c>
      <c r="B77" s="312"/>
      <c r="C77" s="346">
        <v>0</v>
      </c>
      <c r="D77" s="346">
        <v>0</v>
      </c>
      <c r="E77" s="346">
        <v>7661</v>
      </c>
      <c r="F77" s="346">
        <v>0</v>
      </c>
      <c r="G77" s="346">
        <v>0</v>
      </c>
      <c r="H77" s="346">
        <v>0</v>
      </c>
      <c r="I77" s="346">
        <v>3442</v>
      </c>
      <c r="J77" s="346">
        <v>0</v>
      </c>
      <c r="K77" s="346">
        <v>0</v>
      </c>
      <c r="L77" s="346">
        <v>0</v>
      </c>
      <c r="M77" s="346">
        <v>0</v>
      </c>
      <c r="N77" s="346">
        <v>0</v>
      </c>
      <c r="O77" s="346">
        <v>794</v>
      </c>
      <c r="P77" s="346">
        <v>907</v>
      </c>
      <c r="Q77" s="346">
        <v>479</v>
      </c>
      <c r="R77" s="346">
        <v>60</v>
      </c>
      <c r="S77" s="346">
        <v>1754</v>
      </c>
      <c r="T77" s="346">
        <v>0</v>
      </c>
      <c r="U77" s="346">
        <v>729</v>
      </c>
      <c r="V77" s="346">
        <v>0</v>
      </c>
      <c r="W77" s="346">
        <v>0</v>
      </c>
      <c r="X77" s="346">
        <v>0</v>
      </c>
      <c r="Y77" s="346">
        <v>1408</v>
      </c>
      <c r="Z77" s="346">
        <v>0</v>
      </c>
      <c r="AA77" s="346">
        <v>0</v>
      </c>
      <c r="AB77" s="346">
        <v>406</v>
      </c>
      <c r="AC77" s="346">
        <v>143</v>
      </c>
      <c r="AD77" s="346">
        <v>0</v>
      </c>
      <c r="AE77" s="346">
        <v>1154</v>
      </c>
      <c r="AF77" s="346">
        <v>0</v>
      </c>
      <c r="AG77" s="346">
        <v>1425</v>
      </c>
      <c r="AH77" s="346">
        <v>1246</v>
      </c>
      <c r="AI77" s="346">
        <v>0</v>
      </c>
      <c r="AJ77" s="346">
        <v>631</v>
      </c>
      <c r="AK77" s="346">
        <v>0</v>
      </c>
      <c r="AL77" s="346">
        <v>0</v>
      </c>
      <c r="AM77" s="346">
        <v>0</v>
      </c>
      <c r="AN77" s="346">
        <v>0</v>
      </c>
      <c r="AO77" s="346">
        <v>0</v>
      </c>
      <c r="AP77" s="346">
        <v>0</v>
      </c>
      <c r="AQ77" s="346">
        <v>0</v>
      </c>
      <c r="AR77" s="346">
        <v>0</v>
      </c>
      <c r="AS77" s="346">
        <v>0</v>
      </c>
      <c r="AT77" s="346">
        <v>0</v>
      </c>
      <c r="AU77" s="346">
        <v>0</v>
      </c>
      <c r="AV77" s="318"/>
      <c r="AW77" s="346">
        <v>0</v>
      </c>
      <c r="AX77" s="346">
        <v>0</v>
      </c>
      <c r="AY77" s="346">
        <v>1117</v>
      </c>
      <c r="AZ77" s="346">
        <v>944</v>
      </c>
      <c r="BA77" s="346">
        <v>112</v>
      </c>
      <c r="BB77" s="346">
        <v>72</v>
      </c>
      <c r="BC77" s="346">
        <v>0</v>
      </c>
      <c r="BD77" s="346">
        <v>0</v>
      </c>
      <c r="BE77" s="346">
        <v>3997</v>
      </c>
      <c r="BF77" s="346">
        <v>327</v>
      </c>
      <c r="BG77" s="346">
        <v>0</v>
      </c>
      <c r="BH77" s="346">
        <v>0</v>
      </c>
      <c r="BI77" s="346">
        <v>0</v>
      </c>
      <c r="BJ77" s="346">
        <v>0</v>
      </c>
      <c r="BK77" s="346">
        <v>0</v>
      </c>
      <c r="BL77" s="346">
        <v>0</v>
      </c>
      <c r="BM77" s="346">
        <v>0</v>
      </c>
      <c r="BN77" s="346">
        <v>7930</v>
      </c>
      <c r="BO77" s="346">
        <v>0</v>
      </c>
      <c r="BP77" s="346">
        <v>0</v>
      </c>
      <c r="BQ77" s="346">
        <v>0</v>
      </c>
      <c r="BR77" s="346">
        <v>0</v>
      </c>
      <c r="BS77" s="346">
        <v>0</v>
      </c>
      <c r="BT77" s="346">
        <v>0</v>
      </c>
      <c r="BU77" s="346">
        <v>0</v>
      </c>
      <c r="BV77" s="346">
        <v>537</v>
      </c>
      <c r="BW77" s="346">
        <v>0</v>
      </c>
      <c r="BX77" s="346">
        <v>0</v>
      </c>
      <c r="BY77" s="346">
        <v>149</v>
      </c>
      <c r="BZ77" s="346">
        <v>0</v>
      </c>
      <c r="CA77" s="346">
        <v>0</v>
      </c>
      <c r="CB77" s="346">
        <v>0</v>
      </c>
      <c r="CC77" s="346">
        <v>0</v>
      </c>
      <c r="CD77" s="333" t="s">
        <v>221</v>
      </c>
      <c r="CE77" s="325">
        <v>37424</v>
      </c>
      <c r="CF77" s="325">
        <v>0</v>
      </c>
    </row>
    <row r="78" spans="1:84" ht="12.6" customHeight="1" x14ac:dyDescent="0.25">
      <c r="A78" s="308" t="s">
        <v>249</v>
      </c>
      <c r="B78" s="312"/>
      <c r="C78" s="343">
        <v>0</v>
      </c>
      <c r="D78" s="343">
        <v>0</v>
      </c>
      <c r="E78" s="343">
        <v>2210</v>
      </c>
      <c r="F78" s="343">
        <v>0</v>
      </c>
      <c r="G78" s="343">
        <v>0</v>
      </c>
      <c r="H78" s="343">
        <v>0</v>
      </c>
      <c r="I78" s="343">
        <v>1529</v>
      </c>
      <c r="J78" s="343">
        <v>0</v>
      </c>
      <c r="K78" s="343">
        <v>0</v>
      </c>
      <c r="L78" s="343">
        <v>14724</v>
      </c>
      <c r="M78" s="317"/>
      <c r="N78" s="317"/>
      <c r="O78" s="317"/>
      <c r="P78" s="317"/>
      <c r="Q78" s="317"/>
      <c r="R78" s="317"/>
      <c r="S78" s="317"/>
      <c r="T78" s="317"/>
      <c r="U78" s="317"/>
      <c r="V78" s="317"/>
      <c r="W78" s="317"/>
      <c r="X78" s="317"/>
      <c r="Y78" s="317"/>
      <c r="Z78" s="317"/>
      <c r="AA78" s="317"/>
      <c r="AB78" s="317"/>
      <c r="AC78" s="317"/>
      <c r="AD78" s="317"/>
      <c r="AE78" s="317"/>
      <c r="AF78" s="317"/>
      <c r="AG78" s="317"/>
      <c r="AH78" s="317"/>
      <c r="AI78" s="317"/>
      <c r="AJ78" s="317"/>
      <c r="AK78" s="317"/>
      <c r="AL78" s="317"/>
      <c r="AM78" s="317"/>
      <c r="AN78" s="317"/>
      <c r="AO78" s="317"/>
      <c r="AP78" s="317"/>
      <c r="AQ78" s="317"/>
      <c r="AR78" s="317"/>
      <c r="AS78" s="317"/>
      <c r="AT78" s="317"/>
      <c r="AU78" s="317"/>
      <c r="AV78" s="317"/>
      <c r="AW78" s="317"/>
      <c r="AX78" s="333" t="s">
        <v>221</v>
      </c>
      <c r="AY78" s="333" t="s">
        <v>221</v>
      </c>
      <c r="AZ78" s="317"/>
      <c r="BA78" s="317"/>
      <c r="BB78" s="317"/>
      <c r="BC78" s="317"/>
      <c r="BD78" s="333" t="s">
        <v>221</v>
      </c>
      <c r="BE78" s="333" t="s">
        <v>221</v>
      </c>
      <c r="BF78" s="317"/>
      <c r="BG78" s="333" t="s">
        <v>221</v>
      </c>
      <c r="BH78" s="317"/>
      <c r="BI78" s="317"/>
      <c r="BJ78" s="333" t="s">
        <v>221</v>
      </c>
      <c r="BK78" s="317"/>
      <c r="BL78" s="317"/>
      <c r="BM78" s="317"/>
      <c r="BN78" s="333" t="s">
        <v>221</v>
      </c>
      <c r="BO78" s="333" t="s">
        <v>221</v>
      </c>
      <c r="BP78" s="333" t="s">
        <v>221</v>
      </c>
      <c r="BQ78" s="333" t="s">
        <v>221</v>
      </c>
      <c r="BR78" s="317"/>
      <c r="BS78" s="317"/>
      <c r="BT78" s="317"/>
      <c r="BU78" s="317"/>
      <c r="BV78" s="317"/>
      <c r="BW78" s="317"/>
      <c r="BX78" s="317"/>
      <c r="BY78" s="317"/>
      <c r="BZ78" s="317"/>
      <c r="CA78" s="317"/>
      <c r="CB78" s="317"/>
      <c r="CC78" s="333" t="s">
        <v>221</v>
      </c>
      <c r="CD78" s="333" t="s">
        <v>221</v>
      </c>
      <c r="CE78" s="325">
        <v>18463</v>
      </c>
      <c r="CF78" s="325">
        <v>0</v>
      </c>
    </row>
    <row r="79" spans="1:84" ht="12.6" customHeight="1" x14ac:dyDescent="0.25">
      <c r="A79" s="308" t="s">
        <v>250</v>
      </c>
      <c r="B79" s="312"/>
      <c r="C79" s="348">
        <v>0</v>
      </c>
      <c r="D79" s="348">
        <v>0</v>
      </c>
      <c r="E79" s="348">
        <v>9.1999999999999993</v>
      </c>
      <c r="F79" s="348">
        <v>0</v>
      </c>
      <c r="G79" s="348">
        <v>0</v>
      </c>
      <c r="H79" s="348">
        <v>0</v>
      </c>
      <c r="I79" s="348">
        <v>2.4300000000000002</v>
      </c>
      <c r="J79" s="349">
        <v>0.59</v>
      </c>
      <c r="K79" s="348">
        <v>0</v>
      </c>
      <c r="L79" s="348">
        <v>30.76</v>
      </c>
      <c r="M79" s="346">
        <v>0</v>
      </c>
      <c r="N79" s="346">
        <v>0</v>
      </c>
      <c r="O79" s="346">
        <v>794</v>
      </c>
      <c r="P79" s="346">
        <v>907</v>
      </c>
      <c r="Q79" s="346">
        <v>479</v>
      </c>
      <c r="R79" s="346">
        <v>60</v>
      </c>
      <c r="S79" s="346">
        <v>1754</v>
      </c>
      <c r="T79" s="346">
        <v>0</v>
      </c>
      <c r="U79" s="346">
        <v>729</v>
      </c>
      <c r="V79" s="346">
        <v>0</v>
      </c>
      <c r="W79" s="346">
        <v>0</v>
      </c>
      <c r="X79" s="346">
        <v>0</v>
      </c>
      <c r="Y79" s="346">
        <v>1408</v>
      </c>
      <c r="Z79" s="346">
        <v>0</v>
      </c>
      <c r="AA79" s="346">
        <v>0</v>
      </c>
      <c r="AB79" s="346">
        <v>406</v>
      </c>
      <c r="AC79" s="346">
        <v>143</v>
      </c>
      <c r="AD79" s="346">
        <v>0</v>
      </c>
      <c r="AE79" s="346">
        <v>1154</v>
      </c>
      <c r="AF79" s="346">
        <v>0</v>
      </c>
      <c r="AG79" s="346">
        <v>1425</v>
      </c>
      <c r="AH79" s="346">
        <v>1246</v>
      </c>
      <c r="AI79" s="346">
        <v>0</v>
      </c>
      <c r="AJ79" s="346">
        <v>631</v>
      </c>
      <c r="AK79" s="346">
        <v>0</v>
      </c>
      <c r="AL79" s="346">
        <v>0</v>
      </c>
      <c r="AM79" s="346">
        <v>0</v>
      </c>
      <c r="AN79" s="346">
        <v>0</v>
      </c>
      <c r="AO79" s="346">
        <v>0</v>
      </c>
      <c r="AP79" s="346">
        <v>0</v>
      </c>
      <c r="AQ79" s="346">
        <v>0</v>
      </c>
      <c r="AR79" s="346">
        <v>0</v>
      </c>
      <c r="AS79" s="346">
        <v>0</v>
      </c>
      <c r="AT79" s="346">
        <v>0</v>
      </c>
      <c r="AU79" s="346">
        <v>0</v>
      </c>
      <c r="AV79" s="317"/>
      <c r="AW79" s="346">
        <v>0</v>
      </c>
      <c r="AX79" s="333" t="s">
        <v>221</v>
      </c>
      <c r="AY79" s="333" t="s">
        <v>221</v>
      </c>
      <c r="AZ79" s="333" t="s">
        <v>221</v>
      </c>
      <c r="BA79" s="346">
        <v>112</v>
      </c>
      <c r="BB79" s="346">
        <v>72</v>
      </c>
      <c r="BC79" s="346">
        <v>0</v>
      </c>
      <c r="BD79" s="333" t="s">
        <v>221</v>
      </c>
      <c r="BE79" s="333" t="s">
        <v>221</v>
      </c>
      <c r="BF79" s="333" t="s">
        <v>221</v>
      </c>
      <c r="BG79" s="333" t="s">
        <v>221</v>
      </c>
      <c r="BH79" s="317">
        <v>0</v>
      </c>
      <c r="BI79" s="317">
        <v>0</v>
      </c>
      <c r="BJ79" s="333" t="s">
        <v>221</v>
      </c>
      <c r="BK79" s="317">
        <v>0</v>
      </c>
      <c r="BL79" s="317">
        <v>0</v>
      </c>
      <c r="BM79" s="317">
        <v>0</v>
      </c>
      <c r="BN79" s="333" t="s">
        <v>221</v>
      </c>
      <c r="BO79" s="333" t="s">
        <v>221</v>
      </c>
      <c r="BP79" s="333" t="s">
        <v>221</v>
      </c>
      <c r="BQ79" s="333" t="s">
        <v>221</v>
      </c>
      <c r="BR79" s="333" t="s">
        <v>221</v>
      </c>
      <c r="BS79" s="317">
        <v>0</v>
      </c>
      <c r="BT79" s="317">
        <v>0</v>
      </c>
      <c r="BU79" s="317">
        <v>0</v>
      </c>
      <c r="BV79" s="317">
        <v>537</v>
      </c>
      <c r="BW79" s="317">
        <v>0</v>
      </c>
      <c r="BX79" s="317">
        <v>0</v>
      </c>
      <c r="BY79" s="317">
        <v>149</v>
      </c>
      <c r="BZ79" s="317">
        <v>0</v>
      </c>
      <c r="CA79" s="317">
        <v>0</v>
      </c>
      <c r="CB79" s="317">
        <v>0</v>
      </c>
      <c r="CC79" s="333" t="s">
        <v>221</v>
      </c>
      <c r="CD79" s="333" t="s">
        <v>221</v>
      </c>
      <c r="CE79" s="325">
        <v>12048.98</v>
      </c>
      <c r="CF79" s="325"/>
    </row>
    <row r="80" spans="1:84" ht="12.6" customHeight="1" x14ac:dyDescent="0.25">
      <c r="A80" s="308" t="s">
        <v>251</v>
      </c>
      <c r="B80" s="312"/>
      <c r="C80" s="347">
        <v>0</v>
      </c>
      <c r="D80" s="347">
        <v>0</v>
      </c>
      <c r="E80" s="347">
        <v>50367.967199999999</v>
      </c>
      <c r="F80" s="347">
        <v>0</v>
      </c>
      <c r="G80" s="347">
        <v>0</v>
      </c>
      <c r="H80" s="347">
        <v>0</v>
      </c>
      <c r="I80" s="347">
        <v>0</v>
      </c>
      <c r="J80" s="347">
        <v>463.22750000000002</v>
      </c>
      <c r="K80" s="347">
        <v>0</v>
      </c>
      <c r="L80" s="347">
        <v>0</v>
      </c>
      <c r="M80" s="347">
        <v>0</v>
      </c>
      <c r="N80" s="347">
        <v>0</v>
      </c>
      <c r="O80" s="347">
        <v>2039</v>
      </c>
      <c r="P80" s="347">
        <v>13039.094999999999</v>
      </c>
      <c r="Q80" s="347">
        <v>0</v>
      </c>
      <c r="R80" s="347">
        <v>0</v>
      </c>
      <c r="S80" s="347">
        <v>0</v>
      </c>
      <c r="T80" s="347">
        <v>0</v>
      </c>
      <c r="U80" s="347">
        <v>332.69</v>
      </c>
      <c r="V80" s="347">
        <v>0</v>
      </c>
      <c r="W80" s="347">
        <v>0</v>
      </c>
      <c r="X80" s="347">
        <v>0</v>
      </c>
      <c r="Y80" s="347">
        <v>12701.730000000001</v>
      </c>
      <c r="Z80" s="347">
        <v>0</v>
      </c>
      <c r="AA80" s="347">
        <v>0</v>
      </c>
      <c r="AB80" s="347">
        <v>0</v>
      </c>
      <c r="AC80" s="347">
        <v>0</v>
      </c>
      <c r="AD80" s="347">
        <v>0</v>
      </c>
      <c r="AE80" s="347">
        <v>0</v>
      </c>
      <c r="AF80" s="347">
        <v>0</v>
      </c>
      <c r="AG80" s="347">
        <v>11460.121799999999</v>
      </c>
      <c r="AH80" s="347">
        <v>5461.8760000000002</v>
      </c>
      <c r="AI80" s="317"/>
      <c r="AJ80" s="317"/>
      <c r="AK80" s="317"/>
      <c r="AL80" s="317"/>
      <c r="AM80" s="317"/>
      <c r="AN80" s="317"/>
      <c r="AO80" s="317"/>
      <c r="AP80" s="317"/>
      <c r="AQ80" s="317"/>
      <c r="AR80" s="317"/>
      <c r="AS80" s="317"/>
      <c r="AT80" s="317"/>
      <c r="AU80" s="317"/>
      <c r="AV80" s="317"/>
      <c r="AW80" s="317"/>
      <c r="AX80" s="333" t="s">
        <v>221</v>
      </c>
      <c r="AY80" s="333" t="s">
        <v>221</v>
      </c>
      <c r="AZ80" s="333" t="s">
        <v>221</v>
      </c>
      <c r="BA80" s="333" t="s">
        <v>221</v>
      </c>
      <c r="BB80" s="317"/>
      <c r="BC80" s="317"/>
      <c r="BD80" s="333" t="s">
        <v>221</v>
      </c>
      <c r="BE80" s="333" t="s">
        <v>221</v>
      </c>
      <c r="BF80" s="333" t="s">
        <v>221</v>
      </c>
      <c r="BG80" s="333" t="s">
        <v>221</v>
      </c>
      <c r="BH80" s="317"/>
      <c r="BI80" s="317"/>
      <c r="BJ80" s="333" t="s">
        <v>221</v>
      </c>
      <c r="BK80" s="317"/>
      <c r="BL80" s="317"/>
      <c r="BM80" s="317"/>
      <c r="BN80" s="333" t="s">
        <v>221</v>
      </c>
      <c r="BO80" s="333" t="s">
        <v>221</v>
      </c>
      <c r="BP80" s="333" t="s">
        <v>221</v>
      </c>
      <c r="BQ80" s="333" t="s">
        <v>221</v>
      </c>
      <c r="BR80" s="333" t="s">
        <v>221</v>
      </c>
      <c r="BS80" s="317"/>
      <c r="BT80" s="317"/>
      <c r="BU80" s="317"/>
      <c r="BV80" s="317"/>
      <c r="BW80" s="317"/>
      <c r="BX80" s="317"/>
      <c r="BY80" s="317"/>
      <c r="BZ80" s="317"/>
      <c r="CA80" s="317"/>
      <c r="CB80" s="317"/>
      <c r="CC80" s="333" t="s">
        <v>221</v>
      </c>
      <c r="CD80" s="333" t="s">
        <v>221</v>
      </c>
      <c r="CE80" s="325">
        <v>95865.70749999999</v>
      </c>
      <c r="CF80" s="325">
        <v>0</v>
      </c>
    </row>
    <row r="81" spans="1:84" ht="21" customHeight="1" x14ac:dyDescent="0.25">
      <c r="A81" s="308" t="s">
        <v>252</v>
      </c>
      <c r="B81" s="312"/>
      <c r="C81" s="345">
        <v>0</v>
      </c>
      <c r="D81" s="345">
        <v>0</v>
      </c>
      <c r="E81" s="345">
        <v>0</v>
      </c>
      <c r="F81" s="345">
        <v>0</v>
      </c>
      <c r="G81" s="345">
        <v>0</v>
      </c>
      <c r="H81" s="345">
        <v>0</v>
      </c>
      <c r="I81" s="345">
        <v>0</v>
      </c>
      <c r="J81" s="345">
        <v>0.59328707307692308</v>
      </c>
      <c r="K81" s="345">
        <v>0</v>
      </c>
      <c r="L81" s="345">
        <v>0</v>
      </c>
      <c r="M81" s="345">
        <v>0</v>
      </c>
      <c r="N81" s="345">
        <v>0</v>
      </c>
      <c r="O81" s="345">
        <v>4.3966586538461536</v>
      </c>
      <c r="P81" s="345">
        <v>6.6295432692307692</v>
      </c>
      <c r="Q81" s="345">
        <v>2.243096153846154</v>
      </c>
      <c r="R81" s="345">
        <v>1.1408653846153847</v>
      </c>
      <c r="S81" s="345">
        <v>5.0491826923076921</v>
      </c>
      <c r="T81" s="345">
        <v>0</v>
      </c>
      <c r="U81" s="345">
        <v>8.6527211538461533</v>
      </c>
      <c r="V81" s="345">
        <v>0</v>
      </c>
      <c r="W81" s="345">
        <v>0</v>
      </c>
      <c r="X81" s="345">
        <v>0</v>
      </c>
      <c r="Y81" s="345">
        <v>7.0801826923076927</v>
      </c>
      <c r="Z81" s="345">
        <v>0</v>
      </c>
      <c r="AA81" s="345">
        <v>0</v>
      </c>
      <c r="AB81" s="345">
        <v>2.0024038461538463</v>
      </c>
      <c r="AC81" s="345">
        <v>1.1102403846153848</v>
      </c>
      <c r="AD81" s="345">
        <v>0</v>
      </c>
      <c r="AE81" s="345">
        <v>5.2289663461538458</v>
      </c>
      <c r="AF81" s="345">
        <v>0</v>
      </c>
      <c r="AG81" s="345">
        <v>11.654884615384615</v>
      </c>
      <c r="AH81" s="345">
        <v>22.013221153846153</v>
      </c>
      <c r="AI81" s="345">
        <v>0</v>
      </c>
      <c r="AJ81" s="345">
        <v>37.97775</v>
      </c>
      <c r="AK81" s="345">
        <v>1.0617788461538462</v>
      </c>
      <c r="AL81" s="345">
        <v>0</v>
      </c>
      <c r="AM81" s="345">
        <v>0</v>
      </c>
      <c r="AN81" s="345">
        <v>0</v>
      </c>
      <c r="AO81" s="345">
        <v>0</v>
      </c>
      <c r="AP81" s="345">
        <v>0</v>
      </c>
      <c r="AQ81" s="345">
        <v>0</v>
      </c>
      <c r="AR81" s="345">
        <v>0</v>
      </c>
      <c r="AS81" s="345">
        <v>0</v>
      </c>
      <c r="AT81" s="345">
        <v>0</v>
      </c>
      <c r="AU81" s="345">
        <v>0</v>
      </c>
      <c r="AV81" s="319"/>
      <c r="AW81" s="333" t="s">
        <v>221</v>
      </c>
      <c r="AX81" s="333" t="s">
        <v>221</v>
      </c>
      <c r="AY81" s="333" t="s">
        <v>221</v>
      </c>
      <c r="AZ81" s="333" t="s">
        <v>221</v>
      </c>
      <c r="BA81" s="333" t="s">
        <v>221</v>
      </c>
      <c r="BB81" s="333" t="s">
        <v>221</v>
      </c>
      <c r="BC81" s="333" t="s">
        <v>221</v>
      </c>
      <c r="BD81" s="333" t="s">
        <v>221</v>
      </c>
      <c r="BE81" s="333" t="s">
        <v>221</v>
      </c>
      <c r="BF81" s="333" t="s">
        <v>221</v>
      </c>
      <c r="BG81" s="333" t="s">
        <v>221</v>
      </c>
      <c r="BH81" s="333" t="s">
        <v>221</v>
      </c>
      <c r="BI81" s="333" t="s">
        <v>221</v>
      </c>
      <c r="BJ81" s="333" t="s">
        <v>221</v>
      </c>
      <c r="BK81" s="333" t="s">
        <v>221</v>
      </c>
      <c r="BL81" s="333" t="s">
        <v>221</v>
      </c>
      <c r="BM81" s="333" t="s">
        <v>221</v>
      </c>
      <c r="BN81" s="333" t="s">
        <v>221</v>
      </c>
      <c r="BO81" s="333" t="s">
        <v>221</v>
      </c>
      <c r="BP81" s="333" t="s">
        <v>221</v>
      </c>
      <c r="BQ81" s="333" t="s">
        <v>221</v>
      </c>
      <c r="BR81" s="333" t="s">
        <v>221</v>
      </c>
      <c r="BS81" s="333" t="s">
        <v>221</v>
      </c>
      <c r="BT81" s="333" t="s">
        <v>221</v>
      </c>
      <c r="BU81" s="336"/>
      <c r="BV81" s="336"/>
      <c r="BW81" s="336"/>
      <c r="BX81" s="336"/>
      <c r="BY81" s="336"/>
      <c r="BZ81" s="336"/>
      <c r="CA81" s="336"/>
      <c r="CB81" s="336"/>
      <c r="CC81" s="333" t="s">
        <v>221</v>
      </c>
      <c r="CD81" s="333" t="s">
        <v>221</v>
      </c>
      <c r="CE81" s="337">
        <v>116.83478226538462</v>
      </c>
      <c r="CF81" s="337"/>
    </row>
    <row r="82" spans="1:84" ht="12.6" customHeight="1" x14ac:dyDescent="0.25">
      <c r="A82" s="330" t="s">
        <v>253</v>
      </c>
      <c r="B82" s="330"/>
      <c r="C82" s="330"/>
      <c r="D82" s="330"/>
      <c r="E82" s="330"/>
      <c r="F82" s="284"/>
      <c r="G82" s="284"/>
      <c r="H82" s="284"/>
      <c r="I82" s="284"/>
      <c r="J82" s="284"/>
      <c r="K82" s="284"/>
      <c r="L82" s="284"/>
      <c r="M82" s="284"/>
      <c r="N82" s="284"/>
      <c r="O82" s="284"/>
      <c r="P82" s="284"/>
      <c r="Q82" s="284"/>
      <c r="R82" s="284"/>
      <c r="S82" s="284"/>
      <c r="T82" s="284"/>
      <c r="U82" s="284"/>
      <c r="V82" s="284"/>
      <c r="W82" s="284"/>
      <c r="X82" s="284"/>
      <c r="Y82" s="284"/>
      <c r="Z82" s="284"/>
      <c r="AA82" s="284"/>
      <c r="AB82" s="284"/>
      <c r="AC82" s="284"/>
      <c r="AD82" s="284"/>
      <c r="AE82" s="284"/>
      <c r="AF82" s="284"/>
      <c r="AG82" s="284"/>
      <c r="AH82" s="284"/>
      <c r="AI82" s="284"/>
      <c r="AJ82" s="284"/>
      <c r="AK82" s="284"/>
      <c r="AL82" s="284"/>
      <c r="AM82" s="284"/>
      <c r="AN82" s="284"/>
      <c r="AO82" s="284"/>
      <c r="AP82" s="284"/>
      <c r="AQ82" s="284"/>
      <c r="AR82" s="284"/>
      <c r="AS82" s="284"/>
      <c r="AT82" s="284"/>
      <c r="AU82" s="284"/>
      <c r="AV82" s="284"/>
      <c r="AW82" s="284"/>
      <c r="AX82" s="284"/>
      <c r="AY82" s="284"/>
      <c r="AZ82" s="284"/>
      <c r="BA82" s="284"/>
      <c r="BB82" s="284"/>
      <c r="BC82" s="284"/>
      <c r="BD82" s="284"/>
      <c r="BE82" s="284"/>
      <c r="BF82" s="284"/>
      <c r="BG82" s="284"/>
      <c r="BH82" s="284"/>
      <c r="BI82" s="284"/>
      <c r="BJ82" s="284"/>
      <c r="BK82" s="284"/>
      <c r="BL82" s="284"/>
      <c r="BM82" s="284"/>
      <c r="BN82" s="284"/>
      <c r="BO82" s="284"/>
      <c r="BP82" s="284"/>
      <c r="BQ82" s="284"/>
      <c r="BR82" s="284"/>
      <c r="BS82" s="284"/>
      <c r="BT82" s="284"/>
      <c r="BU82" s="284"/>
      <c r="BV82" s="284"/>
      <c r="BW82" s="284"/>
      <c r="BX82" s="284"/>
      <c r="BY82" s="284"/>
      <c r="BZ82" s="284"/>
      <c r="CA82" s="284"/>
      <c r="CB82" s="284"/>
      <c r="CC82" s="284"/>
      <c r="CD82" s="284"/>
      <c r="CE82" s="284"/>
      <c r="CF82" s="284"/>
    </row>
    <row r="83" spans="1:84" ht="12.6" customHeight="1" x14ac:dyDescent="0.25">
      <c r="A83" s="308" t="s">
        <v>254</v>
      </c>
      <c r="B83" s="309"/>
      <c r="C83" s="352" t="s">
        <v>1271</v>
      </c>
      <c r="D83" s="338"/>
      <c r="E83" s="312"/>
      <c r="F83" s="284"/>
      <c r="G83" s="284"/>
      <c r="H83" s="284"/>
      <c r="I83" s="284"/>
      <c r="J83" s="284"/>
      <c r="K83" s="284"/>
      <c r="L83" s="284"/>
      <c r="M83" s="284"/>
      <c r="N83" s="284"/>
      <c r="O83" s="284"/>
      <c r="P83" s="284"/>
      <c r="Q83" s="284"/>
      <c r="R83" s="284"/>
      <c r="S83" s="284"/>
      <c r="T83" s="284"/>
      <c r="U83" s="284"/>
      <c r="V83" s="284"/>
      <c r="W83" s="284"/>
      <c r="X83" s="284"/>
      <c r="Y83" s="284"/>
      <c r="Z83" s="284"/>
      <c r="AA83" s="284"/>
      <c r="AB83" s="284"/>
      <c r="AC83" s="284"/>
      <c r="AD83" s="284"/>
      <c r="AE83" s="284"/>
      <c r="AF83" s="284"/>
      <c r="AG83" s="284"/>
      <c r="AH83" s="284"/>
      <c r="AI83" s="284"/>
      <c r="AJ83" s="284"/>
      <c r="AK83" s="284"/>
      <c r="AL83" s="284"/>
      <c r="AM83" s="284"/>
      <c r="AN83" s="284"/>
      <c r="AO83" s="284"/>
      <c r="AP83" s="284"/>
      <c r="AQ83" s="284"/>
      <c r="AR83" s="284"/>
      <c r="AS83" s="284"/>
      <c r="AT83" s="284"/>
      <c r="AU83" s="284"/>
      <c r="AV83" s="284"/>
      <c r="AW83" s="284"/>
      <c r="AX83" s="284"/>
      <c r="AY83" s="284"/>
      <c r="AZ83" s="284"/>
      <c r="BA83" s="284"/>
      <c r="BB83" s="284"/>
      <c r="BC83" s="284"/>
      <c r="BD83" s="284"/>
      <c r="BE83" s="284"/>
      <c r="BF83" s="284"/>
      <c r="BG83" s="284"/>
      <c r="BH83" s="284"/>
      <c r="BI83" s="284"/>
      <c r="BJ83" s="284"/>
      <c r="BK83" s="284"/>
      <c r="BL83" s="284"/>
      <c r="BM83" s="284"/>
      <c r="BN83" s="284"/>
      <c r="BO83" s="284"/>
      <c r="BP83" s="284"/>
      <c r="BQ83" s="284"/>
      <c r="BR83" s="284"/>
      <c r="BS83" s="284"/>
      <c r="BT83" s="284"/>
      <c r="BU83" s="284"/>
      <c r="BV83" s="284"/>
      <c r="BW83" s="284"/>
      <c r="BX83" s="284"/>
      <c r="BY83" s="284"/>
      <c r="BZ83" s="284"/>
      <c r="CA83" s="284"/>
      <c r="CB83" s="284"/>
      <c r="CC83" s="284"/>
      <c r="CD83" s="284"/>
      <c r="CE83" s="284"/>
      <c r="CF83" s="284"/>
    </row>
    <row r="84" spans="1:84" ht="12.6" customHeight="1" x14ac:dyDescent="0.25">
      <c r="A84" s="310" t="s">
        <v>255</v>
      </c>
      <c r="B84" s="309" t="s">
        <v>256</v>
      </c>
      <c r="C84" s="351" t="s">
        <v>1266</v>
      </c>
      <c r="D84" s="338"/>
      <c r="E84" s="312"/>
      <c r="F84" s="284"/>
      <c r="G84" s="284"/>
      <c r="H84" s="284"/>
      <c r="I84" s="284"/>
      <c r="J84" s="284"/>
      <c r="K84" s="284"/>
      <c r="L84" s="284"/>
      <c r="M84" s="284"/>
      <c r="N84" s="284"/>
      <c r="O84" s="284"/>
      <c r="P84" s="284"/>
      <c r="Q84" s="284"/>
      <c r="R84" s="284"/>
      <c r="S84" s="284"/>
      <c r="T84" s="284"/>
      <c r="U84" s="284"/>
      <c r="V84" s="284"/>
      <c r="W84" s="284"/>
      <c r="X84" s="284"/>
      <c r="Y84" s="284"/>
      <c r="Z84" s="284"/>
      <c r="AA84" s="284"/>
      <c r="AB84" s="284"/>
      <c r="AC84" s="284"/>
      <c r="AD84" s="284"/>
      <c r="AE84" s="284"/>
      <c r="AF84" s="284"/>
      <c r="AG84" s="284"/>
      <c r="AH84" s="284"/>
      <c r="AI84" s="284"/>
      <c r="AJ84" s="284"/>
      <c r="AK84" s="284"/>
      <c r="AL84" s="284"/>
      <c r="AM84" s="284"/>
      <c r="AN84" s="284"/>
      <c r="AO84" s="284"/>
      <c r="AP84" s="284"/>
      <c r="AQ84" s="284"/>
      <c r="AR84" s="284"/>
      <c r="AS84" s="284"/>
      <c r="AT84" s="284"/>
      <c r="AU84" s="284"/>
      <c r="AV84" s="284"/>
      <c r="AW84" s="284"/>
      <c r="AX84" s="284"/>
      <c r="AY84" s="284"/>
      <c r="AZ84" s="284"/>
      <c r="BA84" s="284"/>
      <c r="BB84" s="284"/>
      <c r="BC84" s="284"/>
      <c r="BD84" s="284"/>
      <c r="BE84" s="284"/>
      <c r="BF84" s="284"/>
      <c r="BG84" s="284"/>
      <c r="BH84" s="284"/>
      <c r="BI84" s="284"/>
      <c r="BJ84" s="284"/>
      <c r="BK84" s="284"/>
      <c r="BL84" s="284"/>
      <c r="BM84" s="284"/>
      <c r="BN84" s="284"/>
      <c r="BO84" s="284"/>
      <c r="BP84" s="284"/>
      <c r="BQ84" s="284"/>
      <c r="BR84" s="284"/>
      <c r="BS84" s="284"/>
      <c r="BT84" s="284"/>
      <c r="BU84" s="284"/>
      <c r="BV84" s="284"/>
      <c r="BW84" s="284"/>
      <c r="BX84" s="284"/>
      <c r="BY84" s="284"/>
      <c r="BZ84" s="284"/>
      <c r="CA84" s="284"/>
      <c r="CB84" s="284"/>
      <c r="CC84" s="284"/>
      <c r="CD84" s="284"/>
      <c r="CE84" s="284"/>
      <c r="CF84" s="284"/>
    </row>
    <row r="85" spans="1:84" ht="12.6" customHeight="1" x14ac:dyDescent="0.25">
      <c r="A85" s="310" t="s">
        <v>257</v>
      </c>
      <c r="B85" s="309" t="s">
        <v>256</v>
      </c>
      <c r="C85" s="354" t="s">
        <v>1272</v>
      </c>
      <c r="D85" s="328"/>
      <c r="E85" s="327"/>
      <c r="F85" s="284"/>
      <c r="G85" s="284"/>
      <c r="H85" s="284"/>
      <c r="I85" s="284"/>
      <c r="J85" s="284"/>
      <c r="K85" s="284"/>
      <c r="L85" s="284"/>
      <c r="M85" s="284"/>
      <c r="N85" s="284"/>
      <c r="O85" s="284"/>
      <c r="P85" s="284"/>
      <c r="Q85" s="284"/>
      <c r="R85" s="284"/>
      <c r="S85" s="284"/>
      <c r="T85" s="284"/>
      <c r="U85" s="284"/>
      <c r="V85" s="284"/>
      <c r="W85" s="284"/>
      <c r="X85" s="284"/>
      <c r="Y85" s="284"/>
      <c r="Z85" s="284"/>
      <c r="AA85" s="284"/>
      <c r="AB85" s="284"/>
      <c r="AC85" s="284"/>
      <c r="AD85" s="284"/>
      <c r="AE85" s="284"/>
      <c r="AF85" s="284"/>
      <c r="AG85" s="284"/>
      <c r="AH85" s="284"/>
      <c r="AI85" s="284"/>
      <c r="AJ85" s="284"/>
      <c r="AK85" s="284"/>
      <c r="AL85" s="284"/>
      <c r="AM85" s="284"/>
      <c r="AN85" s="284"/>
      <c r="AO85" s="284"/>
      <c r="AP85" s="284"/>
      <c r="AQ85" s="284"/>
      <c r="AR85" s="284"/>
      <c r="AS85" s="284"/>
      <c r="AT85" s="284"/>
      <c r="AU85" s="284"/>
      <c r="AV85" s="284"/>
      <c r="AW85" s="284"/>
      <c r="AX85" s="284"/>
      <c r="AY85" s="284"/>
      <c r="AZ85" s="284"/>
      <c r="BA85" s="284"/>
      <c r="BB85" s="284"/>
      <c r="BC85" s="284"/>
      <c r="BD85" s="284"/>
      <c r="BE85" s="284"/>
      <c r="BF85" s="284"/>
      <c r="BG85" s="284"/>
      <c r="BH85" s="284"/>
      <c r="BI85" s="284"/>
      <c r="BJ85" s="284"/>
      <c r="BK85" s="284"/>
      <c r="BL85" s="284"/>
      <c r="BM85" s="284"/>
      <c r="BN85" s="284"/>
      <c r="BO85" s="284"/>
      <c r="BP85" s="284"/>
      <c r="BQ85" s="284"/>
      <c r="BR85" s="284"/>
      <c r="BS85" s="284"/>
      <c r="BT85" s="284"/>
      <c r="BU85" s="284"/>
      <c r="BV85" s="284"/>
      <c r="BW85" s="284"/>
      <c r="BX85" s="284"/>
      <c r="BY85" s="284"/>
      <c r="BZ85" s="284"/>
      <c r="CA85" s="284"/>
      <c r="CB85" s="284"/>
      <c r="CC85" s="284"/>
      <c r="CD85" s="284"/>
      <c r="CE85" s="284"/>
      <c r="CF85" s="284"/>
    </row>
    <row r="86" spans="1:84" ht="12.6" customHeight="1" x14ac:dyDescent="0.25">
      <c r="A86" s="310" t="s">
        <v>1251</v>
      </c>
      <c r="B86" s="309"/>
      <c r="C86" s="355" t="s">
        <v>1273</v>
      </c>
      <c r="D86" s="328"/>
      <c r="E86" s="327"/>
      <c r="F86" s="284"/>
      <c r="G86" s="284"/>
      <c r="H86" s="284"/>
      <c r="I86" s="284"/>
      <c r="J86" s="284"/>
      <c r="K86" s="284"/>
      <c r="L86" s="284"/>
      <c r="M86" s="284"/>
      <c r="N86" s="284"/>
      <c r="O86" s="284"/>
      <c r="P86" s="284"/>
      <c r="Q86" s="284"/>
      <c r="R86" s="284"/>
      <c r="S86" s="284"/>
      <c r="T86" s="284"/>
      <c r="U86" s="284"/>
      <c r="V86" s="284"/>
      <c r="W86" s="284"/>
      <c r="X86" s="284"/>
      <c r="Y86" s="284"/>
      <c r="Z86" s="284"/>
      <c r="AA86" s="284"/>
      <c r="AB86" s="284"/>
      <c r="AC86" s="284"/>
      <c r="AD86" s="284"/>
      <c r="AE86" s="284"/>
      <c r="AF86" s="284"/>
      <c r="AG86" s="284"/>
      <c r="AH86" s="284"/>
      <c r="AI86" s="284"/>
      <c r="AJ86" s="284"/>
      <c r="AK86" s="284"/>
      <c r="AL86" s="284"/>
      <c r="AM86" s="284"/>
      <c r="AN86" s="284"/>
      <c r="AO86" s="284"/>
      <c r="AP86" s="284"/>
      <c r="AQ86" s="284"/>
      <c r="AR86" s="284"/>
      <c r="AS86" s="284"/>
      <c r="AT86" s="284"/>
      <c r="AU86" s="284"/>
      <c r="AV86" s="284"/>
      <c r="AW86" s="284"/>
      <c r="AX86" s="284"/>
      <c r="AY86" s="284"/>
      <c r="AZ86" s="284"/>
      <c r="BA86" s="284"/>
      <c r="BB86" s="284"/>
      <c r="BC86" s="284"/>
      <c r="BD86" s="284"/>
      <c r="BE86" s="284"/>
      <c r="BF86" s="284"/>
      <c r="BG86" s="284"/>
      <c r="BH86" s="284"/>
      <c r="BI86" s="284"/>
      <c r="BJ86" s="284"/>
      <c r="BK86" s="284"/>
      <c r="BL86" s="284"/>
      <c r="BM86" s="284"/>
      <c r="BN86" s="284"/>
      <c r="BO86" s="284"/>
      <c r="BP86" s="284"/>
      <c r="BQ86" s="284"/>
      <c r="BR86" s="284"/>
      <c r="BS86" s="284"/>
      <c r="BT86" s="284"/>
      <c r="BU86" s="284"/>
      <c r="BV86" s="284"/>
      <c r="BW86" s="284"/>
      <c r="BX86" s="284"/>
      <c r="BY86" s="284"/>
      <c r="BZ86" s="284"/>
      <c r="CA86" s="284"/>
      <c r="CB86" s="284"/>
      <c r="CC86" s="284"/>
      <c r="CD86" s="284"/>
      <c r="CE86" s="284"/>
      <c r="CF86" s="284"/>
    </row>
    <row r="87" spans="1:84" ht="12.6" customHeight="1" x14ac:dyDescent="0.25">
      <c r="A87" s="310" t="s">
        <v>1252</v>
      </c>
      <c r="B87" s="309" t="s">
        <v>256</v>
      </c>
      <c r="C87" s="355" t="s">
        <v>1273</v>
      </c>
      <c r="D87" s="328"/>
      <c r="E87" s="327"/>
      <c r="F87" s="284"/>
      <c r="G87" s="284"/>
      <c r="H87" s="284"/>
      <c r="I87" s="284"/>
      <c r="J87" s="284"/>
      <c r="K87" s="284"/>
      <c r="L87" s="284"/>
      <c r="M87" s="284"/>
      <c r="N87" s="284"/>
      <c r="O87" s="284"/>
      <c r="P87" s="284"/>
      <c r="Q87" s="284"/>
      <c r="R87" s="284"/>
      <c r="S87" s="284"/>
      <c r="T87" s="284"/>
      <c r="U87" s="284"/>
      <c r="V87" s="284"/>
      <c r="W87" s="284"/>
      <c r="X87" s="284"/>
      <c r="Y87" s="284"/>
      <c r="Z87" s="284"/>
      <c r="AA87" s="284"/>
      <c r="AB87" s="284"/>
      <c r="AC87" s="284"/>
      <c r="AD87" s="284"/>
      <c r="AE87" s="284"/>
      <c r="AF87" s="284"/>
      <c r="AG87" s="284"/>
      <c r="AH87" s="284"/>
      <c r="AI87" s="284"/>
      <c r="AJ87" s="284"/>
      <c r="AK87" s="284"/>
      <c r="AL87" s="284"/>
      <c r="AM87" s="284"/>
      <c r="AN87" s="284"/>
      <c r="AO87" s="284"/>
      <c r="AP87" s="284"/>
      <c r="AQ87" s="284"/>
      <c r="AR87" s="284"/>
      <c r="AS87" s="284"/>
      <c r="AT87" s="284"/>
      <c r="AU87" s="284"/>
      <c r="AV87" s="284"/>
      <c r="AW87" s="284"/>
      <c r="AX87" s="284"/>
      <c r="AY87" s="284"/>
      <c r="AZ87" s="284"/>
      <c r="BA87" s="284"/>
      <c r="BB87" s="284"/>
      <c r="BC87" s="284"/>
      <c r="BD87" s="284"/>
      <c r="BE87" s="284"/>
      <c r="BF87" s="284"/>
      <c r="BG87" s="284"/>
      <c r="BH87" s="284"/>
      <c r="BI87" s="284"/>
      <c r="BJ87" s="284"/>
      <c r="BK87" s="284"/>
      <c r="BL87" s="284"/>
      <c r="BM87" s="284"/>
      <c r="BN87" s="284"/>
      <c r="BO87" s="284"/>
      <c r="BP87" s="284"/>
      <c r="BQ87" s="284"/>
      <c r="BR87" s="284"/>
      <c r="BS87" s="284"/>
      <c r="BT87" s="284"/>
      <c r="BU87" s="284"/>
      <c r="BV87" s="284"/>
      <c r="BW87" s="284"/>
      <c r="BX87" s="284"/>
      <c r="BY87" s="284"/>
      <c r="BZ87" s="284"/>
      <c r="CA87" s="284"/>
      <c r="CB87" s="284"/>
      <c r="CC87" s="284"/>
      <c r="CD87" s="284"/>
      <c r="CE87" s="284"/>
      <c r="CF87" s="284"/>
    </row>
    <row r="88" spans="1:84" ht="12.6" customHeight="1" x14ac:dyDescent="0.25">
      <c r="A88" s="310" t="s">
        <v>258</v>
      </c>
      <c r="B88" s="309" t="s">
        <v>256</v>
      </c>
      <c r="C88" s="354" t="s">
        <v>1274</v>
      </c>
      <c r="D88" s="328"/>
      <c r="E88" s="327"/>
      <c r="F88" s="284"/>
      <c r="G88" s="284"/>
      <c r="H88" s="284"/>
      <c r="I88" s="284"/>
      <c r="J88" s="284"/>
      <c r="K88" s="284"/>
      <c r="L88" s="284"/>
      <c r="M88" s="284"/>
      <c r="N88" s="284"/>
      <c r="O88" s="284"/>
      <c r="P88" s="284"/>
      <c r="Q88" s="284"/>
      <c r="R88" s="284"/>
      <c r="S88" s="284"/>
      <c r="T88" s="284"/>
      <c r="U88" s="284"/>
      <c r="V88" s="284"/>
      <c r="W88" s="284"/>
      <c r="X88" s="284"/>
      <c r="Y88" s="284"/>
      <c r="Z88" s="284"/>
      <c r="AA88" s="284"/>
      <c r="AB88" s="284"/>
      <c r="AC88" s="284"/>
      <c r="AD88" s="284"/>
      <c r="AE88" s="284"/>
      <c r="AF88" s="284"/>
      <c r="AG88" s="284"/>
      <c r="AH88" s="284"/>
      <c r="AI88" s="284"/>
      <c r="AJ88" s="284"/>
      <c r="AK88" s="284"/>
      <c r="AL88" s="284"/>
      <c r="AM88" s="284"/>
      <c r="AN88" s="284"/>
      <c r="AO88" s="284"/>
      <c r="AP88" s="284"/>
      <c r="AQ88" s="284"/>
      <c r="AR88" s="284"/>
      <c r="AS88" s="284"/>
      <c r="AT88" s="284"/>
      <c r="AU88" s="284"/>
      <c r="AV88" s="284"/>
      <c r="AW88" s="284"/>
      <c r="AX88" s="284"/>
      <c r="AY88" s="284"/>
      <c r="AZ88" s="284"/>
      <c r="BA88" s="284"/>
      <c r="BB88" s="284"/>
      <c r="BC88" s="284"/>
      <c r="BD88" s="284"/>
      <c r="BE88" s="284"/>
      <c r="BF88" s="284"/>
      <c r="BG88" s="284"/>
      <c r="BH88" s="284"/>
      <c r="BI88" s="284"/>
      <c r="BJ88" s="284"/>
      <c r="BK88" s="284"/>
      <c r="BL88" s="284"/>
      <c r="BM88" s="284"/>
      <c r="BN88" s="284"/>
      <c r="BO88" s="284"/>
      <c r="BP88" s="284"/>
      <c r="BQ88" s="284"/>
      <c r="BR88" s="284"/>
      <c r="BS88" s="284"/>
      <c r="BT88" s="284"/>
      <c r="BU88" s="284"/>
      <c r="BV88" s="284"/>
      <c r="BW88" s="284"/>
      <c r="BX88" s="284"/>
      <c r="BY88" s="284"/>
      <c r="BZ88" s="284"/>
      <c r="CA88" s="284"/>
      <c r="CB88" s="284"/>
      <c r="CC88" s="284"/>
      <c r="CD88" s="284"/>
      <c r="CE88" s="284"/>
      <c r="CF88" s="284"/>
    </row>
    <row r="89" spans="1:84" ht="12.6" customHeight="1" x14ac:dyDescent="0.25">
      <c r="A89" s="310" t="s">
        <v>259</v>
      </c>
      <c r="B89" s="309" t="s">
        <v>256</v>
      </c>
      <c r="C89" s="354" t="s">
        <v>1275</v>
      </c>
      <c r="D89" s="328"/>
      <c r="E89" s="327"/>
      <c r="F89" s="284"/>
      <c r="G89" s="284"/>
      <c r="H89" s="284"/>
      <c r="I89" s="284"/>
      <c r="J89" s="284"/>
      <c r="K89" s="284"/>
      <c r="L89" s="284"/>
      <c r="M89" s="284"/>
      <c r="N89" s="284"/>
      <c r="O89" s="284"/>
      <c r="P89" s="284"/>
      <c r="Q89" s="284"/>
      <c r="R89" s="284"/>
      <c r="S89" s="284"/>
      <c r="T89" s="284"/>
      <c r="U89" s="284"/>
      <c r="V89" s="284"/>
      <c r="W89" s="284"/>
      <c r="X89" s="284"/>
      <c r="Y89" s="284"/>
      <c r="Z89" s="284"/>
      <c r="AA89" s="284"/>
      <c r="AB89" s="284"/>
      <c r="AC89" s="284"/>
      <c r="AD89" s="284"/>
      <c r="AE89" s="284"/>
      <c r="AF89" s="284"/>
      <c r="AG89" s="284"/>
      <c r="AH89" s="284"/>
      <c r="AI89" s="284"/>
      <c r="AJ89" s="284"/>
      <c r="AK89" s="284"/>
      <c r="AL89" s="284"/>
      <c r="AM89" s="284"/>
      <c r="AN89" s="284"/>
      <c r="AO89" s="284"/>
      <c r="AP89" s="284"/>
      <c r="AQ89" s="284"/>
      <c r="AR89" s="284"/>
      <c r="AS89" s="284"/>
      <c r="AT89" s="284"/>
      <c r="AU89" s="284"/>
      <c r="AV89" s="284"/>
      <c r="AW89" s="284"/>
      <c r="AX89" s="284"/>
      <c r="AY89" s="284"/>
      <c r="AZ89" s="284"/>
      <c r="BA89" s="284"/>
      <c r="BB89" s="284"/>
      <c r="BC89" s="284"/>
      <c r="BD89" s="284"/>
      <c r="BE89" s="284"/>
      <c r="BF89" s="284"/>
      <c r="BG89" s="284"/>
      <c r="BH89" s="284"/>
      <c r="BI89" s="284"/>
      <c r="BJ89" s="284"/>
      <c r="BK89" s="284"/>
      <c r="BL89" s="284"/>
      <c r="BM89" s="284"/>
      <c r="BN89" s="284"/>
      <c r="BO89" s="284"/>
      <c r="BP89" s="284"/>
      <c r="BQ89" s="284"/>
      <c r="BR89" s="284"/>
      <c r="BS89" s="284"/>
      <c r="BT89" s="284"/>
      <c r="BU89" s="284"/>
      <c r="BV89" s="284"/>
      <c r="BW89" s="284"/>
      <c r="BX89" s="284"/>
      <c r="BY89" s="284"/>
      <c r="BZ89" s="284"/>
      <c r="CA89" s="284"/>
      <c r="CB89" s="284"/>
      <c r="CC89" s="284"/>
      <c r="CD89" s="284"/>
      <c r="CE89" s="284"/>
      <c r="CF89" s="284"/>
    </row>
    <row r="90" spans="1:84" ht="12.6" customHeight="1" x14ac:dyDescent="0.25">
      <c r="A90" s="310" t="s">
        <v>260</v>
      </c>
      <c r="B90" s="309" t="s">
        <v>256</v>
      </c>
      <c r="C90" s="354" t="s">
        <v>1276</v>
      </c>
      <c r="D90" s="328"/>
      <c r="E90" s="327"/>
      <c r="F90" s="284"/>
      <c r="G90" s="284"/>
      <c r="H90" s="284"/>
      <c r="I90" s="284"/>
      <c r="J90" s="284"/>
      <c r="K90" s="284"/>
      <c r="L90" s="284"/>
      <c r="M90" s="284"/>
      <c r="N90" s="284"/>
      <c r="O90" s="284"/>
      <c r="P90" s="284"/>
      <c r="Q90" s="284"/>
      <c r="R90" s="284"/>
      <c r="S90" s="284"/>
      <c r="T90" s="284"/>
      <c r="U90" s="284"/>
      <c r="V90" s="284"/>
      <c r="W90" s="284"/>
      <c r="X90" s="284"/>
      <c r="Y90" s="284"/>
      <c r="Z90" s="284"/>
      <c r="AA90" s="284"/>
      <c r="AB90" s="284"/>
      <c r="AC90" s="284"/>
      <c r="AD90" s="284"/>
      <c r="AE90" s="284"/>
      <c r="AF90" s="284"/>
      <c r="AG90" s="284"/>
      <c r="AH90" s="284"/>
      <c r="AI90" s="284"/>
      <c r="AJ90" s="284"/>
      <c r="AK90" s="284"/>
      <c r="AL90" s="284"/>
      <c r="AM90" s="284"/>
      <c r="AN90" s="284"/>
      <c r="AO90" s="284"/>
      <c r="AP90" s="284"/>
      <c r="AQ90" s="284"/>
      <c r="AR90" s="284"/>
      <c r="AS90" s="284"/>
      <c r="AT90" s="284"/>
      <c r="AU90" s="284"/>
      <c r="AV90" s="284"/>
      <c r="AW90" s="284"/>
      <c r="AX90" s="284"/>
      <c r="AY90" s="284"/>
      <c r="AZ90" s="284"/>
      <c r="BA90" s="284"/>
      <c r="BB90" s="284"/>
      <c r="BC90" s="284"/>
      <c r="BD90" s="284"/>
      <c r="BE90" s="284"/>
      <c r="BF90" s="284"/>
      <c r="BG90" s="284"/>
      <c r="BH90" s="284"/>
      <c r="BI90" s="284"/>
      <c r="BJ90" s="284"/>
      <c r="BK90" s="284"/>
      <c r="BL90" s="284"/>
      <c r="BM90" s="284"/>
      <c r="BN90" s="284"/>
      <c r="BO90" s="284"/>
      <c r="BP90" s="284"/>
      <c r="BQ90" s="284"/>
      <c r="BR90" s="284"/>
      <c r="BS90" s="284"/>
      <c r="BT90" s="284"/>
      <c r="BU90" s="284"/>
      <c r="BV90" s="284"/>
      <c r="BW90" s="284"/>
      <c r="BX90" s="284"/>
      <c r="BY90" s="284"/>
      <c r="BZ90" s="284"/>
      <c r="CA90" s="284"/>
      <c r="CB90" s="284"/>
      <c r="CC90" s="284"/>
      <c r="CD90" s="284"/>
      <c r="CE90" s="284"/>
      <c r="CF90" s="284"/>
    </row>
    <row r="91" spans="1:84" ht="12.6" customHeight="1" x14ac:dyDescent="0.25">
      <c r="A91" s="310" t="s">
        <v>261</v>
      </c>
      <c r="B91" s="309" t="s">
        <v>256</v>
      </c>
      <c r="C91" s="354" t="s">
        <v>1277</v>
      </c>
      <c r="D91" s="328"/>
      <c r="E91" s="327"/>
      <c r="F91" s="284"/>
      <c r="G91" s="284"/>
      <c r="H91" s="284"/>
      <c r="I91" s="284"/>
      <c r="J91" s="284"/>
      <c r="K91" s="284"/>
      <c r="L91" s="284"/>
      <c r="M91" s="284"/>
      <c r="N91" s="284"/>
      <c r="O91" s="284"/>
      <c r="P91" s="284"/>
      <c r="Q91" s="284"/>
      <c r="R91" s="284"/>
      <c r="S91" s="284"/>
      <c r="T91" s="284"/>
      <c r="U91" s="284"/>
      <c r="V91" s="284"/>
      <c r="W91" s="284"/>
      <c r="X91" s="284"/>
      <c r="Y91" s="284"/>
      <c r="Z91" s="284"/>
      <c r="AA91" s="284"/>
      <c r="AB91" s="284"/>
      <c r="AC91" s="284"/>
      <c r="AD91" s="284"/>
      <c r="AE91" s="284"/>
      <c r="AF91" s="284"/>
      <c r="AG91" s="284"/>
      <c r="AH91" s="284"/>
      <c r="AI91" s="284"/>
      <c r="AJ91" s="284"/>
      <c r="AK91" s="284"/>
      <c r="AL91" s="284"/>
      <c r="AM91" s="284"/>
      <c r="AN91" s="284"/>
      <c r="AO91" s="284"/>
      <c r="AP91" s="284"/>
      <c r="AQ91" s="284"/>
      <c r="AR91" s="284"/>
      <c r="AS91" s="284"/>
      <c r="AT91" s="284"/>
      <c r="AU91" s="284"/>
      <c r="AV91" s="284"/>
      <c r="AW91" s="284"/>
      <c r="AX91" s="284"/>
      <c r="AY91" s="284"/>
      <c r="AZ91" s="284"/>
      <c r="BA91" s="284"/>
      <c r="BB91" s="284"/>
      <c r="BC91" s="284"/>
      <c r="BD91" s="284"/>
      <c r="BE91" s="284"/>
      <c r="BF91" s="284"/>
      <c r="BG91" s="284"/>
      <c r="BH91" s="284"/>
      <c r="BI91" s="284"/>
      <c r="BJ91" s="284"/>
      <c r="BK91" s="284"/>
      <c r="BL91" s="284"/>
      <c r="BM91" s="284"/>
      <c r="BN91" s="284"/>
      <c r="BO91" s="284"/>
      <c r="BP91" s="284"/>
      <c r="BQ91" s="284"/>
      <c r="BR91" s="284"/>
      <c r="BS91" s="284"/>
      <c r="BT91" s="284"/>
      <c r="BU91" s="284"/>
      <c r="BV91" s="284"/>
      <c r="BW91" s="284"/>
      <c r="BX91" s="284"/>
      <c r="BY91" s="284"/>
      <c r="BZ91" s="284"/>
      <c r="CA91" s="284"/>
      <c r="CB91" s="284"/>
      <c r="CC91" s="284"/>
      <c r="CD91" s="284"/>
      <c r="CE91" s="284"/>
      <c r="CF91" s="284"/>
    </row>
    <row r="92" spans="1:84" ht="12.6" customHeight="1" x14ac:dyDescent="0.25">
      <c r="A92" s="310" t="s">
        <v>262</v>
      </c>
      <c r="B92" s="309" t="s">
        <v>256</v>
      </c>
      <c r="C92" s="354" t="s">
        <v>1278</v>
      </c>
      <c r="D92" s="328"/>
      <c r="E92" s="327"/>
      <c r="F92" s="284"/>
      <c r="G92" s="284"/>
      <c r="H92" s="284"/>
      <c r="I92" s="284"/>
      <c r="J92" s="284"/>
      <c r="K92" s="284"/>
      <c r="L92" s="284"/>
      <c r="M92" s="284"/>
      <c r="N92" s="284"/>
      <c r="O92" s="284"/>
      <c r="P92" s="284"/>
      <c r="Q92" s="284"/>
      <c r="R92" s="284"/>
      <c r="S92" s="284"/>
      <c r="T92" s="284"/>
      <c r="U92" s="284"/>
      <c r="V92" s="284"/>
      <c r="W92" s="284"/>
      <c r="X92" s="284"/>
      <c r="Y92" s="284"/>
      <c r="Z92" s="284"/>
      <c r="AA92" s="284"/>
      <c r="AB92" s="284"/>
      <c r="AC92" s="284"/>
      <c r="AD92" s="284"/>
      <c r="AE92" s="284"/>
      <c r="AF92" s="284"/>
      <c r="AG92" s="284"/>
      <c r="AH92" s="284"/>
      <c r="AI92" s="284"/>
      <c r="AJ92" s="284"/>
      <c r="AK92" s="284"/>
      <c r="AL92" s="284"/>
      <c r="AM92" s="284"/>
      <c r="AN92" s="284"/>
      <c r="AO92" s="284"/>
      <c r="AP92" s="284"/>
      <c r="AQ92" s="284"/>
      <c r="AR92" s="284"/>
      <c r="AS92" s="284"/>
      <c r="AT92" s="284"/>
      <c r="AU92" s="284"/>
      <c r="AV92" s="284"/>
      <c r="AW92" s="284"/>
      <c r="AX92" s="284"/>
      <c r="AY92" s="284"/>
      <c r="AZ92" s="284"/>
      <c r="BA92" s="284"/>
      <c r="BB92" s="284"/>
      <c r="BC92" s="284"/>
      <c r="BD92" s="284"/>
      <c r="BE92" s="284"/>
      <c r="BF92" s="284"/>
      <c r="BG92" s="284"/>
      <c r="BH92" s="284"/>
      <c r="BI92" s="284"/>
      <c r="BJ92" s="284"/>
      <c r="BK92" s="284"/>
      <c r="BL92" s="284"/>
      <c r="BM92" s="284"/>
      <c r="BN92" s="284"/>
      <c r="BO92" s="284"/>
      <c r="BP92" s="284"/>
      <c r="BQ92" s="284"/>
      <c r="BR92" s="284"/>
      <c r="BS92" s="284"/>
      <c r="BT92" s="284"/>
      <c r="BU92" s="284"/>
      <c r="BV92" s="284"/>
      <c r="BW92" s="284"/>
      <c r="BX92" s="284"/>
      <c r="BY92" s="284"/>
      <c r="BZ92" s="284"/>
      <c r="CA92" s="284"/>
      <c r="CB92" s="284"/>
      <c r="CC92" s="284"/>
      <c r="CD92" s="284"/>
      <c r="CE92" s="284"/>
      <c r="CF92" s="284"/>
    </row>
    <row r="93" spans="1:84" ht="12.6" customHeight="1" x14ac:dyDescent="0.25">
      <c r="A93" s="310" t="s">
        <v>263</v>
      </c>
      <c r="B93" s="309" t="s">
        <v>256</v>
      </c>
      <c r="C93" s="353" t="s">
        <v>1279</v>
      </c>
      <c r="D93" s="338"/>
      <c r="E93" s="312"/>
      <c r="F93" s="284"/>
      <c r="G93" s="284"/>
      <c r="H93" s="284"/>
      <c r="I93" s="284"/>
      <c r="J93" s="284"/>
      <c r="K93" s="284"/>
      <c r="L93" s="284"/>
      <c r="M93" s="284"/>
      <c r="N93" s="284"/>
      <c r="O93" s="284"/>
      <c r="P93" s="284"/>
      <c r="Q93" s="284"/>
      <c r="R93" s="284"/>
      <c r="S93" s="284"/>
      <c r="T93" s="284"/>
      <c r="U93" s="284"/>
      <c r="V93" s="284"/>
      <c r="W93" s="284"/>
      <c r="X93" s="284"/>
      <c r="Y93" s="284"/>
      <c r="Z93" s="284"/>
      <c r="AA93" s="284"/>
      <c r="AB93" s="284"/>
      <c r="AC93" s="284"/>
      <c r="AD93" s="284"/>
      <c r="AE93" s="284"/>
      <c r="AF93" s="284"/>
      <c r="AG93" s="284"/>
      <c r="AH93" s="284"/>
      <c r="AI93" s="284"/>
      <c r="AJ93" s="284"/>
      <c r="AK93" s="284"/>
      <c r="AL93" s="284"/>
      <c r="AM93" s="284"/>
      <c r="AN93" s="284"/>
      <c r="AO93" s="284"/>
      <c r="AP93" s="284"/>
      <c r="AQ93" s="284"/>
      <c r="AR93" s="284"/>
      <c r="AS93" s="284"/>
      <c r="AT93" s="284"/>
      <c r="AU93" s="284"/>
      <c r="AV93" s="284"/>
      <c r="AW93" s="284"/>
      <c r="AX93" s="284"/>
      <c r="AY93" s="284"/>
      <c r="AZ93" s="284"/>
      <c r="BA93" s="284"/>
      <c r="BB93" s="284"/>
      <c r="BC93" s="284"/>
      <c r="BD93" s="284"/>
      <c r="BE93" s="284"/>
      <c r="BF93" s="284"/>
      <c r="BG93" s="284"/>
      <c r="BH93" s="284"/>
      <c r="BI93" s="284"/>
      <c r="BJ93" s="284"/>
      <c r="BK93" s="284"/>
      <c r="BL93" s="284"/>
      <c r="BM93" s="284"/>
      <c r="BN93" s="284"/>
      <c r="BO93" s="284"/>
      <c r="BP93" s="284"/>
      <c r="BQ93" s="284"/>
      <c r="BR93" s="284"/>
      <c r="BS93" s="284"/>
      <c r="BT93" s="284"/>
      <c r="BU93" s="284"/>
      <c r="BV93" s="284"/>
      <c r="BW93" s="284"/>
      <c r="BX93" s="284"/>
      <c r="BY93" s="284"/>
      <c r="BZ93" s="284"/>
      <c r="CA93" s="284"/>
      <c r="CB93" s="284"/>
      <c r="CC93" s="284"/>
      <c r="CD93" s="284"/>
      <c r="CE93" s="284"/>
      <c r="CF93" s="284"/>
    </row>
    <row r="94" spans="1:84" ht="12.6" customHeight="1" x14ac:dyDescent="0.25">
      <c r="A94" s="310" t="s">
        <v>264</v>
      </c>
      <c r="B94" s="309" t="s">
        <v>256</v>
      </c>
      <c r="C94" s="356" t="s">
        <v>1280</v>
      </c>
      <c r="D94" s="338"/>
      <c r="E94" s="312"/>
      <c r="F94" s="284"/>
      <c r="G94" s="284"/>
      <c r="H94" s="284"/>
      <c r="I94" s="284"/>
      <c r="J94" s="284"/>
      <c r="K94" s="284"/>
      <c r="L94" s="284"/>
      <c r="M94" s="284"/>
      <c r="N94" s="284"/>
      <c r="O94" s="284"/>
      <c r="P94" s="284"/>
      <c r="Q94" s="284"/>
      <c r="R94" s="284"/>
      <c r="S94" s="284"/>
      <c r="T94" s="284"/>
      <c r="U94" s="284"/>
      <c r="V94" s="284"/>
      <c r="W94" s="284"/>
      <c r="X94" s="284"/>
      <c r="Y94" s="284"/>
      <c r="Z94" s="284"/>
      <c r="AA94" s="284"/>
      <c r="AB94" s="284"/>
      <c r="AC94" s="284"/>
      <c r="AD94" s="284"/>
      <c r="AE94" s="284"/>
      <c r="AF94" s="284"/>
      <c r="AG94" s="284"/>
      <c r="AH94" s="284"/>
      <c r="AI94" s="284"/>
      <c r="AJ94" s="284"/>
      <c r="AK94" s="284"/>
      <c r="AL94" s="284"/>
      <c r="AM94" s="284"/>
      <c r="AN94" s="284"/>
      <c r="AO94" s="284"/>
      <c r="AP94" s="284"/>
      <c r="AQ94" s="284"/>
      <c r="AR94" s="284"/>
      <c r="AS94" s="284"/>
      <c r="AT94" s="284"/>
      <c r="AU94" s="284"/>
      <c r="AV94" s="284"/>
      <c r="AW94" s="284"/>
      <c r="AX94" s="284"/>
      <c r="AY94" s="284"/>
      <c r="AZ94" s="284"/>
      <c r="BA94" s="284"/>
      <c r="BB94" s="284"/>
      <c r="BC94" s="284"/>
      <c r="BD94" s="284"/>
      <c r="BE94" s="284"/>
      <c r="BF94" s="284"/>
      <c r="BG94" s="284"/>
      <c r="BH94" s="284"/>
      <c r="BI94" s="284"/>
      <c r="BJ94" s="284"/>
      <c r="BK94" s="284"/>
      <c r="BL94" s="284"/>
      <c r="BM94" s="284"/>
      <c r="BN94" s="284"/>
      <c r="BO94" s="284"/>
      <c r="BP94" s="284"/>
      <c r="BQ94" s="284"/>
      <c r="BR94" s="284"/>
      <c r="BS94" s="284"/>
      <c r="BT94" s="284"/>
      <c r="BU94" s="284"/>
      <c r="BV94" s="284"/>
      <c r="BW94" s="284"/>
      <c r="BX94" s="284"/>
      <c r="BY94" s="284"/>
      <c r="BZ94" s="284"/>
      <c r="CA94" s="284"/>
      <c r="CB94" s="284"/>
      <c r="CC94" s="284"/>
      <c r="CD94" s="284"/>
      <c r="CE94" s="284"/>
      <c r="CF94" s="284"/>
    </row>
    <row r="95" spans="1:84" ht="12.6" customHeight="1" x14ac:dyDescent="0.25">
      <c r="A95" s="310"/>
      <c r="B95" s="310"/>
      <c r="C95" s="322"/>
      <c r="D95" s="312"/>
      <c r="E95" s="312"/>
      <c r="F95" s="284"/>
      <c r="G95" s="284"/>
      <c r="H95" s="284"/>
      <c r="I95" s="284"/>
      <c r="J95" s="284"/>
      <c r="K95" s="284"/>
      <c r="L95" s="284"/>
      <c r="M95" s="284"/>
      <c r="N95" s="284"/>
      <c r="O95" s="284"/>
      <c r="P95" s="284"/>
      <c r="Q95" s="284"/>
      <c r="R95" s="284"/>
      <c r="S95" s="284"/>
      <c r="T95" s="284"/>
      <c r="U95" s="284"/>
      <c r="V95" s="284"/>
      <c r="W95" s="284"/>
      <c r="X95" s="284"/>
      <c r="Y95" s="284"/>
      <c r="Z95" s="284"/>
      <c r="AA95" s="284"/>
      <c r="AB95" s="284"/>
      <c r="AC95" s="284"/>
      <c r="AD95" s="284"/>
      <c r="AE95" s="284"/>
      <c r="AF95" s="284"/>
      <c r="AG95" s="284"/>
      <c r="AH95" s="284"/>
      <c r="AI95" s="284"/>
      <c r="AJ95" s="284"/>
      <c r="AK95" s="284"/>
      <c r="AL95" s="284"/>
      <c r="AM95" s="284"/>
      <c r="AN95" s="284"/>
      <c r="AO95" s="284"/>
      <c r="AP95" s="284"/>
      <c r="AQ95" s="284"/>
      <c r="AR95" s="284"/>
      <c r="AS95" s="284"/>
      <c r="AT95" s="284"/>
      <c r="AU95" s="284"/>
      <c r="AV95" s="284"/>
      <c r="AW95" s="284"/>
      <c r="AX95" s="284"/>
      <c r="AY95" s="284"/>
      <c r="AZ95" s="284"/>
      <c r="BA95" s="284"/>
      <c r="BB95" s="284"/>
      <c r="BC95" s="284"/>
      <c r="BD95" s="284"/>
      <c r="BE95" s="284"/>
      <c r="BF95" s="284"/>
      <c r="BG95" s="284"/>
      <c r="BH95" s="284"/>
      <c r="BI95" s="284"/>
      <c r="BJ95" s="284"/>
      <c r="BK95" s="284"/>
      <c r="BL95" s="284"/>
      <c r="BM95" s="284"/>
      <c r="BN95" s="284"/>
      <c r="BO95" s="284"/>
      <c r="BP95" s="284"/>
      <c r="BQ95" s="284"/>
      <c r="BR95" s="284"/>
      <c r="BS95" s="284"/>
      <c r="BT95" s="284"/>
      <c r="BU95" s="284"/>
      <c r="BV95" s="284"/>
      <c r="BW95" s="284"/>
      <c r="BX95" s="284"/>
      <c r="BY95" s="284"/>
      <c r="BZ95" s="284"/>
      <c r="CA95" s="284"/>
      <c r="CB95" s="284"/>
      <c r="CC95" s="284"/>
      <c r="CD95" s="284"/>
      <c r="CE95" s="284"/>
      <c r="CF95" s="284"/>
    </row>
    <row r="96" spans="1:84" ht="12.6" customHeight="1" x14ac:dyDescent="0.25">
      <c r="A96" s="330" t="s">
        <v>265</v>
      </c>
      <c r="B96" s="330"/>
      <c r="C96" s="330"/>
      <c r="D96" s="330"/>
      <c r="E96" s="330"/>
      <c r="F96" s="284"/>
      <c r="G96" s="284"/>
      <c r="H96" s="284"/>
      <c r="I96" s="284"/>
      <c r="J96" s="284"/>
      <c r="K96" s="284"/>
      <c r="L96" s="284"/>
      <c r="M96" s="284"/>
      <c r="N96" s="284"/>
      <c r="O96" s="284"/>
      <c r="P96" s="284"/>
      <c r="Q96" s="284"/>
      <c r="R96" s="284"/>
      <c r="S96" s="284"/>
      <c r="T96" s="284"/>
      <c r="U96" s="284"/>
      <c r="V96" s="284"/>
      <c r="W96" s="284"/>
      <c r="X96" s="284"/>
      <c r="Y96" s="284"/>
      <c r="Z96" s="284"/>
      <c r="AA96" s="284"/>
      <c r="AB96" s="284"/>
      <c r="AC96" s="284"/>
      <c r="AD96" s="284"/>
      <c r="AE96" s="284"/>
      <c r="AF96" s="284"/>
      <c r="AG96" s="284"/>
      <c r="AH96" s="284"/>
      <c r="AI96" s="284"/>
      <c r="AJ96" s="284"/>
      <c r="AK96" s="284"/>
      <c r="AL96" s="284"/>
      <c r="AM96" s="284"/>
      <c r="AN96" s="284"/>
      <c r="AO96" s="284"/>
      <c r="AP96" s="284"/>
      <c r="AQ96" s="284"/>
      <c r="AR96" s="284"/>
      <c r="AS96" s="284"/>
      <c r="AT96" s="284"/>
      <c r="AU96" s="284"/>
      <c r="AV96" s="284"/>
      <c r="AW96" s="284"/>
      <c r="AX96" s="284"/>
      <c r="AY96" s="284"/>
      <c r="AZ96" s="284"/>
      <c r="BA96" s="284"/>
      <c r="BB96" s="284"/>
      <c r="BC96" s="284"/>
      <c r="BD96" s="284"/>
      <c r="BE96" s="284"/>
      <c r="BF96" s="284"/>
      <c r="BG96" s="284"/>
      <c r="BH96" s="284"/>
      <c r="BI96" s="284"/>
      <c r="BJ96" s="284"/>
      <c r="BK96" s="284"/>
      <c r="BL96" s="284"/>
      <c r="BM96" s="284"/>
      <c r="BN96" s="284"/>
      <c r="BO96" s="284"/>
      <c r="BP96" s="284"/>
      <c r="BQ96" s="284"/>
      <c r="BR96" s="284"/>
      <c r="BS96" s="284"/>
      <c r="BT96" s="284"/>
      <c r="BU96" s="284"/>
      <c r="BV96" s="284"/>
      <c r="BW96" s="284"/>
      <c r="BX96" s="284"/>
      <c r="BY96" s="284"/>
      <c r="BZ96" s="284"/>
      <c r="CA96" s="284"/>
      <c r="CB96" s="284"/>
      <c r="CC96" s="284"/>
      <c r="CD96" s="284"/>
      <c r="CE96" s="284"/>
      <c r="CF96" s="284"/>
    </row>
    <row r="97" spans="1:84" ht="12.6" customHeight="1" x14ac:dyDescent="0.25">
      <c r="A97" s="339" t="s">
        <v>266</v>
      </c>
      <c r="B97" s="339"/>
      <c r="C97" s="339"/>
      <c r="D97" s="339"/>
      <c r="E97" s="339"/>
      <c r="F97" s="284"/>
      <c r="G97" s="284"/>
      <c r="H97" s="284"/>
      <c r="I97" s="284"/>
      <c r="J97" s="284"/>
      <c r="K97" s="284"/>
      <c r="L97" s="284"/>
      <c r="M97" s="284"/>
      <c r="N97" s="284"/>
      <c r="O97" s="284"/>
      <c r="P97" s="284"/>
      <c r="Q97" s="284"/>
      <c r="R97" s="284"/>
      <c r="S97" s="284"/>
      <c r="T97" s="284"/>
      <c r="U97" s="284"/>
      <c r="V97" s="284"/>
      <c r="W97" s="284"/>
      <c r="X97" s="284"/>
      <c r="Y97" s="284"/>
      <c r="Z97" s="284"/>
      <c r="AA97" s="284"/>
      <c r="AB97" s="284"/>
      <c r="AC97" s="284"/>
      <c r="AD97" s="284"/>
      <c r="AE97" s="284"/>
      <c r="AF97" s="284"/>
      <c r="AG97" s="284"/>
      <c r="AH97" s="284"/>
      <c r="AI97" s="284"/>
      <c r="AJ97" s="284"/>
      <c r="AK97" s="284"/>
      <c r="AL97" s="284"/>
      <c r="AM97" s="284"/>
      <c r="AN97" s="284"/>
      <c r="AO97" s="284"/>
      <c r="AP97" s="284"/>
      <c r="AQ97" s="284"/>
      <c r="AR97" s="284"/>
      <c r="AS97" s="284"/>
      <c r="AT97" s="284"/>
      <c r="AU97" s="284"/>
      <c r="AV97" s="284"/>
      <c r="AW97" s="284"/>
      <c r="AX97" s="284"/>
      <c r="AY97" s="284"/>
      <c r="AZ97" s="284"/>
      <c r="BA97" s="284"/>
      <c r="BB97" s="284"/>
      <c r="BC97" s="284"/>
      <c r="BD97" s="284"/>
      <c r="BE97" s="284"/>
      <c r="BF97" s="284"/>
      <c r="BG97" s="284"/>
      <c r="BH97" s="284"/>
      <c r="BI97" s="284"/>
      <c r="BJ97" s="284"/>
      <c r="BK97" s="284"/>
      <c r="BL97" s="284"/>
      <c r="BM97" s="284"/>
      <c r="BN97" s="284"/>
      <c r="BO97" s="284"/>
      <c r="BP97" s="284"/>
      <c r="BQ97" s="284"/>
      <c r="BR97" s="284"/>
      <c r="BS97" s="284"/>
      <c r="BT97" s="284"/>
      <c r="BU97" s="284"/>
      <c r="BV97" s="284"/>
      <c r="BW97" s="284"/>
      <c r="BX97" s="284"/>
      <c r="BY97" s="284"/>
      <c r="BZ97" s="284"/>
      <c r="CA97" s="284"/>
      <c r="CB97" s="284"/>
      <c r="CC97" s="284"/>
      <c r="CD97" s="284"/>
      <c r="CE97" s="284"/>
      <c r="CF97" s="284"/>
    </row>
    <row r="98" spans="1:84" ht="12.6" customHeight="1" x14ac:dyDescent="0.25">
      <c r="A98" s="310" t="s">
        <v>267</v>
      </c>
      <c r="B98" s="309" t="s">
        <v>256</v>
      </c>
      <c r="C98" s="320"/>
      <c r="D98" s="312"/>
      <c r="E98" s="312"/>
      <c r="F98" s="284"/>
      <c r="G98" s="284"/>
      <c r="H98" s="284"/>
      <c r="I98" s="284"/>
      <c r="J98" s="284"/>
      <c r="K98" s="284"/>
      <c r="L98" s="284"/>
      <c r="M98" s="284"/>
      <c r="N98" s="284"/>
      <c r="O98" s="284"/>
      <c r="P98" s="284"/>
      <c r="Q98" s="284"/>
      <c r="R98" s="284"/>
      <c r="S98" s="284"/>
      <c r="T98" s="284"/>
      <c r="U98" s="284"/>
      <c r="V98" s="284"/>
      <c r="W98" s="284"/>
      <c r="X98" s="284"/>
      <c r="Y98" s="284"/>
      <c r="Z98" s="284"/>
      <c r="AA98" s="284"/>
      <c r="AB98" s="284"/>
      <c r="AC98" s="284"/>
      <c r="AD98" s="284"/>
      <c r="AE98" s="284"/>
      <c r="AF98" s="284"/>
      <c r="AG98" s="284"/>
      <c r="AH98" s="284"/>
      <c r="AI98" s="284"/>
      <c r="AJ98" s="284"/>
      <c r="AK98" s="284"/>
      <c r="AL98" s="284"/>
      <c r="AM98" s="284"/>
      <c r="AN98" s="284"/>
      <c r="AO98" s="284"/>
      <c r="AP98" s="284"/>
      <c r="AQ98" s="284"/>
      <c r="AR98" s="284"/>
      <c r="AS98" s="284"/>
      <c r="AT98" s="284"/>
      <c r="AU98" s="284"/>
      <c r="AV98" s="284"/>
      <c r="AW98" s="284"/>
      <c r="AX98" s="284"/>
      <c r="AY98" s="284"/>
      <c r="AZ98" s="284"/>
      <c r="BA98" s="284"/>
      <c r="BB98" s="284"/>
      <c r="BC98" s="284"/>
      <c r="BD98" s="284"/>
      <c r="BE98" s="284"/>
      <c r="BF98" s="284"/>
      <c r="BG98" s="284"/>
      <c r="BH98" s="284"/>
      <c r="BI98" s="284"/>
      <c r="BJ98" s="284"/>
      <c r="BK98" s="284"/>
      <c r="BL98" s="284"/>
      <c r="BM98" s="284"/>
      <c r="BN98" s="284"/>
      <c r="BO98" s="284"/>
      <c r="BP98" s="284"/>
      <c r="BQ98" s="284"/>
      <c r="BR98" s="284"/>
      <c r="BS98" s="284"/>
      <c r="BT98" s="284"/>
      <c r="BU98" s="284"/>
      <c r="BV98" s="284"/>
      <c r="BW98" s="284"/>
      <c r="BX98" s="284"/>
      <c r="BY98" s="284"/>
      <c r="BZ98" s="284"/>
      <c r="CA98" s="284"/>
      <c r="CB98" s="284"/>
      <c r="CC98" s="284"/>
      <c r="CD98" s="284"/>
      <c r="CE98" s="284"/>
      <c r="CF98" s="284"/>
    </row>
    <row r="99" spans="1:84" ht="12.6" customHeight="1" x14ac:dyDescent="0.25">
      <c r="A99" s="310" t="s">
        <v>259</v>
      </c>
      <c r="B99" s="309" t="s">
        <v>256</v>
      </c>
      <c r="C99" s="320"/>
      <c r="D99" s="312"/>
      <c r="E99" s="312"/>
      <c r="F99" s="284"/>
      <c r="G99" s="284"/>
      <c r="H99" s="284"/>
      <c r="I99" s="284"/>
      <c r="J99" s="284"/>
      <c r="K99" s="284"/>
      <c r="L99" s="284"/>
      <c r="M99" s="284"/>
      <c r="N99" s="284"/>
      <c r="O99" s="284"/>
      <c r="P99" s="284"/>
      <c r="Q99" s="284"/>
      <c r="R99" s="284"/>
      <c r="S99" s="284"/>
      <c r="T99" s="284"/>
      <c r="U99" s="284"/>
      <c r="V99" s="284"/>
      <c r="W99" s="284"/>
      <c r="X99" s="284"/>
      <c r="Y99" s="284"/>
      <c r="Z99" s="284"/>
      <c r="AA99" s="284"/>
      <c r="AB99" s="284"/>
      <c r="AC99" s="284"/>
      <c r="AD99" s="284"/>
      <c r="AE99" s="284"/>
      <c r="AF99" s="284"/>
      <c r="AG99" s="284"/>
      <c r="AH99" s="284"/>
      <c r="AI99" s="284"/>
      <c r="AJ99" s="284"/>
      <c r="AK99" s="284"/>
      <c r="AL99" s="284"/>
      <c r="AM99" s="284"/>
      <c r="AN99" s="284"/>
      <c r="AO99" s="284"/>
      <c r="AP99" s="284"/>
      <c r="AQ99" s="284"/>
      <c r="AR99" s="284"/>
      <c r="AS99" s="284"/>
      <c r="AT99" s="284"/>
      <c r="AU99" s="284"/>
      <c r="AV99" s="284"/>
      <c r="AW99" s="284"/>
      <c r="AX99" s="284"/>
      <c r="AY99" s="284"/>
      <c r="AZ99" s="284"/>
      <c r="BA99" s="284"/>
      <c r="BB99" s="284"/>
      <c r="BC99" s="284"/>
      <c r="BD99" s="284"/>
      <c r="BE99" s="284"/>
      <c r="BF99" s="284"/>
      <c r="BG99" s="284"/>
      <c r="BH99" s="284"/>
      <c r="BI99" s="284"/>
      <c r="BJ99" s="284"/>
      <c r="BK99" s="284"/>
      <c r="BL99" s="284"/>
      <c r="BM99" s="284"/>
      <c r="BN99" s="284"/>
      <c r="BO99" s="284"/>
      <c r="BP99" s="284"/>
      <c r="BQ99" s="284"/>
      <c r="BR99" s="284"/>
      <c r="BS99" s="284"/>
      <c r="BT99" s="284"/>
      <c r="BU99" s="284"/>
      <c r="BV99" s="284"/>
      <c r="BW99" s="284"/>
      <c r="BX99" s="284"/>
      <c r="BY99" s="284"/>
      <c r="BZ99" s="284"/>
      <c r="CA99" s="284"/>
      <c r="CB99" s="284"/>
      <c r="CC99" s="284"/>
      <c r="CD99" s="284"/>
      <c r="CE99" s="284"/>
      <c r="CF99" s="284"/>
    </row>
    <row r="100" spans="1:84" ht="12.6" customHeight="1" x14ac:dyDescent="0.25">
      <c r="A100" s="310" t="s">
        <v>268</v>
      </c>
      <c r="B100" s="309" t="s">
        <v>256</v>
      </c>
      <c r="C100" s="320">
        <v>1</v>
      </c>
      <c r="D100" s="312"/>
      <c r="E100" s="312"/>
      <c r="F100" s="284"/>
      <c r="G100" s="284"/>
      <c r="H100" s="284"/>
      <c r="I100" s="284"/>
      <c r="J100" s="284"/>
      <c r="K100" s="284"/>
      <c r="L100" s="284"/>
      <c r="M100" s="284"/>
      <c r="N100" s="284"/>
      <c r="O100" s="284"/>
      <c r="P100" s="284"/>
      <c r="Q100" s="284"/>
      <c r="R100" s="284"/>
      <c r="S100" s="284"/>
      <c r="T100" s="284"/>
      <c r="U100" s="284"/>
      <c r="V100" s="284"/>
      <c r="W100" s="284"/>
      <c r="X100" s="284"/>
      <c r="Y100" s="284"/>
      <c r="Z100" s="284"/>
      <c r="AA100" s="284"/>
      <c r="AB100" s="284"/>
      <c r="AC100" s="284"/>
      <c r="AD100" s="284"/>
      <c r="AE100" s="284"/>
      <c r="AF100" s="284"/>
      <c r="AG100" s="284"/>
      <c r="AH100" s="284"/>
      <c r="AI100" s="284"/>
      <c r="AJ100" s="284"/>
      <c r="AK100" s="284"/>
      <c r="AL100" s="284"/>
      <c r="AM100" s="284"/>
      <c r="AN100" s="284"/>
      <c r="AO100" s="284"/>
      <c r="AP100" s="284"/>
      <c r="AQ100" s="284"/>
      <c r="AR100" s="284"/>
      <c r="AS100" s="284"/>
      <c r="AT100" s="284"/>
      <c r="AU100" s="284"/>
      <c r="AV100" s="284"/>
      <c r="AW100" s="284"/>
      <c r="AX100" s="284"/>
      <c r="AY100" s="284"/>
      <c r="AZ100" s="284"/>
      <c r="BA100" s="284"/>
      <c r="BB100" s="284"/>
      <c r="BC100" s="284"/>
      <c r="BD100" s="284"/>
      <c r="BE100" s="284"/>
      <c r="BF100" s="284"/>
      <c r="BG100" s="284"/>
      <c r="BH100" s="284"/>
      <c r="BI100" s="284"/>
      <c r="BJ100" s="284"/>
      <c r="BK100" s="284"/>
      <c r="BL100" s="284"/>
      <c r="BM100" s="284"/>
      <c r="BN100" s="284"/>
      <c r="BO100" s="284"/>
      <c r="BP100" s="284"/>
      <c r="BQ100" s="284"/>
      <c r="BR100" s="284"/>
      <c r="BS100" s="284"/>
      <c r="BT100" s="284"/>
      <c r="BU100" s="284"/>
      <c r="BV100" s="284"/>
      <c r="BW100" s="284"/>
      <c r="BX100" s="284"/>
      <c r="BY100" s="284"/>
      <c r="BZ100" s="284"/>
      <c r="CA100" s="284"/>
      <c r="CB100" s="284"/>
      <c r="CC100" s="284"/>
      <c r="CD100" s="284"/>
      <c r="CE100" s="284"/>
      <c r="CF100" s="284"/>
    </row>
    <row r="101" spans="1:84" ht="12.6" customHeight="1" x14ac:dyDescent="0.25">
      <c r="A101" s="339" t="s">
        <v>269</v>
      </c>
      <c r="B101" s="339"/>
      <c r="C101" s="339"/>
      <c r="D101" s="339"/>
      <c r="E101" s="339"/>
      <c r="F101" s="284"/>
      <c r="G101" s="284"/>
      <c r="H101" s="284"/>
      <c r="I101" s="284"/>
      <c r="J101" s="284"/>
      <c r="K101" s="284"/>
      <c r="L101" s="284"/>
      <c r="M101" s="284"/>
      <c r="N101" s="284"/>
      <c r="O101" s="284"/>
      <c r="P101" s="284"/>
      <c r="Q101" s="284"/>
      <c r="R101" s="284"/>
      <c r="S101" s="284"/>
      <c r="T101" s="284"/>
      <c r="U101" s="284"/>
      <c r="V101" s="284"/>
      <c r="W101" s="284"/>
      <c r="X101" s="284"/>
      <c r="Y101" s="284"/>
      <c r="Z101" s="284"/>
      <c r="AA101" s="284"/>
      <c r="AB101" s="284"/>
      <c r="AC101" s="284"/>
      <c r="AD101" s="284"/>
      <c r="AE101" s="284"/>
      <c r="AF101" s="284"/>
      <c r="AG101" s="284"/>
      <c r="AH101" s="284"/>
      <c r="AI101" s="284"/>
      <c r="AJ101" s="284"/>
      <c r="AK101" s="284"/>
      <c r="AL101" s="284"/>
      <c r="AM101" s="284"/>
      <c r="AN101" s="284"/>
      <c r="AO101" s="284"/>
      <c r="AP101" s="284"/>
      <c r="AQ101" s="284"/>
      <c r="AR101" s="284"/>
      <c r="AS101" s="284"/>
      <c r="AT101" s="284"/>
      <c r="AU101" s="284"/>
      <c r="AV101" s="284"/>
      <c r="AW101" s="284"/>
      <c r="AX101" s="284"/>
      <c r="AY101" s="284"/>
      <c r="AZ101" s="284"/>
      <c r="BA101" s="284"/>
      <c r="BB101" s="284"/>
      <c r="BC101" s="284"/>
      <c r="BD101" s="284"/>
      <c r="BE101" s="284"/>
      <c r="BF101" s="284"/>
      <c r="BG101" s="284"/>
      <c r="BH101" s="284"/>
      <c r="BI101" s="284"/>
      <c r="BJ101" s="284"/>
      <c r="BK101" s="284"/>
      <c r="BL101" s="284"/>
      <c r="BM101" s="284"/>
      <c r="BN101" s="284"/>
      <c r="BO101" s="284"/>
      <c r="BP101" s="284"/>
      <c r="BQ101" s="284"/>
      <c r="BR101" s="284"/>
      <c r="BS101" s="284"/>
      <c r="BT101" s="284"/>
      <c r="BU101" s="284"/>
      <c r="BV101" s="284"/>
      <c r="BW101" s="284"/>
      <c r="BX101" s="284"/>
      <c r="BY101" s="284"/>
      <c r="BZ101" s="284"/>
      <c r="CA101" s="284"/>
      <c r="CB101" s="284"/>
      <c r="CC101" s="284"/>
      <c r="CD101" s="284"/>
      <c r="CE101" s="284"/>
      <c r="CF101" s="284"/>
    </row>
    <row r="102" spans="1:84" ht="12.6" customHeight="1" x14ac:dyDescent="0.25">
      <c r="A102" s="310" t="s">
        <v>270</v>
      </c>
      <c r="B102" s="309" t="s">
        <v>256</v>
      </c>
      <c r="C102" s="320"/>
      <c r="D102" s="312"/>
      <c r="E102" s="312"/>
      <c r="F102" s="284"/>
      <c r="G102" s="284"/>
      <c r="H102" s="284"/>
      <c r="I102" s="284"/>
      <c r="J102" s="284"/>
      <c r="K102" s="284"/>
      <c r="L102" s="284"/>
      <c r="M102" s="284"/>
      <c r="N102" s="284"/>
      <c r="O102" s="284"/>
      <c r="P102" s="284"/>
      <c r="Q102" s="284"/>
      <c r="R102" s="284"/>
      <c r="S102" s="284"/>
      <c r="T102" s="284"/>
      <c r="U102" s="284"/>
      <c r="V102" s="284"/>
      <c r="W102" s="284"/>
      <c r="X102" s="284"/>
      <c r="Y102" s="284"/>
      <c r="Z102" s="284"/>
      <c r="AA102" s="284"/>
      <c r="AB102" s="284"/>
      <c r="AC102" s="284"/>
      <c r="AD102" s="284"/>
      <c r="AE102" s="284"/>
      <c r="AF102" s="284"/>
      <c r="AG102" s="284"/>
      <c r="AH102" s="284"/>
      <c r="AI102" s="284"/>
      <c r="AJ102" s="284"/>
      <c r="AK102" s="284"/>
      <c r="AL102" s="284"/>
      <c r="AM102" s="284"/>
      <c r="AN102" s="284"/>
      <c r="AO102" s="284"/>
      <c r="AP102" s="284"/>
      <c r="AQ102" s="284"/>
      <c r="AR102" s="284"/>
      <c r="AS102" s="284"/>
      <c r="AT102" s="284"/>
      <c r="AU102" s="284"/>
      <c r="AV102" s="284"/>
      <c r="AW102" s="284"/>
      <c r="AX102" s="284"/>
      <c r="AY102" s="284"/>
      <c r="AZ102" s="284"/>
      <c r="BA102" s="284"/>
      <c r="BB102" s="284"/>
      <c r="BC102" s="284"/>
      <c r="BD102" s="284"/>
      <c r="BE102" s="284"/>
      <c r="BF102" s="284"/>
      <c r="BG102" s="284"/>
      <c r="BH102" s="284"/>
      <c r="BI102" s="284"/>
      <c r="BJ102" s="284"/>
      <c r="BK102" s="284"/>
      <c r="BL102" s="284"/>
      <c r="BM102" s="284"/>
      <c r="BN102" s="284"/>
      <c r="BO102" s="284"/>
      <c r="BP102" s="284"/>
      <c r="BQ102" s="284"/>
      <c r="BR102" s="284"/>
      <c r="BS102" s="284"/>
      <c r="BT102" s="284"/>
      <c r="BU102" s="284"/>
      <c r="BV102" s="284"/>
      <c r="BW102" s="284"/>
      <c r="BX102" s="284"/>
      <c r="BY102" s="284"/>
      <c r="BZ102" s="284"/>
      <c r="CA102" s="284"/>
      <c r="CB102" s="284"/>
      <c r="CC102" s="284"/>
      <c r="CD102" s="284"/>
      <c r="CE102" s="284"/>
      <c r="CF102" s="284"/>
    </row>
    <row r="103" spans="1:84" ht="12.6" customHeight="1" x14ac:dyDescent="0.25">
      <c r="A103" s="310" t="s">
        <v>132</v>
      </c>
      <c r="B103" s="309" t="s">
        <v>256</v>
      </c>
      <c r="C103" s="331"/>
      <c r="D103" s="312"/>
      <c r="E103" s="312"/>
      <c r="F103" s="284"/>
      <c r="G103" s="284"/>
      <c r="H103" s="284"/>
      <c r="I103" s="284"/>
      <c r="J103" s="284"/>
      <c r="K103" s="284"/>
      <c r="L103" s="284"/>
      <c r="M103" s="284"/>
      <c r="N103" s="284"/>
      <c r="O103" s="284"/>
      <c r="P103" s="284"/>
      <c r="Q103" s="284"/>
      <c r="R103" s="284"/>
      <c r="S103" s="284"/>
      <c r="T103" s="284"/>
      <c r="U103" s="284"/>
      <c r="V103" s="284"/>
      <c r="W103" s="284"/>
      <c r="X103" s="284"/>
      <c r="Y103" s="284"/>
      <c r="Z103" s="284"/>
      <c r="AA103" s="284"/>
      <c r="AB103" s="284"/>
      <c r="AC103" s="284"/>
      <c r="AD103" s="284"/>
      <c r="AE103" s="284"/>
      <c r="AF103" s="284"/>
      <c r="AG103" s="284"/>
      <c r="AH103" s="284"/>
      <c r="AI103" s="284"/>
      <c r="AJ103" s="284"/>
      <c r="AK103" s="284"/>
      <c r="AL103" s="284"/>
      <c r="AM103" s="284"/>
      <c r="AN103" s="284"/>
      <c r="AO103" s="284"/>
      <c r="AP103" s="284"/>
      <c r="AQ103" s="284"/>
      <c r="AR103" s="284"/>
      <c r="AS103" s="284"/>
      <c r="AT103" s="284"/>
      <c r="AU103" s="284"/>
      <c r="AV103" s="284"/>
      <c r="AW103" s="284"/>
      <c r="AX103" s="284"/>
      <c r="AY103" s="284"/>
      <c r="AZ103" s="284"/>
      <c r="BA103" s="284"/>
      <c r="BB103" s="284"/>
      <c r="BC103" s="284"/>
      <c r="BD103" s="284"/>
      <c r="BE103" s="284"/>
      <c r="BF103" s="284"/>
      <c r="BG103" s="284"/>
      <c r="BH103" s="284"/>
      <c r="BI103" s="284"/>
      <c r="BJ103" s="284"/>
      <c r="BK103" s="284"/>
      <c r="BL103" s="284"/>
      <c r="BM103" s="284"/>
      <c r="BN103" s="284"/>
      <c r="BO103" s="284"/>
      <c r="BP103" s="284"/>
      <c r="BQ103" s="284"/>
      <c r="BR103" s="284"/>
      <c r="BS103" s="284"/>
      <c r="BT103" s="284"/>
      <c r="BU103" s="284"/>
      <c r="BV103" s="284"/>
      <c r="BW103" s="284"/>
      <c r="BX103" s="284"/>
      <c r="BY103" s="284"/>
      <c r="BZ103" s="284"/>
      <c r="CA103" s="284"/>
      <c r="CB103" s="284"/>
      <c r="CC103" s="284"/>
      <c r="CD103" s="284"/>
      <c r="CE103" s="284"/>
      <c r="CF103" s="284"/>
    </row>
    <row r="104" spans="1:84" ht="12.6" customHeight="1" x14ac:dyDescent="0.25">
      <c r="A104" s="339" t="s">
        <v>271</v>
      </c>
      <c r="B104" s="339"/>
      <c r="C104" s="339"/>
      <c r="D104" s="339"/>
      <c r="E104" s="339"/>
      <c r="F104" s="284"/>
      <c r="G104" s="284"/>
      <c r="H104" s="284"/>
      <c r="I104" s="284"/>
      <c r="J104" s="284"/>
      <c r="K104" s="284"/>
      <c r="L104" s="284"/>
      <c r="M104" s="284"/>
      <c r="N104" s="284"/>
      <c r="O104" s="284"/>
      <c r="P104" s="284"/>
      <c r="Q104" s="284"/>
      <c r="R104" s="284"/>
      <c r="S104" s="284"/>
      <c r="T104" s="284"/>
      <c r="U104" s="284"/>
      <c r="V104" s="284"/>
      <c r="W104" s="284"/>
      <c r="X104" s="284"/>
      <c r="Y104" s="284"/>
      <c r="Z104" s="284"/>
      <c r="AA104" s="284"/>
      <c r="AB104" s="284"/>
      <c r="AC104" s="284"/>
      <c r="AD104" s="284"/>
      <c r="AE104" s="284"/>
      <c r="AF104" s="284"/>
      <c r="AG104" s="284"/>
      <c r="AH104" s="284"/>
      <c r="AI104" s="284"/>
      <c r="AJ104" s="284"/>
      <c r="AK104" s="284"/>
      <c r="AL104" s="284"/>
      <c r="AM104" s="284"/>
      <c r="AN104" s="284"/>
      <c r="AO104" s="284"/>
      <c r="AP104" s="284"/>
      <c r="AQ104" s="284"/>
      <c r="AR104" s="284"/>
      <c r="AS104" s="284"/>
      <c r="AT104" s="284"/>
      <c r="AU104" s="284"/>
      <c r="AV104" s="284"/>
      <c r="AW104" s="284"/>
      <c r="AX104" s="284"/>
      <c r="AY104" s="284"/>
      <c r="AZ104" s="284"/>
      <c r="BA104" s="284"/>
      <c r="BB104" s="284"/>
      <c r="BC104" s="284"/>
      <c r="BD104" s="284"/>
      <c r="BE104" s="284"/>
      <c r="BF104" s="284"/>
      <c r="BG104" s="284"/>
      <c r="BH104" s="284"/>
      <c r="BI104" s="284"/>
      <c r="BJ104" s="284"/>
      <c r="BK104" s="284"/>
      <c r="BL104" s="284"/>
      <c r="BM104" s="284"/>
      <c r="BN104" s="284"/>
      <c r="BO104" s="284"/>
      <c r="BP104" s="284"/>
      <c r="BQ104" s="284"/>
      <c r="BR104" s="284"/>
      <c r="BS104" s="284"/>
      <c r="BT104" s="284"/>
      <c r="BU104" s="284"/>
      <c r="BV104" s="284"/>
      <c r="BW104" s="284"/>
      <c r="BX104" s="284"/>
      <c r="BY104" s="284"/>
      <c r="BZ104" s="284"/>
      <c r="CA104" s="284"/>
      <c r="CB104" s="284"/>
      <c r="CC104" s="284"/>
      <c r="CD104" s="284"/>
      <c r="CE104" s="284"/>
      <c r="CF104" s="284"/>
    </row>
    <row r="105" spans="1:84" ht="12.6" customHeight="1" x14ac:dyDescent="0.25">
      <c r="A105" s="310" t="s">
        <v>272</v>
      </c>
      <c r="B105" s="309" t="s">
        <v>256</v>
      </c>
      <c r="C105" s="320"/>
      <c r="D105" s="312"/>
      <c r="E105" s="312"/>
      <c r="F105" s="284"/>
      <c r="G105" s="284"/>
      <c r="H105" s="284"/>
      <c r="I105" s="284"/>
      <c r="J105" s="284"/>
      <c r="K105" s="284"/>
      <c r="L105" s="284"/>
      <c r="M105" s="284"/>
      <c r="N105" s="284"/>
      <c r="O105" s="284"/>
      <c r="P105" s="284"/>
      <c r="Q105" s="284"/>
      <c r="R105" s="284"/>
      <c r="S105" s="284"/>
      <c r="T105" s="284"/>
      <c r="U105" s="284"/>
      <c r="V105" s="284"/>
      <c r="W105" s="284"/>
      <c r="X105" s="284"/>
      <c r="Y105" s="284"/>
      <c r="Z105" s="284"/>
      <c r="AA105" s="284"/>
      <c r="AB105" s="284"/>
      <c r="AC105" s="284"/>
      <c r="AD105" s="284"/>
      <c r="AE105" s="284"/>
      <c r="AF105" s="284"/>
      <c r="AG105" s="284"/>
      <c r="AH105" s="284"/>
      <c r="AI105" s="284"/>
      <c r="AJ105" s="284"/>
      <c r="AK105" s="284"/>
      <c r="AL105" s="284"/>
      <c r="AM105" s="284"/>
      <c r="AN105" s="284"/>
      <c r="AO105" s="284"/>
      <c r="AP105" s="284"/>
      <c r="AQ105" s="284"/>
      <c r="AR105" s="284"/>
      <c r="AS105" s="284"/>
      <c r="AT105" s="284"/>
      <c r="AU105" s="284"/>
      <c r="AV105" s="284"/>
      <c r="AW105" s="284"/>
      <c r="AX105" s="284"/>
      <c r="AY105" s="284"/>
      <c r="AZ105" s="284"/>
      <c r="BA105" s="284"/>
      <c r="BB105" s="284"/>
      <c r="BC105" s="284"/>
      <c r="BD105" s="284"/>
      <c r="BE105" s="284"/>
      <c r="BF105" s="284"/>
      <c r="BG105" s="284"/>
      <c r="BH105" s="284"/>
      <c r="BI105" s="284"/>
      <c r="BJ105" s="284"/>
      <c r="BK105" s="284"/>
      <c r="BL105" s="284"/>
      <c r="BM105" s="284"/>
      <c r="BN105" s="284"/>
      <c r="BO105" s="284"/>
      <c r="BP105" s="284"/>
      <c r="BQ105" s="284"/>
      <c r="BR105" s="284"/>
      <c r="BS105" s="284"/>
      <c r="BT105" s="284"/>
      <c r="BU105" s="284"/>
      <c r="BV105" s="284"/>
      <c r="BW105" s="284"/>
      <c r="BX105" s="284"/>
      <c r="BY105" s="284"/>
      <c r="BZ105" s="284"/>
      <c r="CA105" s="284"/>
      <c r="CB105" s="284"/>
      <c r="CC105" s="284"/>
      <c r="CD105" s="284"/>
      <c r="CE105" s="284"/>
      <c r="CF105" s="284"/>
    </row>
    <row r="106" spans="1:84" ht="12.6" customHeight="1" x14ac:dyDescent="0.25">
      <c r="A106" s="310" t="s">
        <v>273</v>
      </c>
      <c r="B106" s="309" t="s">
        <v>256</v>
      </c>
      <c r="C106" s="320"/>
      <c r="D106" s="312"/>
      <c r="E106" s="312"/>
      <c r="F106" s="284"/>
      <c r="G106" s="284"/>
      <c r="H106" s="284"/>
      <c r="I106" s="284"/>
      <c r="J106" s="284"/>
      <c r="K106" s="284"/>
      <c r="L106" s="284"/>
      <c r="M106" s="284"/>
      <c r="N106" s="284"/>
      <c r="O106" s="284"/>
      <c r="P106" s="284"/>
      <c r="Q106" s="284"/>
      <c r="R106" s="284"/>
      <c r="S106" s="284"/>
      <c r="T106" s="284"/>
      <c r="U106" s="284"/>
      <c r="V106" s="284"/>
      <c r="W106" s="284"/>
      <c r="X106" s="284"/>
      <c r="Y106" s="284"/>
      <c r="Z106" s="284"/>
      <c r="AA106" s="284"/>
      <c r="AB106" s="284"/>
      <c r="AC106" s="284"/>
      <c r="AD106" s="284"/>
      <c r="AE106" s="284"/>
      <c r="AF106" s="284"/>
      <c r="AG106" s="284"/>
      <c r="AH106" s="284"/>
      <c r="AI106" s="284"/>
      <c r="AJ106" s="284"/>
      <c r="AK106" s="284"/>
      <c r="AL106" s="284"/>
      <c r="AM106" s="284"/>
      <c r="AN106" s="284"/>
      <c r="AO106" s="284"/>
      <c r="AP106" s="284"/>
      <c r="AQ106" s="284"/>
      <c r="AR106" s="284"/>
      <c r="AS106" s="284"/>
      <c r="AT106" s="284"/>
      <c r="AU106" s="284"/>
      <c r="AV106" s="284"/>
      <c r="AW106" s="284"/>
      <c r="AX106" s="284"/>
      <c r="AY106" s="284"/>
      <c r="AZ106" s="284"/>
      <c r="BA106" s="284"/>
      <c r="BB106" s="284"/>
      <c r="BC106" s="284"/>
      <c r="BD106" s="284"/>
      <c r="BE106" s="284"/>
      <c r="BF106" s="284"/>
      <c r="BG106" s="284"/>
      <c r="BH106" s="284"/>
      <c r="BI106" s="284"/>
      <c r="BJ106" s="284"/>
      <c r="BK106" s="284"/>
      <c r="BL106" s="284"/>
      <c r="BM106" s="284"/>
      <c r="BN106" s="284"/>
      <c r="BO106" s="284"/>
      <c r="BP106" s="284"/>
      <c r="BQ106" s="284"/>
      <c r="BR106" s="284"/>
      <c r="BS106" s="284"/>
      <c r="BT106" s="284"/>
      <c r="BU106" s="284"/>
      <c r="BV106" s="284"/>
      <c r="BW106" s="284"/>
      <c r="BX106" s="284"/>
      <c r="BY106" s="284"/>
      <c r="BZ106" s="284"/>
      <c r="CA106" s="284"/>
      <c r="CB106" s="284"/>
      <c r="CC106" s="284"/>
      <c r="CD106" s="284"/>
      <c r="CE106" s="284"/>
      <c r="CF106" s="284"/>
    </row>
    <row r="107" spans="1:84" ht="12.6" customHeight="1" x14ac:dyDescent="0.25">
      <c r="A107" s="310" t="s">
        <v>274</v>
      </c>
      <c r="B107" s="309" t="s">
        <v>256</v>
      </c>
      <c r="C107" s="320"/>
      <c r="D107" s="312"/>
      <c r="E107" s="312"/>
      <c r="F107" s="284"/>
      <c r="G107" s="284"/>
      <c r="H107" s="284"/>
      <c r="I107" s="284"/>
      <c r="J107" s="284"/>
      <c r="K107" s="284"/>
      <c r="L107" s="284"/>
      <c r="M107" s="284"/>
      <c r="N107" s="284"/>
      <c r="O107" s="284"/>
      <c r="P107" s="284"/>
      <c r="Q107" s="284"/>
      <c r="R107" s="284"/>
      <c r="S107" s="284"/>
      <c r="T107" s="284"/>
      <c r="U107" s="284"/>
      <c r="V107" s="284"/>
      <c r="W107" s="284"/>
      <c r="X107" s="284"/>
      <c r="Y107" s="284"/>
      <c r="Z107" s="284"/>
      <c r="AA107" s="284"/>
      <c r="AB107" s="284"/>
      <c r="AC107" s="284"/>
      <c r="AD107" s="284"/>
      <c r="AE107" s="284"/>
      <c r="AF107" s="284"/>
      <c r="AG107" s="284"/>
      <c r="AH107" s="284"/>
      <c r="AI107" s="284"/>
      <c r="AJ107" s="284"/>
      <c r="AK107" s="284"/>
      <c r="AL107" s="284"/>
      <c r="AM107" s="284"/>
      <c r="AN107" s="284"/>
      <c r="AO107" s="284"/>
      <c r="AP107" s="284"/>
      <c r="AQ107" s="284"/>
      <c r="AR107" s="284"/>
      <c r="AS107" s="284"/>
      <c r="AT107" s="284"/>
      <c r="AU107" s="284"/>
      <c r="AV107" s="284"/>
      <c r="AW107" s="284"/>
      <c r="AX107" s="284"/>
      <c r="AY107" s="284"/>
      <c r="AZ107" s="284"/>
      <c r="BA107" s="284"/>
      <c r="BB107" s="284"/>
      <c r="BC107" s="284"/>
      <c r="BD107" s="284"/>
      <c r="BE107" s="284"/>
      <c r="BF107" s="284"/>
      <c r="BG107" s="284"/>
      <c r="BH107" s="284"/>
      <c r="BI107" s="284"/>
      <c r="BJ107" s="284"/>
      <c r="BK107" s="284"/>
      <c r="BL107" s="284"/>
      <c r="BM107" s="284"/>
      <c r="BN107" s="284"/>
      <c r="BO107" s="284"/>
      <c r="BP107" s="284"/>
      <c r="BQ107" s="284"/>
      <c r="BR107" s="284"/>
      <c r="BS107" s="284"/>
      <c r="BT107" s="284"/>
      <c r="BU107" s="284"/>
      <c r="BV107" s="284"/>
      <c r="BW107" s="284"/>
      <c r="BX107" s="284"/>
      <c r="BY107" s="284"/>
      <c r="BZ107" s="284"/>
      <c r="CA107" s="284"/>
      <c r="CB107" s="284"/>
      <c r="CC107" s="284"/>
      <c r="CD107" s="284"/>
      <c r="CE107" s="284"/>
      <c r="CF107" s="284"/>
    </row>
    <row r="108" spans="1:84" ht="21.75" customHeight="1" x14ac:dyDescent="0.25">
      <c r="A108" s="310"/>
      <c r="B108" s="309"/>
      <c r="C108" s="321"/>
      <c r="D108" s="312"/>
      <c r="E108" s="312"/>
      <c r="F108" s="284"/>
      <c r="G108" s="284"/>
      <c r="H108" s="284"/>
      <c r="I108" s="284"/>
      <c r="J108" s="284"/>
      <c r="K108" s="284"/>
      <c r="L108" s="284"/>
      <c r="M108" s="284"/>
      <c r="N108" s="284"/>
      <c r="O108" s="284"/>
      <c r="P108" s="284"/>
      <c r="Q108" s="284"/>
      <c r="R108" s="284"/>
      <c r="S108" s="284"/>
      <c r="T108" s="284"/>
      <c r="U108" s="284"/>
      <c r="V108" s="284"/>
      <c r="W108" s="284"/>
      <c r="X108" s="284"/>
      <c r="Y108" s="284"/>
      <c r="Z108" s="284"/>
      <c r="AA108" s="284"/>
      <c r="AB108" s="284"/>
      <c r="AC108" s="284"/>
      <c r="AD108" s="284"/>
      <c r="AE108" s="284"/>
      <c r="AF108" s="284"/>
      <c r="AG108" s="284"/>
      <c r="AH108" s="284"/>
      <c r="AI108" s="284"/>
      <c r="AJ108" s="284"/>
      <c r="AK108" s="284"/>
      <c r="AL108" s="284"/>
      <c r="AM108" s="284"/>
      <c r="AN108" s="284"/>
      <c r="AO108" s="284"/>
      <c r="AP108" s="284"/>
      <c r="AQ108" s="284"/>
      <c r="AR108" s="284"/>
      <c r="AS108" s="284"/>
      <c r="AT108" s="284"/>
      <c r="AU108" s="284"/>
      <c r="AV108" s="284"/>
      <c r="AW108" s="284"/>
      <c r="AX108" s="284"/>
      <c r="AY108" s="284"/>
      <c r="AZ108" s="284"/>
      <c r="BA108" s="284"/>
      <c r="BB108" s="284"/>
      <c r="BC108" s="284"/>
      <c r="BD108" s="284"/>
      <c r="BE108" s="284"/>
      <c r="BF108" s="284"/>
      <c r="BG108" s="284"/>
      <c r="BH108" s="284"/>
      <c r="BI108" s="284"/>
      <c r="BJ108" s="284"/>
      <c r="BK108" s="284"/>
      <c r="BL108" s="284"/>
      <c r="BM108" s="284"/>
      <c r="BN108" s="284"/>
      <c r="BO108" s="284"/>
      <c r="BP108" s="284"/>
      <c r="BQ108" s="284"/>
      <c r="BR108" s="284"/>
      <c r="BS108" s="284"/>
      <c r="BT108" s="284"/>
      <c r="BU108" s="284"/>
      <c r="BV108" s="284"/>
      <c r="BW108" s="284"/>
      <c r="BX108" s="284"/>
      <c r="BY108" s="284"/>
      <c r="BZ108" s="284"/>
      <c r="CA108" s="284"/>
      <c r="CB108" s="284"/>
      <c r="CC108" s="284"/>
      <c r="CD108" s="284"/>
      <c r="CE108" s="284"/>
      <c r="CF108" s="284"/>
    </row>
    <row r="109" spans="1:84" ht="13.5" customHeight="1" x14ac:dyDescent="0.25">
      <c r="A109" s="329" t="s">
        <v>275</v>
      </c>
      <c r="B109" s="330"/>
      <c r="C109" s="330"/>
      <c r="D109" s="330"/>
      <c r="E109" s="330"/>
      <c r="F109" s="284"/>
      <c r="G109" s="284"/>
      <c r="H109" s="284"/>
      <c r="I109" s="284"/>
      <c r="J109" s="284"/>
      <c r="K109" s="284"/>
      <c r="L109" s="284"/>
      <c r="M109" s="284"/>
      <c r="N109" s="284"/>
      <c r="O109" s="284"/>
      <c r="P109" s="284"/>
      <c r="Q109" s="284"/>
      <c r="R109" s="284"/>
      <c r="S109" s="284"/>
      <c r="T109" s="284"/>
      <c r="U109" s="284"/>
      <c r="V109" s="284"/>
      <c r="W109" s="284"/>
      <c r="X109" s="284"/>
      <c r="Y109" s="284"/>
      <c r="Z109" s="284"/>
      <c r="AA109" s="284"/>
      <c r="AB109" s="284"/>
      <c r="AC109" s="284"/>
      <c r="AD109" s="284"/>
      <c r="AE109" s="284"/>
      <c r="AF109" s="284"/>
      <c r="AG109" s="284"/>
      <c r="AH109" s="284"/>
      <c r="AI109" s="284"/>
      <c r="AJ109" s="284"/>
      <c r="AK109" s="284"/>
      <c r="AL109" s="284"/>
      <c r="AM109" s="284"/>
      <c r="AN109" s="284"/>
      <c r="AO109" s="284"/>
      <c r="AP109" s="284"/>
      <c r="AQ109" s="284"/>
      <c r="AR109" s="284"/>
      <c r="AS109" s="284"/>
      <c r="AT109" s="284"/>
      <c r="AU109" s="284"/>
      <c r="AV109" s="284"/>
      <c r="AW109" s="284"/>
      <c r="AX109" s="284"/>
      <c r="AY109" s="284"/>
      <c r="AZ109" s="284"/>
      <c r="BA109" s="284"/>
      <c r="BB109" s="284"/>
      <c r="BC109" s="284"/>
      <c r="BD109" s="284"/>
      <c r="BE109" s="284"/>
      <c r="BF109" s="284"/>
      <c r="BG109" s="284"/>
      <c r="BH109" s="284"/>
      <c r="BI109" s="284"/>
      <c r="BJ109" s="284"/>
      <c r="BK109" s="284"/>
      <c r="BL109" s="284"/>
      <c r="BM109" s="284"/>
      <c r="BN109" s="284"/>
      <c r="BO109" s="284"/>
      <c r="BP109" s="284"/>
      <c r="BQ109" s="284"/>
      <c r="BR109" s="284"/>
      <c r="BS109" s="284"/>
      <c r="BT109" s="284"/>
      <c r="BU109" s="284"/>
      <c r="BV109" s="284"/>
      <c r="BW109" s="284"/>
      <c r="BX109" s="284"/>
      <c r="BY109" s="284"/>
      <c r="BZ109" s="284"/>
      <c r="CA109" s="284"/>
      <c r="CB109" s="284"/>
      <c r="CC109" s="284"/>
      <c r="CD109" s="284"/>
      <c r="CE109" s="284"/>
      <c r="CF109" s="284"/>
    </row>
    <row r="110" spans="1:84" ht="13.5" customHeight="1" x14ac:dyDescent="0.25">
      <c r="A110" s="310"/>
      <c r="B110" s="309"/>
      <c r="C110" s="321"/>
      <c r="D110" s="312"/>
      <c r="E110" s="312"/>
      <c r="F110" s="284"/>
      <c r="G110" s="284"/>
      <c r="H110" s="284"/>
      <c r="I110" s="284"/>
      <c r="J110" s="284"/>
      <c r="K110" s="284"/>
      <c r="L110" s="284"/>
      <c r="M110" s="284"/>
      <c r="N110" s="284"/>
      <c r="O110" s="284"/>
      <c r="P110" s="284"/>
      <c r="Q110" s="284"/>
      <c r="R110" s="284"/>
      <c r="S110" s="284"/>
      <c r="T110" s="284"/>
      <c r="U110" s="284"/>
      <c r="V110" s="284"/>
      <c r="W110" s="284"/>
      <c r="X110" s="284"/>
      <c r="Y110" s="284"/>
      <c r="Z110" s="284"/>
      <c r="AA110" s="284"/>
      <c r="AB110" s="284"/>
      <c r="AC110" s="284"/>
      <c r="AD110" s="284"/>
      <c r="AE110" s="284"/>
      <c r="AF110" s="284"/>
      <c r="AG110" s="284"/>
      <c r="AH110" s="284"/>
      <c r="AI110" s="284"/>
      <c r="AJ110" s="284"/>
      <c r="AK110" s="284"/>
      <c r="AL110" s="284"/>
      <c r="AM110" s="284"/>
      <c r="AN110" s="284"/>
      <c r="AO110" s="284"/>
      <c r="AP110" s="284"/>
      <c r="AQ110" s="284"/>
      <c r="AR110" s="284"/>
      <c r="AS110" s="284"/>
      <c r="AT110" s="284"/>
      <c r="AU110" s="284"/>
      <c r="AV110" s="284"/>
      <c r="AW110" s="284"/>
      <c r="AX110" s="284"/>
      <c r="AY110" s="284"/>
      <c r="AZ110" s="284"/>
      <c r="BA110" s="284"/>
      <c r="BB110" s="284"/>
      <c r="BC110" s="284"/>
      <c r="BD110" s="284"/>
      <c r="BE110" s="284"/>
      <c r="BF110" s="284"/>
      <c r="BG110" s="284"/>
      <c r="BH110" s="284"/>
      <c r="BI110" s="284"/>
      <c r="BJ110" s="284"/>
      <c r="BK110" s="284"/>
      <c r="BL110" s="284"/>
      <c r="BM110" s="284"/>
      <c r="BN110" s="284"/>
      <c r="BO110" s="284"/>
      <c r="BP110" s="284"/>
      <c r="BQ110" s="284"/>
      <c r="BR110" s="284"/>
      <c r="BS110" s="284"/>
      <c r="BT110" s="284"/>
      <c r="BU110" s="284"/>
      <c r="BV110" s="284"/>
      <c r="BW110" s="284"/>
      <c r="BX110" s="284"/>
      <c r="BY110" s="284"/>
      <c r="BZ110" s="284"/>
      <c r="CA110" s="284"/>
      <c r="CB110" s="284"/>
      <c r="CC110" s="284"/>
      <c r="CD110" s="284"/>
      <c r="CE110" s="284"/>
      <c r="CF110" s="284"/>
    </row>
    <row r="111" spans="1:84" ht="12.6" customHeight="1" x14ac:dyDescent="0.25">
      <c r="A111" s="308" t="s">
        <v>276</v>
      </c>
      <c r="B111" s="312"/>
      <c r="C111" s="316" t="s">
        <v>277</v>
      </c>
      <c r="D111" s="307" t="s">
        <v>215</v>
      </c>
      <c r="E111" s="312"/>
      <c r="F111" s="284"/>
      <c r="G111" s="284"/>
      <c r="H111" s="284"/>
      <c r="I111" s="284"/>
      <c r="J111" s="284"/>
      <c r="K111" s="284"/>
      <c r="L111" s="284"/>
      <c r="M111" s="284"/>
      <c r="N111" s="284"/>
      <c r="O111" s="284"/>
      <c r="P111" s="284"/>
      <c r="Q111" s="284"/>
      <c r="R111" s="284"/>
      <c r="S111" s="284"/>
      <c r="T111" s="284"/>
      <c r="U111" s="284"/>
      <c r="V111" s="284"/>
      <c r="W111" s="284"/>
      <c r="X111" s="284"/>
      <c r="Y111" s="284"/>
      <c r="Z111" s="284"/>
      <c r="AA111" s="284"/>
      <c r="AB111" s="284"/>
      <c r="AC111" s="284"/>
      <c r="AD111" s="284"/>
      <c r="AE111" s="284"/>
      <c r="AF111" s="284"/>
      <c r="AG111" s="284"/>
      <c r="AH111" s="284"/>
      <c r="AI111" s="284"/>
      <c r="AJ111" s="284"/>
      <c r="AK111" s="284"/>
      <c r="AL111" s="284"/>
      <c r="AM111" s="284"/>
      <c r="AN111" s="284"/>
      <c r="AO111" s="284"/>
      <c r="AP111" s="284"/>
      <c r="AQ111" s="284"/>
      <c r="AR111" s="284"/>
      <c r="AS111" s="284"/>
      <c r="AT111" s="284"/>
      <c r="AU111" s="284"/>
      <c r="AV111" s="284"/>
      <c r="AW111" s="284"/>
      <c r="AX111" s="284"/>
      <c r="AY111" s="284"/>
      <c r="AZ111" s="284"/>
      <c r="BA111" s="284"/>
      <c r="BB111" s="284"/>
      <c r="BC111" s="284"/>
      <c r="BD111" s="284"/>
      <c r="BE111" s="284"/>
      <c r="BF111" s="284"/>
      <c r="BG111" s="284"/>
      <c r="BH111" s="284"/>
      <c r="BI111" s="284"/>
      <c r="BJ111" s="284"/>
      <c r="BK111" s="284"/>
      <c r="BL111" s="284"/>
      <c r="BM111" s="284"/>
      <c r="BN111" s="284"/>
      <c r="BO111" s="284"/>
      <c r="BP111" s="284"/>
      <c r="BQ111" s="284"/>
      <c r="BR111" s="284"/>
      <c r="BS111" s="284"/>
      <c r="BT111" s="284"/>
      <c r="BU111" s="284"/>
      <c r="BV111" s="284"/>
      <c r="BW111" s="284"/>
      <c r="BX111" s="284"/>
      <c r="BY111" s="284"/>
      <c r="BZ111" s="284"/>
      <c r="CA111" s="284"/>
      <c r="CB111" s="284"/>
      <c r="CC111" s="284"/>
      <c r="CD111" s="284"/>
      <c r="CE111" s="284"/>
      <c r="CF111" s="284"/>
    </row>
    <row r="112" spans="1:84" ht="12.6" customHeight="1" x14ac:dyDescent="0.25">
      <c r="A112" s="310" t="s">
        <v>278</v>
      </c>
      <c r="B112" s="309" t="s">
        <v>256</v>
      </c>
      <c r="C112" s="320">
        <v>224</v>
      </c>
      <c r="D112" s="311">
        <v>737</v>
      </c>
      <c r="E112" s="312"/>
      <c r="F112" s="284"/>
      <c r="G112" s="284"/>
      <c r="H112" s="284"/>
      <c r="I112" s="284"/>
      <c r="J112" s="284"/>
      <c r="K112" s="284"/>
      <c r="L112" s="284"/>
      <c r="M112" s="284"/>
      <c r="N112" s="284"/>
      <c r="O112" s="284"/>
      <c r="P112" s="284"/>
      <c r="Q112" s="284"/>
      <c r="R112" s="284"/>
      <c r="S112" s="284"/>
      <c r="T112" s="284"/>
      <c r="U112" s="284"/>
      <c r="V112" s="284"/>
      <c r="W112" s="284"/>
      <c r="X112" s="284"/>
      <c r="Y112" s="284"/>
      <c r="Z112" s="284"/>
      <c r="AA112" s="284"/>
      <c r="AB112" s="284"/>
      <c r="AC112" s="284"/>
      <c r="AD112" s="284"/>
      <c r="AE112" s="284"/>
      <c r="AF112" s="284"/>
      <c r="AG112" s="284"/>
      <c r="AH112" s="284"/>
      <c r="AI112" s="284"/>
      <c r="AJ112" s="284"/>
      <c r="AK112" s="284"/>
      <c r="AL112" s="284"/>
      <c r="AM112" s="284"/>
      <c r="AN112" s="284"/>
      <c r="AO112" s="284"/>
      <c r="AP112" s="284"/>
      <c r="AQ112" s="284"/>
      <c r="AR112" s="284"/>
      <c r="AS112" s="284"/>
      <c r="AT112" s="284"/>
      <c r="AU112" s="284"/>
      <c r="AV112" s="284"/>
      <c r="AW112" s="284"/>
      <c r="AX112" s="284"/>
      <c r="AY112" s="284"/>
      <c r="AZ112" s="284"/>
      <c r="BA112" s="284"/>
      <c r="BB112" s="284"/>
      <c r="BC112" s="284"/>
      <c r="BD112" s="284"/>
      <c r="BE112" s="284"/>
      <c r="BF112" s="284"/>
      <c r="BG112" s="284"/>
      <c r="BH112" s="284"/>
      <c r="BI112" s="284"/>
      <c r="BJ112" s="284"/>
      <c r="BK112" s="284"/>
      <c r="BL112" s="284"/>
      <c r="BM112" s="284"/>
      <c r="BN112" s="284"/>
      <c r="BO112" s="284"/>
      <c r="BP112" s="284"/>
      <c r="BQ112" s="284"/>
      <c r="BR112" s="284"/>
      <c r="BS112" s="284"/>
      <c r="BT112" s="284"/>
      <c r="BU112" s="284"/>
      <c r="BV112" s="284"/>
      <c r="BW112" s="284"/>
      <c r="BX112" s="284"/>
      <c r="BY112" s="284"/>
      <c r="BZ112" s="284"/>
      <c r="CA112" s="284"/>
      <c r="CB112" s="284"/>
      <c r="CC112" s="284"/>
      <c r="CD112" s="284"/>
      <c r="CE112" s="284"/>
      <c r="CF112" s="284"/>
    </row>
    <row r="113" spans="1:84" ht="12.6" customHeight="1" x14ac:dyDescent="0.25">
      <c r="A113" s="310" t="s">
        <v>279</v>
      </c>
      <c r="B113" s="309" t="s">
        <v>256</v>
      </c>
      <c r="C113" s="320">
        <v>333</v>
      </c>
      <c r="D113" s="311">
        <v>4910</v>
      </c>
      <c r="E113" s="312"/>
      <c r="F113" s="284"/>
      <c r="G113" s="284"/>
      <c r="H113" s="284"/>
      <c r="I113" s="284"/>
      <c r="J113" s="284"/>
      <c r="K113" s="284"/>
      <c r="L113" s="284"/>
      <c r="M113" s="284"/>
      <c r="N113" s="284"/>
      <c r="O113" s="284"/>
      <c r="P113" s="284"/>
      <c r="Q113" s="284"/>
      <c r="R113" s="284"/>
      <c r="S113" s="284"/>
      <c r="T113" s="284"/>
      <c r="U113" s="284"/>
      <c r="V113" s="284"/>
      <c r="W113" s="284"/>
      <c r="X113" s="284"/>
      <c r="Y113" s="284"/>
      <c r="Z113" s="284"/>
      <c r="AA113" s="284"/>
      <c r="AB113" s="284"/>
      <c r="AC113" s="284"/>
      <c r="AD113" s="284"/>
      <c r="AE113" s="284"/>
      <c r="AF113" s="284"/>
      <c r="AG113" s="284"/>
      <c r="AH113" s="284"/>
      <c r="AI113" s="284"/>
      <c r="AJ113" s="284"/>
      <c r="AK113" s="284"/>
      <c r="AL113" s="284"/>
      <c r="AM113" s="284"/>
      <c r="AN113" s="284"/>
      <c r="AO113" s="284"/>
      <c r="AP113" s="284"/>
      <c r="AQ113" s="284"/>
      <c r="AR113" s="284"/>
      <c r="AS113" s="284"/>
      <c r="AT113" s="284"/>
      <c r="AU113" s="284"/>
      <c r="AV113" s="284"/>
      <c r="AW113" s="284"/>
      <c r="AX113" s="284"/>
      <c r="AY113" s="284"/>
      <c r="AZ113" s="284"/>
      <c r="BA113" s="284"/>
      <c r="BB113" s="284"/>
      <c r="BC113" s="284"/>
      <c r="BD113" s="284"/>
      <c r="BE113" s="284"/>
      <c r="BF113" s="284"/>
      <c r="BG113" s="284"/>
      <c r="BH113" s="284"/>
      <c r="BI113" s="284"/>
      <c r="BJ113" s="284"/>
      <c r="BK113" s="284"/>
      <c r="BL113" s="284"/>
      <c r="BM113" s="284"/>
      <c r="BN113" s="284"/>
      <c r="BO113" s="284"/>
      <c r="BP113" s="284"/>
      <c r="BQ113" s="284"/>
      <c r="BR113" s="284"/>
      <c r="BS113" s="284"/>
      <c r="BT113" s="284"/>
      <c r="BU113" s="284"/>
      <c r="BV113" s="284"/>
      <c r="BW113" s="284"/>
      <c r="BX113" s="284"/>
      <c r="BY113" s="284"/>
      <c r="BZ113" s="284"/>
      <c r="CA113" s="284"/>
      <c r="CB113" s="284"/>
      <c r="CC113" s="284"/>
      <c r="CD113" s="284"/>
      <c r="CE113" s="284"/>
      <c r="CF113" s="284"/>
    </row>
    <row r="114" spans="1:84" ht="12.6" customHeight="1" x14ac:dyDescent="0.25">
      <c r="A114" s="310" t="s">
        <v>280</v>
      </c>
      <c r="B114" s="309" t="s">
        <v>256</v>
      </c>
      <c r="C114" s="320">
        <v>175</v>
      </c>
      <c r="D114" s="311">
        <v>510</v>
      </c>
      <c r="E114" s="312"/>
      <c r="F114" s="284"/>
      <c r="G114" s="284"/>
      <c r="H114" s="284"/>
      <c r="I114" s="284"/>
      <c r="J114" s="284"/>
      <c r="K114" s="284"/>
      <c r="L114" s="284"/>
      <c r="M114" s="284"/>
      <c r="N114" s="284"/>
      <c r="O114" s="284"/>
      <c r="P114" s="284"/>
      <c r="Q114" s="284"/>
      <c r="R114" s="284"/>
      <c r="S114" s="284"/>
      <c r="T114" s="284"/>
      <c r="U114" s="284"/>
      <c r="V114" s="284"/>
      <c r="W114" s="284"/>
      <c r="X114" s="284"/>
      <c r="Y114" s="284"/>
      <c r="Z114" s="284"/>
      <c r="AA114" s="284"/>
      <c r="AB114" s="284"/>
      <c r="AC114" s="284"/>
      <c r="AD114" s="284"/>
      <c r="AE114" s="284"/>
      <c r="AF114" s="284"/>
      <c r="AG114" s="284"/>
      <c r="AH114" s="284"/>
      <c r="AI114" s="284"/>
      <c r="AJ114" s="284"/>
      <c r="AK114" s="284"/>
      <c r="AL114" s="284"/>
      <c r="AM114" s="284"/>
      <c r="AN114" s="284"/>
      <c r="AO114" s="284"/>
      <c r="AP114" s="284"/>
      <c r="AQ114" s="284"/>
      <c r="AR114" s="284"/>
      <c r="AS114" s="284"/>
      <c r="AT114" s="284"/>
      <c r="AU114" s="284"/>
      <c r="AV114" s="284"/>
      <c r="AW114" s="284"/>
      <c r="AX114" s="284"/>
      <c r="AY114" s="284"/>
      <c r="AZ114" s="284"/>
      <c r="BA114" s="284"/>
      <c r="BB114" s="284"/>
      <c r="BC114" s="284"/>
      <c r="BD114" s="284"/>
      <c r="BE114" s="284"/>
      <c r="BF114" s="284"/>
      <c r="BG114" s="284"/>
      <c r="BH114" s="284"/>
      <c r="BI114" s="284"/>
      <c r="BJ114" s="284"/>
      <c r="BK114" s="284"/>
      <c r="BL114" s="284"/>
      <c r="BM114" s="284"/>
      <c r="BN114" s="284"/>
      <c r="BO114" s="284"/>
      <c r="BP114" s="284"/>
      <c r="BQ114" s="284"/>
      <c r="BR114" s="284"/>
      <c r="BS114" s="284"/>
      <c r="BT114" s="284"/>
      <c r="BU114" s="284"/>
      <c r="BV114" s="284"/>
      <c r="BW114" s="284"/>
      <c r="BX114" s="284"/>
      <c r="BY114" s="284"/>
      <c r="BZ114" s="284"/>
      <c r="CA114" s="284"/>
      <c r="CB114" s="284"/>
      <c r="CC114" s="284"/>
      <c r="CD114" s="284"/>
      <c r="CE114" s="284"/>
      <c r="CF114" s="284"/>
    </row>
    <row r="115" spans="1:84" ht="12.6" customHeight="1" x14ac:dyDescent="0.25">
      <c r="A115" s="310" t="s">
        <v>281</v>
      </c>
      <c r="B115" s="309" t="s">
        <v>256</v>
      </c>
      <c r="C115" s="320">
        <v>106</v>
      </c>
      <c r="D115" s="311">
        <v>171</v>
      </c>
      <c r="E115" s="312"/>
      <c r="F115" s="284"/>
      <c r="G115" s="284"/>
      <c r="H115" s="284"/>
      <c r="I115" s="284"/>
      <c r="J115" s="284"/>
      <c r="K115" s="284"/>
      <c r="L115" s="284"/>
      <c r="M115" s="284"/>
      <c r="N115" s="284"/>
      <c r="O115" s="284"/>
      <c r="P115" s="284"/>
      <c r="Q115" s="284"/>
      <c r="R115" s="284"/>
      <c r="S115" s="284"/>
      <c r="T115" s="284"/>
      <c r="U115" s="284"/>
      <c r="V115" s="284"/>
      <c r="W115" s="284"/>
      <c r="X115" s="284"/>
      <c r="Y115" s="284"/>
      <c r="Z115" s="284"/>
      <c r="AA115" s="284"/>
      <c r="AB115" s="284"/>
      <c r="AC115" s="284"/>
      <c r="AD115" s="284"/>
      <c r="AE115" s="284"/>
      <c r="AF115" s="284"/>
      <c r="AG115" s="284"/>
      <c r="AH115" s="284"/>
      <c r="AI115" s="284"/>
      <c r="AJ115" s="284"/>
      <c r="AK115" s="284"/>
      <c r="AL115" s="284"/>
      <c r="AM115" s="284"/>
      <c r="AN115" s="284"/>
      <c r="AO115" s="284"/>
      <c r="AP115" s="284"/>
      <c r="AQ115" s="284"/>
      <c r="AR115" s="284"/>
      <c r="AS115" s="284"/>
      <c r="AT115" s="284"/>
      <c r="AU115" s="284"/>
      <c r="AV115" s="284"/>
      <c r="AW115" s="284"/>
      <c r="AX115" s="284"/>
      <c r="AY115" s="284"/>
      <c r="AZ115" s="284"/>
      <c r="BA115" s="284"/>
      <c r="BB115" s="284"/>
      <c r="BC115" s="284"/>
      <c r="BD115" s="284"/>
      <c r="BE115" s="284"/>
      <c r="BF115" s="284"/>
      <c r="BG115" s="284"/>
      <c r="BH115" s="284"/>
      <c r="BI115" s="284"/>
      <c r="BJ115" s="284"/>
      <c r="BK115" s="284"/>
      <c r="BL115" s="284"/>
      <c r="BM115" s="284"/>
      <c r="BN115" s="284"/>
      <c r="BO115" s="284"/>
      <c r="BP115" s="284"/>
      <c r="BQ115" s="284"/>
      <c r="BR115" s="284"/>
      <c r="BS115" s="284"/>
      <c r="BT115" s="284"/>
      <c r="BU115" s="284"/>
      <c r="BV115" s="284"/>
      <c r="BW115" s="284"/>
      <c r="BX115" s="284"/>
      <c r="BY115" s="284"/>
      <c r="BZ115" s="284"/>
      <c r="CA115" s="284"/>
      <c r="CB115" s="284"/>
      <c r="CC115" s="284"/>
      <c r="CD115" s="284"/>
      <c r="CE115" s="284"/>
      <c r="CF115" s="284"/>
    </row>
    <row r="116" spans="1:84" ht="12.6" customHeight="1" x14ac:dyDescent="0.25">
      <c r="A116" s="308" t="s">
        <v>282</v>
      </c>
      <c r="B116" s="312"/>
      <c r="C116" s="316" t="s">
        <v>167</v>
      </c>
      <c r="D116" s="312"/>
      <c r="E116" s="312"/>
      <c r="F116" s="284"/>
      <c r="G116" s="284"/>
      <c r="H116" s="284"/>
      <c r="I116" s="284"/>
      <c r="J116" s="284"/>
      <c r="K116" s="284"/>
      <c r="L116" s="284"/>
      <c r="M116" s="284"/>
      <c r="N116" s="284"/>
      <c r="O116" s="284"/>
      <c r="P116" s="284"/>
      <c r="Q116" s="284"/>
      <c r="R116" s="284"/>
      <c r="S116" s="284"/>
      <c r="T116" s="284"/>
      <c r="U116" s="284"/>
      <c r="V116" s="284"/>
      <c r="W116" s="284"/>
      <c r="X116" s="284"/>
      <c r="Y116" s="284"/>
      <c r="Z116" s="284"/>
      <c r="AA116" s="284"/>
      <c r="AB116" s="284"/>
      <c r="AC116" s="284"/>
      <c r="AD116" s="284"/>
      <c r="AE116" s="284"/>
      <c r="AF116" s="284"/>
      <c r="AG116" s="284"/>
      <c r="AH116" s="284"/>
      <c r="AI116" s="284"/>
      <c r="AJ116" s="284"/>
      <c r="AK116" s="284"/>
      <c r="AL116" s="284"/>
      <c r="AM116" s="284"/>
      <c r="AN116" s="284"/>
      <c r="AO116" s="284"/>
      <c r="AP116" s="284"/>
      <c r="AQ116" s="284"/>
      <c r="AR116" s="284"/>
      <c r="AS116" s="284"/>
      <c r="AT116" s="284"/>
      <c r="AU116" s="284"/>
      <c r="AV116" s="284"/>
      <c r="AW116" s="284"/>
      <c r="AX116" s="284"/>
      <c r="AY116" s="284"/>
      <c r="AZ116" s="284"/>
      <c r="BA116" s="284"/>
      <c r="BB116" s="284"/>
      <c r="BC116" s="284"/>
      <c r="BD116" s="284"/>
      <c r="BE116" s="284"/>
      <c r="BF116" s="284"/>
      <c r="BG116" s="284"/>
      <c r="BH116" s="284"/>
      <c r="BI116" s="284"/>
      <c r="BJ116" s="284"/>
      <c r="BK116" s="284"/>
      <c r="BL116" s="284"/>
      <c r="BM116" s="284"/>
      <c r="BN116" s="284"/>
      <c r="BO116" s="284"/>
      <c r="BP116" s="284"/>
      <c r="BQ116" s="284"/>
      <c r="BR116" s="284"/>
      <c r="BS116" s="284"/>
      <c r="BT116" s="284"/>
      <c r="BU116" s="284"/>
      <c r="BV116" s="284"/>
      <c r="BW116" s="284"/>
      <c r="BX116" s="284"/>
      <c r="BY116" s="284"/>
      <c r="BZ116" s="284"/>
      <c r="CA116" s="284"/>
      <c r="CB116" s="284"/>
      <c r="CC116" s="284"/>
      <c r="CD116" s="284"/>
      <c r="CE116" s="284"/>
      <c r="CF116" s="284"/>
    </row>
    <row r="117" spans="1:84" ht="12.6" customHeight="1" x14ac:dyDescent="0.25">
      <c r="A117" s="310" t="s">
        <v>283</v>
      </c>
      <c r="B117" s="309" t="s">
        <v>256</v>
      </c>
      <c r="C117" s="320"/>
      <c r="D117" s="312"/>
      <c r="E117" s="312"/>
      <c r="F117" s="284"/>
      <c r="G117" s="284"/>
      <c r="H117" s="284"/>
      <c r="I117" s="284"/>
      <c r="J117" s="284"/>
      <c r="K117" s="284"/>
      <c r="L117" s="284"/>
      <c r="M117" s="284"/>
      <c r="N117" s="284"/>
      <c r="O117" s="284"/>
      <c r="P117" s="284"/>
      <c r="Q117" s="284"/>
      <c r="R117" s="284"/>
      <c r="S117" s="284"/>
      <c r="T117" s="284"/>
      <c r="U117" s="284"/>
      <c r="V117" s="284"/>
      <c r="W117" s="284"/>
      <c r="X117" s="284"/>
      <c r="Y117" s="284"/>
      <c r="Z117" s="284"/>
      <c r="AA117" s="284"/>
      <c r="AB117" s="284"/>
      <c r="AC117" s="284"/>
      <c r="AD117" s="284"/>
      <c r="AE117" s="284"/>
      <c r="AF117" s="284"/>
      <c r="AG117" s="284"/>
      <c r="AH117" s="284"/>
      <c r="AI117" s="284"/>
      <c r="AJ117" s="284"/>
      <c r="AK117" s="284"/>
      <c r="AL117" s="284"/>
      <c r="AM117" s="284"/>
      <c r="AN117" s="284"/>
      <c r="AO117" s="284"/>
      <c r="AP117" s="284"/>
      <c r="AQ117" s="284"/>
      <c r="AR117" s="284"/>
      <c r="AS117" s="284"/>
      <c r="AT117" s="284"/>
      <c r="AU117" s="284"/>
      <c r="AV117" s="284"/>
      <c r="AW117" s="284"/>
      <c r="AX117" s="284"/>
      <c r="AY117" s="284"/>
      <c r="AZ117" s="284"/>
      <c r="BA117" s="284"/>
      <c r="BB117" s="284"/>
      <c r="BC117" s="284"/>
      <c r="BD117" s="284"/>
      <c r="BE117" s="284"/>
      <c r="BF117" s="284"/>
      <c r="BG117" s="284"/>
      <c r="BH117" s="284"/>
      <c r="BI117" s="284"/>
      <c r="BJ117" s="284"/>
      <c r="BK117" s="284"/>
      <c r="BL117" s="284"/>
      <c r="BM117" s="284"/>
      <c r="BN117" s="284"/>
      <c r="BO117" s="284"/>
      <c r="BP117" s="284"/>
      <c r="BQ117" s="284"/>
      <c r="BR117" s="284"/>
      <c r="BS117" s="284"/>
      <c r="BT117" s="284"/>
      <c r="BU117" s="284"/>
      <c r="BV117" s="284"/>
      <c r="BW117" s="284"/>
      <c r="BX117" s="284"/>
      <c r="BY117" s="284"/>
      <c r="BZ117" s="284"/>
      <c r="CA117" s="284"/>
      <c r="CB117" s="284"/>
      <c r="CC117" s="284"/>
      <c r="CD117" s="284"/>
      <c r="CE117" s="284"/>
      <c r="CF117" s="284"/>
    </row>
    <row r="118" spans="1:84" ht="12.6" customHeight="1" x14ac:dyDescent="0.25">
      <c r="A118" s="310" t="s">
        <v>284</v>
      </c>
      <c r="B118" s="309" t="s">
        <v>256</v>
      </c>
      <c r="C118" s="320"/>
      <c r="D118" s="312"/>
      <c r="E118" s="312"/>
      <c r="F118" s="284"/>
      <c r="G118" s="284"/>
      <c r="H118" s="284"/>
      <c r="I118" s="284"/>
      <c r="J118" s="284"/>
      <c r="K118" s="284"/>
      <c r="L118" s="284"/>
      <c r="M118" s="284"/>
      <c r="N118" s="284"/>
      <c r="O118" s="284"/>
      <c r="P118" s="284"/>
      <c r="Q118" s="284"/>
      <c r="R118" s="284"/>
      <c r="S118" s="284"/>
      <c r="T118" s="284"/>
      <c r="U118" s="284"/>
      <c r="V118" s="284"/>
      <c r="W118" s="284"/>
      <c r="X118" s="284"/>
      <c r="Y118" s="284"/>
      <c r="Z118" s="284"/>
      <c r="AA118" s="284"/>
      <c r="AB118" s="284"/>
      <c r="AC118" s="284"/>
      <c r="AD118" s="284"/>
      <c r="AE118" s="284"/>
      <c r="AF118" s="284"/>
      <c r="AG118" s="284"/>
      <c r="AH118" s="284"/>
      <c r="AI118" s="284"/>
      <c r="AJ118" s="284"/>
      <c r="AK118" s="284"/>
      <c r="AL118" s="284"/>
      <c r="AM118" s="284"/>
      <c r="AN118" s="284"/>
      <c r="AO118" s="284"/>
      <c r="AP118" s="284"/>
      <c r="AQ118" s="284"/>
      <c r="AR118" s="284"/>
      <c r="AS118" s="284"/>
      <c r="AT118" s="284"/>
      <c r="AU118" s="284"/>
      <c r="AV118" s="284"/>
      <c r="AW118" s="284"/>
      <c r="AX118" s="284"/>
      <c r="AY118" s="284"/>
      <c r="AZ118" s="284"/>
      <c r="BA118" s="284"/>
      <c r="BB118" s="284"/>
      <c r="BC118" s="284"/>
      <c r="BD118" s="284"/>
      <c r="BE118" s="284"/>
      <c r="BF118" s="284"/>
      <c r="BG118" s="284"/>
      <c r="BH118" s="284"/>
      <c r="BI118" s="284"/>
      <c r="BJ118" s="284"/>
      <c r="BK118" s="284"/>
      <c r="BL118" s="284"/>
      <c r="BM118" s="284"/>
      <c r="BN118" s="284"/>
      <c r="BO118" s="284"/>
      <c r="BP118" s="284"/>
      <c r="BQ118" s="284"/>
      <c r="BR118" s="284"/>
      <c r="BS118" s="284"/>
      <c r="BT118" s="284"/>
      <c r="BU118" s="284"/>
      <c r="BV118" s="284"/>
      <c r="BW118" s="284"/>
      <c r="BX118" s="284"/>
      <c r="BY118" s="284"/>
      <c r="BZ118" s="284"/>
      <c r="CA118" s="284"/>
      <c r="CB118" s="284"/>
      <c r="CC118" s="284"/>
      <c r="CD118" s="284"/>
      <c r="CE118" s="284"/>
      <c r="CF118" s="284"/>
    </row>
    <row r="119" spans="1:84" ht="12.6" customHeight="1" x14ac:dyDescent="0.25">
      <c r="A119" s="310" t="s">
        <v>1239</v>
      </c>
      <c r="B119" s="309" t="s">
        <v>256</v>
      </c>
      <c r="C119" s="320"/>
      <c r="D119" s="312"/>
      <c r="E119" s="312"/>
      <c r="F119" s="284"/>
      <c r="G119" s="284"/>
      <c r="H119" s="284"/>
      <c r="I119" s="284"/>
      <c r="J119" s="284"/>
      <c r="K119" s="284"/>
      <c r="L119" s="284"/>
      <c r="M119" s="284"/>
      <c r="N119" s="284"/>
      <c r="O119" s="284"/>
      <c r="P119" s="284"/>
      <c r="Q119" s="284"/>
      <c r="R119" s="284"/>
      <c r="S119" s="284"/>
      <c r="T119" s="284"/>
      <c r="U119" s="284"/>
      <c r="V119" s="284"/>
      <c r="W119" s="284"/>
      <c r="X119" s="284"/>
      <c r="Y119" s="284"/>
      <c r="Z119" s="284"/>
      <c r="AA119" s="284"/>
      <c r="AB119" s="284"/>
      <c r="AC119" s="284"/>
      <c r="AD119" s="284"/>
      <c r="AE119" s="284"/>
      <c r="AF119" s="284"/>
      <c r="AG119" s="284"/>
      <c r="AH119" s="284"/>
      <c r="AI119" s="284"/>
      <c r="AJ119" s="284"/>
      <c r="AK119" s="284"/>
      <c r="AL119" s="284"/>
      <c r="AM119" s="284"/>
      <c r="AN119" s="284"/>
      <c r="AO119" s="284"/>
      <c r="AP119" s="284"/>
      <c r="AQ119" s="284"/>
      <c r="AR119" s="284"/>
      <c r="AS119" s="284"/>
      <c r="AT119" s="284"/>
      <c r="AU119" s="284"/>
      <c r="AV119" s="284"/>
      <c r="AW119" s="284"/>
      <c r="AX119" s="284"/>
      <c r="AY119" s="284"/>
      <c r="AZ119" s="284"/>
      <c r="BA119" s="284"/>
      <c r="BB119" s="284"/>
      <c r="BC119" s="284"/>
      <c r="BD119" s="284"/>
      <c r="BE119" s="284"/>
      <c r="BF119" s="284"/>
      <c r="BG119" s="284"/>
      <c r="BH119" s="284"/>
      <c r="BI119" s="284"/>
      <c r="BJ119" s="284"/>
      <c r="BK119" s="284"/>
      <c r="BL119" s="284"/>
      <c r="BM119" s="284"/>
      <c r="BN119" s="284"/>
      <c r="BO119" s="284"/>
      <c r="BP119" s="284"/>
      <c r="BQ119" s="284"/>
      <c r="BR119" s="284"/>
      <c r="BS119" s="284"/>
      <c r="BT119" s="284"/>
      <c r="BU119" s="284"/>
      <c r="BV119" s="284"/>
      <c r="BW119" s="284"/>
      <c r="BX119" s="284"/>
      <c r="BY119" s="284"/>
      <c r="BZ119" s="284"/>
      <c r="CA119" s="284"/>
      <c r="CB119" s="284"/>
      <c r="CC119" s="284"/>
      <c r="CD119" s="284"/>
      <c r="CE119" s="284"/>
      <c r="CF119" s="284"/>
    </row>
    <row r="120" spans="1:84" ht="12.6" customHeight="1" x14ac:dyDescent="0.25">
      <c r="A120" s="310" t="s">
        <v>285</v>
      </c>
      <c r="B120" s="309" t="s">
        <v>256</v>
      </c>
      <c r="C120" s="320"/>
      <c r="D120" s="312"/>
      <c r="E120" s="312"/>
      <c r="F120" s="284"/>
      <c r="G120" s="284"/>
      <c r="H120" s="284"/>
      <c r="I120" s="284"/>
      <c r="J120" s="284"/>
      <c r="K120" s="284"/>
      <c r="L120" s="284"/>
      <c r="M120" s="284"/>
      <c r="N120" s="284"/>
      <c r="O120" s="284"/>
      <c r="P120" s="284"/>
      <c r="Q120" s="284"/>
      <c r="R120" s="284"/>
      <c r="S120" s="284"/>
      <c r="T120" s="284"/>
      <c r="U120" s="284"/>
      <c r="V120" s="284"/>
      <c r="W120" s="284"/>
      <c r="X120" s="284"/>
      <c r="Y120" s="284"/>
      <c r="Z120" s="284"/>
      <c r="AA120" s="284"/>
      <c r="AB120" s="284"/>
      <c r="AC120" s="284"/>
      <c r="AD120" s="284"/>
      <c r="AE120" s="284"/>
      <c r="AF120" s="284"/>
      <c r="AG120" s="284"/>
      <c r="AH120" s="284"/>
      <c r="AI120" s="284"/>
      <c r="AJ120" s="284"/>
      <c r="AK120" s="284"/>
      <c r="AL120" s="284"/>
      <c r="AM120" s="284"/>
      <c r="AN120" s="284"/>
      <c r="AO120" s="284"/>
      <c r="AP120" s="284"/>
      <c r="AQ120" s="284"/>
      <c r="AR120" s="284"/>
      <c r="AS120" s="284"/>
      <c r="AT120" s="284"/>
      <c r="AU120" s="284"/>
      <c r="AV120" s="284"/>
      <c r="AW120" s="284"/>
      <c r="AX120" s="284"/>
      <c r="AY120" s="284"/>
      <c r="AZ120" s="284"/>
      <c r="BA120" s="284"/>
      <c r="BB120" s="284"/>
      <c r="BC120" s="284"/>
      <c r="BD120" s="284"/>
      <c r="BE120" s="284"/>
      <c r="BF120" s="284"/>
      <c r="BG120" s="284"/>
      <c r="BH120" s="284"/>
      <c r="BI120" s="284"/>
      <c r="BJ120" s="284"/>
      <c r="BK120" s="284"/>
      <c r="BL120" s="284"/>
      <c r="BM120" s="284"/>
      <c r="BN120" s="284"/>
      <c r="BO120" s="284"/>
      <c r="BP120" s="284"/>
      <c r="BQ120" s="284"/>
      <c r="BR120" s="284"/>
      <c r="BS120" s="284"/>
      <c r="BT120" s="284"/>
      <c r="BU120" s="284"/>
      <c r="BV120" s="284"/>
      <c r="BW120" s="284"/>
      <c r="BX120" s="284"/>
      <c r="BY120" s="284"/>
      <c r="BZ120" s="284"/>
      <c r="CA120" s="284"/>
      <c r="CB120" s="284"/>
      <c r="CC120" s="284"/>
      <c r="CD120" s="284"/>
      <c r="CE120" s="284"/>
      <c r="CF120" s="284"/>
    </row>
    <row r="121" spans="1:84" ht="12.6" customHeight="1" x14ac:dyDescent="0.25">
      <c r="A121" s="310" t="s">
        <v>286</v>
      </c>
      <c r="B121" s="309" t="s">
        <v>256</v>
      </c>
      <c r="C121" s="320"/>
      <c r="D121" s="312"/>
      <c r="E121" s="312"/>
      <c r="F121" s="284"/>
      <c r="G121" s="284"/>
      <c r="H121" s="284"/>
      <c r="I121" s="284"/>
      <c r="J121" s="284"/>
      <c r="K121" s="284"/>
      <c r="L121" s="284"/>
      <c r="M121" s="284"/>
      <c r="N121" s="284"/>
      <c r="O121" s="284"/>
      <c r="P121" s="284"/>
      <c r="Q121" s="284"/>
      <c r="R121" s="284"/>
      <c r="S121" s="284"/>
      <c r="T121" s="284"/>
      <c r="U121" s="284"/>
      <c r="V121" s="284"/>
      <c r="W121" s="284"/>
      <c r="X121" s="284"/>
      <c r="Y121" s="284"/>
      <c r="Z121" s="284"/>
      <c r="AA121" s="284"/>
      <c r="AB121" s="284"/>
      <c r="AC121" s="284"/>
      <c r="AD121" s="284"/>
      <c r="AE121" s="284"/>
      <c r="AF121" s="284"/>
      <c r="AG121" s="284"/>
      <c r="AH121" s="284"/>
      <c r="AI121" s="284"/>
      <c r="AJ121" s="284"/>
      <c r="AK121" s="284"/>
      <c r="AL121" s="284"/>
      <c r="AM121" s="284"/>
      <c r="AN121" s="284"/>
      <c r="AO121" s="284"/>
      <c r="AP121" s="284"/>
      <c r="AQ121" s="284"/>
      <c r="AR121" s="284"/>
      <c r="AS121" s="284"/>
      <c r="AT121" s="284"/>
      <c r="AU121" s="284"/>
      <c r="AV121" s="284"/>
      <c r="AW121" s="284"/>
      <c r="AX121" s="284"/>
      <c r="AY121" s="284"/>
      <c r="AZ121" s="284"/>
      <c r="BA121" s="284"/>
      <c r="BB121" s="284"/>
      <c r="BC121" s="284"/>
      <c r="BD121" s="284"/>
      <c r="BE121" s="284"/>
      <c r="BF121" s="284"/>
      <c r="BG121" s="284"/>
      <c r="BH121" s="284"/>
      <c r="BI121" s="284"/>
      <c r="BJ121" s="284"/>
      <c r="BK121" s="284"/>
      <c r="BL121" s="284"/>
      <c r="BM121" s="284"/>
      <c r="BN121" s="284"/>
      <c r="BO121" s="284"/>
      <c r="BP121" s="284"/>
      <c r="BQ121" s="284"/>
      <c r="BR121" s="284"/>
      <c r="BS121" s="284"/>
      <c r="BT121" s="284"/>
      <c r="BU121" s="284"/>
      <c r="BV121" s="284"/>
      <c r="BW121" s="284"/>
      <c r="BX121" s="284"/>
      <c r="BY121" s="284"/>
      <c r="BZ121" s="284"/>
      <c r="CA121" s="284"/>
      <c r="CB121" s="284"/>
      <c r="CC121" s="284"/>
      <c r="CD121" s="284"/>
      <c r="CE121" s="284"/>
      <c r="CF121" s="284"/>
    </row>
    <row r="122" spans="1:84" ht="12.6" customHeight="1" x14ac:dyDescent="0.25">
      <c r="A122" s="310" t="s">
        <v>287</v>
      </c>
      <c r="B122" s="309" t="s">
        <v>256</v>
      </c>
      <c r="C122" s="320"/>
      <c r="D122" s="312"/>
      <c r="E122" s="312"/>
      <c r="F122" s="284"/>
      <c r="G122" s="284"/>
      <c r="H122" s="284"/>
      <c r="I122" s="284"/>
      <c r="J122" s="284"/>
      <c r="K122" s="284"/>
      <c r="L122" s="284"/>
      <c r="M122" s="284"/>
      <c r="N122" s="284"/>
      <c r="O122" s="284"/>
      <c r="P122" s="284"/>
      <c r="Q122" s="284"/>
      <c r="R122" s="284"/>
      <c r="S122" s="284"/>
      <c r="T122" s="284"/>
      <c r="U122" s="284"/>
      <c r="V122" s="284"/>
      <c r="W122" s="284"/>
      <c r="X122" s="284"/>
      <c r="Y122" s="284"/>
      <c r="Z122" s="284"/>
      <c r="AA122" s="284"/>
      <c r="AB122" s="284"/>
      <c r="AC122" s="284"/>
      <c r="AD122" s="284"/>
      <c r="AE122" s="284"/>
      <c r="AF122" s="284"/>
      <c r="AG122" s="284"/>
      <c r="AH122" s="284"/>
      <c r="AI122" s="284"/>
      <c r="AJ122" s="284"/>
      <c r="AK122" s="284"/>
      <c r="AL122" s="284"/>
      <c r="AM122" s="284"/>
      <c r="AN122" s="284"/>
      <c r="AO122" s="284"/>
      <c r="AP122" s="284"/>
      <c r="AQ122" s="284"/>
      <c r="AR122" s="284"/>
      <c r="AS122" s="284"/>
      <c r="AT122" s="284"/>
      <c r="AU122" s="284"/>
      <c r="AV122" s="284"/>
      <c r="AW122" s="284"/>
      <c r="AX122" s="284"/>
      <c r="AY122" s="284"/>
      <c r="AZ122" s="284"/>
      <c r="BA122" s="284"/>
      <c r="BB122" s="284"/>
      <c r="BC122" s="284"/>
      <c r="BD122" s="284"/>
      <c r="BE122" s="284"/>
      <c r="BF122" s="284"/>
      <c r="BG122" s="284"/>
      <c r="BH122" s="284"/>
      <c r="BI122" s="284"/>
      <c r="BJ122" s="284"/>
      <c r="BK122" s="284"/>
      <c r="BL122" s="284"/>
      <c r="BM122" s="284"/>
      <c r="BN122" s="284"/>
      <c r="BO122" s="284"/>
      <c r="BP122" s="284"/>
      <c r="BQ122" s="284"/>
      <c r="BR122" s="284"/>
      <c r="BS122" s="284"/>
      <c r="BT122" s="284"/>
      <c r="BU122" s="284"/>
      <c r="BV122" s="284"/>
      <c r="BW122" s="284"/>
      <c r="BX122" s="284"/>
      <c r="BY122" s="284"/>
      <c r="BZ122" s="284"/>
      <c r="CA122" s="284"/>
      <c r="CB122" s="284"/>
      <c r="CC122" s="284"/>
      <c r="CD122" s="284"/>
      <c r="CE122" s="284"/>
      <c r="CF122" s="284"/>
    </row>
    <row r="123" spans="1:84" ht="12.6" customHeight="1" x14ac:dyDescent="0.25">
      <c r="A123" s="310" t="s">
        <v>97</v>
      </c>
      <c r="B123" s="309" t="s">
        <v>256</v>
      </c>
      <c r="C123" s="320"/>
      <c r="D123" s="312"/>
      <c r="E123" s="312"/>
      <c r="F123" s="284"/>
      <c r="G123" s="284"/>
      <c r="H123" s="284"/>
      <c r="I123" s="284"/>
      <c r="J123" s="284"/>
      <c r="K123" s="284"/>
      <c r="L123" s="284"/>
      <c r="M123" s="284"/>
      <c r="N123" s="284"/>
      <c r="O123" s="284"/>
      <c r="P123" s="284"/>
      <c r="Q123" s="284"/>
      <c r="R123" s="284"/>
      <c r="S123" s="284"/>
      <c r="T123" s="284"/>
      <c r="U123" s="284"/>
      <c r="V123" s="284"/>
      <c r="W123" s="284"/>
      <c r="X123" s="284"/>
      <c r="Y123" s="284"/>
      <c r="Z123" s="284"/>
      <c r="AA123" s="284"/>
      <c r="AB123" s="284"/>
      <c r="AC123" s="284"/>
      <c r="AD123" s="284"/>
      <c r="AE123" s="284"/>
      <c r="AF123" s="284"/>
      <c r="AG123" s="284"/>
      <c r="AH123" s="284"/>
      <c r="AI123" s="284"/>
      <c r="AJ123" s="284"/>
      <c r="AK123" s="284"/>
      <c r="AL123" s="284"/>
      <c r="AM123" s="284"/>
      <c r="AN123" s="284"/>
      <c r="AO123" s="284"/>
      <c r="AP123" s="284"/>
      <c r="AQ123" s="284"/>
      <c r="AR123" s="284"/>
      <c r="AS123" s="284"/>
      <c r="AT123" s="284"/>
      <c r="AU123" s="284"/>
      <c r="AV123" s="284"/>
      <c r="AW123" s="284"/>
      <c r="AX123" s="284"/>
      <c r="AY123" s="284"/>
      <c r="AZ123" s="284"/>
      <c r="BA123" s="284"/>
      <c r="BB123" s="284"/>
      <c r="BC123" s="284"/>
      <c r="BD123" s="284"/>
      <c r="BE123" s="284"/>
      <c r="BF123" s="284"/>
      <c r="BG123" s="284"/>
      <c r="BH123" s="284"/>
      <c r="BI123" s="284"/>
      <c r="BJ123" s="284"/>
      <c r="BK123" s="284"/>
      <c r="BL123" s="284"/>
      <c r="BM123" s="284"/>
      <c r="BN123" s="284"/>
      <c r="BO123" s="284"/>
      <c r="BP123" s="284"/>
      <c r="BQ123" s="284"/>
      <c r="BR123" s="284"/>
      <c r="BS123" s="284"/>
      <c r="BT123" s="284"/>
      <c r="BU123" s="284"/>
      <c r="BV123" s="284"/>
      <c r="BW123" s="284"/>
      <c r="BX123" s="284"/>
      <c r="BY123" s="284"/>
      <c r="BZ123" s="284"/>
      <c r="CA123" s="284"/>
      <c r="CB123" s="284"/>
      <c r="CC123" s="284"/>
      <c r="CD123" s="284"/>
      <c r="CE123" s="284"/>
      <c r="CF123" s="284"/>
    </row>
    <row r="124" spans="1:84" ht="12.6" customHeight="1" x14ac:dyDescent="0.25">
      <c r="A124" s="310" t="s">
        <v>288</v>
      </c>
      <c r="B124" s="309" t="s">
        <v>256</v>
      </c>
      <c r="C124" s="320"/>
      <c r="D124" s="312"/>
      <c r="E124" s="312"/>
      <c r="F124" s="284"/>
      <c r="G124" s="284"/>
      <c r="H124" s="284"/>
      <c r="I124" s="284"/>
      <c r="J124" s="284"/>
      <c r="K124" s="284"/>
      <c r="L124" s="284"/>
      <c r="M124" s="284"/>
      <c r="N124" s="284"/>
      <c r="O124" s="284"/>
      <c r="P124" s="284"/>
      <c r="Q124" s="284"/>
      <c r="R124" s="284"/>
      <c r="S124" s="284"/>
      <c r="T124" s="284"/>
      <c r="U124" s="284"/>
      <c r="V124" s="284"/>
      <c r="W124" s="284"/>
      <c r="X124" s="284"/>
      <c r="Y124" s="284"/>
      <c r="Z124" s="284"/>
      <c r="AA124" s="284"/>
      <c r="AB124" s="284"/>
      <c r="AC124" s="284"/>
      <c r="AD124" s="284"/>
      <c r="AE124" s="284"/>
      <c r="AF124" s="284"/>
      <c r="AG124" s="284"/>
      <c r="AH124" s="284"/>
      <c r="AI124" s="284"/>
      <c r="AJ124" s="284"/>
      <c r="AK124" s="284"/>
      <c r="AL124" s="284"/>
      <c r="AM124" s="284"/>
      <c r="AN124" s="284"/>
      <c r="AO124" s="284"/>
      <c r="AP124" s="284"/>
      <c r="AQ124" s="284"/>
      <c r="AR124" s="284"/>
      <c r="AS124" s="284"/>
      <c r="AT124" s="284"/>
      <c r="AU124" s="284"/>
      <c r="AV124" s="284"/>
      <c r="AW124" s="284"/>
      <c r="AX124" s="284"/>
      <c r="AY124" s="284"/>
      <c r="AZ124" s="284"/>
      <c r="BA124" s="284"/>
      <c r="BB124" s="284"/>
      <c r="BC124" s="284"/>
      <c r="BD124" s="284"/>
      <c r="BE124" s="284"/>
      <c r="BF124" s="284"/>
      <c r="BG124" s="284"/>
      <c r="BH124" s="284"/>
      <c r="BI124" s="284"/>
      <c r="BJ124" s="284"/>
      <c r="BK124" s="284"/>
      <c r="BL124" s="284"/>
      <c r="BM124" s="284"/>
      <c r="BN124" s="284"/>
      <c r="BO124" s="284"/>
      <c r="BP124" s="284"/>
      <c r="BQ124" s="284"/>
      <c r="BR124" s="284"/>
      <c r="BS124" s="284"/>
      <c r="BT124" s="284"/>
      <c r="BU124" s="284"/>
      <c r="BV124" s="284"/>
      <c r="BW124" s="284"/>
      <c r="BX124" s="284"/>
      <c r="BY124" s="284"/>
      <c r="BZ124" s="284"/>
      <c r="CA124" s="284"/>
      <c r="CB124" s="284"/>
      <c r="CC124" s="284"/>
      <c r="CD124" s="284"/>
      <c r="CE124" s="284"/>
      <c r="CF124" s="284"/>
    </row>
    <row r="125" spans="1:84" ht="12.6" customHeight="1" x14ac:dyDescent="0.25">
      <c r="A125" s="310" t="s">
        <v>289</v>
      </c>
      <c r="B125" s="309"/>
      <c r="C125" s="320">
        <v>11</v>
      </c>
      <c r="D125" s="312"/>
      <c r="E125" s="312"/>
      <c r="F125" s="284"/>
      <c r="G125" s="284"/>
      <c r="H125" s="284"/>
      <c r="I125" s="284"/>
      <c r="J125" s="284"/>
      <c r="K125" s="284"/>
      <c r="L125" s="284"/>
      <c r="M125" s="284"/>
      <c r="N125" s="284"/>
      <c r="O125" s="284"/>
      <c r="P125" s="284"/>
      <c r="Q125" s="284"/>
      <c r="R125" s="284"/>
      <c r="S125" s="284"/>
      <c r="T125" s="284"/>
      <c r="U125" s="284"/>
      <c r="V125" s="284"/>
      <c r="W125" s="284"/>
      <c r="X125" s="284"/>
      <c r="Y125" s="284"/>
      <c r="Z125" s="284"/>
      <c r="AA125" s="284"/>
      <c r="AB125" s="284"/>
      <c r="AC125" s="284"/>
      <c r="AD125" s="284"/>
      <c r="AE125" s="284"/>
      <c r="AF125" s="284"/>
      <c r="AG125" s="284"/>
      <c r="AH125" s="284"/>
      <c r="AI125" s="284"/>
      <c r="AJ125" s="284"/>
      <c r="AK125" s="284"/>
      <c r="AL125" s="284"/>
      <c r="AM125" s="284"/>
      <c r="AN125" s="284"/>
      <c r="AO125" s="284"/>
      <c r="AP125" s="284"/>
      <c r="AQ125" s="284"/>
      <c r="AR125" s="284"/>
      <c r="AS125" s="284"/>
      <c r="AT125" s="284"/>
      <c r="AU125" s="284"/>
      <c r="AV125" s="284"/>
      <c r="AW125" s="284"/>
      <c r="AX125" s="284"/>
      <c r="AY125" s="284"/>
      <c r="AZ125" s="284"/>
      <c r="BA125" s="284"/>
      <c r="BB125" s="284"/>
      <c r="BC125" s="284"/>
      <c r="BD125" s="284"/>
      <c r="BE125" s="284"/>
      <c r="BF125" s="284"/>
      <c r="BG125" s="284"/>
      <c r="BH125" s="284"/>
      <c r="BI125" s="284"/>
      <c r="BJ125" s="284"/>
      <c r="BK125" s="284"/>
      <c r="BL125" s="284"/>
      <c r="BM125" s="284"/>
      <c r="BN125" s="284"/>
      <c r="BO125" s="284"/>
      <c r="BP125" s="284"/>
      <c r="BQ125" s="284"/>
      <c r="BR125" s="284"/>
      <c r="BS125" s="284"/>
      <c r="BT125" s="284"/>
      <c r="BU125" s="284"/>
      <c r="BV125" s="284"/>
      <c r="BW125" s="284"/>
      <c r="BX125" s="284"/>
      <c r="BY125" s="284"/>
      <c r="BZ125" s="284"/>
      <c r="CA125" s="284"/>
      <c r="CB125" s="284"/>
      <c r="CC125" s="284"/>
      <c r="CD125" s="284"/>
      <c r="CE125" s="284"/>
      <c r="CF125" s="284"/>
    </row>
    <row r="126" spans="1:84" ht="12.6" customHeight="1" x14ac:dyDescent="0.25">
      <c r="A126" s="310" t="s">
        <v>280</v>
      </c>
      <c r="B126" s="309" t="s">
        <v>256</v>
      </c>
      <c r="C126" s="320">
        <v>14</v>
      </c>
      <c r="D126" s="312"/>
      <c r="E126" s="312"/>
      <c r="F126" s="284"/>
      <c r="G126" s="284"/>
      <c r="H126" s="284"/>
      <c r="I126" s="284"/>
      <c r="J126" s="284"/>
      <c r="K126" s="284"/>
      <c r="L126" s="284"/>
      <c r="M126" s="284"/>
      <c r="N126" s="284"/>
      <c r="O126" s="284"/>
      <c r="P126" s="284"/>
      <c r="Q126" s="284"/>
      <c r="R126" s="284"/>
      <c r="S126" s="284"/>
      <c r="T126" s="284"/>
      <c r="U126" s="284"/>
      <c r="V126" s="284"/>
      <c r="W126" s="284"/>
      <c r="X126" s="284"/>
      <c r="Y126" s="284"/>
      <c r="Z126" s="284"/>
      <c r="AA126" s="284"/>
      <c r="AB126" s="284"/>
      <c r="AC126" s="284"/>
      <c r="AD126" s="284"/>
      <c r="AE126" s="284"/>
      <c r="AF126" s="284"/>
      <c r="AG126" s="284"/>
      <c r="AH126" s="284"/>
      <c r="AI126" s="284"/>
      <c r="AJ126" s="284"/>
      <c r="AK126" s="284"/>
      <c r="AL126" s="284"/>
      <c r="AM126" s="284"/>
      <c r="AN126" s="284"/>
      <c r="AO126" s="284"/>
      <c r="AP126" s="284"/>
      <c r="AQ126" s="284"/>
      <c r="AR126" s="284"/>
      <c r="AS126" s="284"/>
      <c r="AT126" s="284"/>
      <c r="AU126" s="284"/>
      <c r="AV126" s="284"/>
      <c r="AW126" s="284"/>
      <c r="AX126" s="284"/>
      <c r="AY126" s="284"/>
      <c r="AZ126" s="284"/>
      <c r="BA126" s="284"/>
      <c r="BB126" s="284"/>
      <c r="BC126" s="284"/>
      <c r="BD126" s="284"/>
      <c r="BE126" s="284"/>
      <c r="BF126" s="284"/>
      <c r="BG126" s="284"/>
      <c r="BH126" s="284"/>
      <c r="BI126" s="284"/>
      <c r="BJ126" s="284"/>
      <c r="BK126" s="284"/>
      <c r="BL126" s="284"/>
      <c r="BM126" s="284"/>
      <c r="BN126" s="284"/>
      <c r="BO126" s="284"/>
      <c r="BP126" s="284"/>
      <c r="BQ126" s="284"/>
      <c r="BR126" s="284"/>
      <c r="BS126" s="284"/>
      <c r="BT126" s="284"/>
      <c r="BU126" s="284"/>
      <c r="BV126" s="284"/>
      <c r="BW126" s="284"/>
      <c r="BX126" s="284"/>
      <c r="BY126" s="284"/>
      <c r="BZ126" s="284"/>
      <c r="CA126" s="284"/>
      <c r="CB126" s="284"/>
      <c r="CC126" s="284"/>
      <c r="CD126" s="284"/>
      <c r="CE126" s="284"/>
      <c r="CF126" s="284"/>
    </row>
    <row r="127" spans="1:84" ht="12.6" customHeight="1" x14ac:dyDescent="0.25">
      <c r="A127" s="310" t="s">
        <v>290</v>
      </c>
      <c r="B127" s="309" t="s">
        <v>256</v>
      </c>
      <c r="C127" s="320"/>
      <c r="D127" s="312"/>
      <c r="E127" s="312"/>
      <c r="F127" s="284"/>
      <c r="G127" s="284"/>
      <c r="H127" s="284"/>
      <c r="I127" s="284"/>
      <c r="J127" s="284"/>
      <c r="K127" s="284"/>
      <c r="L127" s="284"/>
      <c r="M127" s="284"/>
      <c r="N127" s="284"/>
      <c r="O127" s="284"/>
      <c r="P127" s="284"/>
      <c r="Q127" s="284"/>
      <c r="R127" s="284"/>
      <c r="S127" s="284"/>
      <c r="T127" s="284"/>
      <c r="U127" s="284"/>
      <c r="V127" s="284"/>
      <c r="W127" s="284"/>
      <c r="X127" s="284"/>
      <c r="Y127" s="284"/>
      <c r="Z127" s="284"/>
      <c r="AA127" s="284"/>
      <c r="AB127" s="284"/>
      <c r="AC127" s="284"/>
      <c r="AD127" s="284"/>
      <c r="AE127" s="284"/>
      <c r="AF127" s="284"/>
      <c r="AG127" s="284"/>
      <c r="AH127" s="284"/>
      <c r="AI127" s="284"/>
      <c r="AJ127" s="284"/>
      <c r="AK127" s="284"/>
      <c r="AL127" s="284"/>
      <c r="AM127" s="284"/>
      <c r="AN127" s="284"/>
      <c r="AO127" s="284"/>
      <c r="AP127" s="284"/>
      <c r="AQ127" s="284"/>
      <c r="AR127" s="284"/>
      <c r="AS127" s="284"/>
      <c r="AT127" s="284"/>
      <c r="AU127" s="284"/>
      <c r="AV127" s="284"/>
      <c r="AW127" s="284"/>
      <c r="AX127" s="284"/>
      <c r="AY127" s="284"/>
      <c r="AZ127" s="284"/>
      <c r="BA127" s="284"/>
      <c r="BB127" s="284"/>
      <c r="BC127" s="284"/>
      <c r="BD127" s="284"/>
      <c r="BE127" s="284"/>
      <c r="BF127" s="284"/>
      <c r="BG127" s="284"/>
      <c r="BH127" s="284"/>
      <c r="BI127" s="284"/>
      <c r="BJ127" s="284"/>
      <c r="BK127" s="284"/>
      <c r="BL127" s="284"/>
      <c r="BM127" s="284"/>
      <c r="BN127" s="284"/>
      <c r="BO127" s="284"/>
      <c r="BP127" s="284"/>
      <c r="BQ127" s="284"/>
      <c r="BR127" s="284"/>
      <c r="BS127" s="284"/>
      <c r="BT127" s="284"/>
      <c r="BU127" s="284"/>
      <c r="BV127" s="284"/>
      <c r="BW127" s="284"/>
      <c r="BX127" s="284"/>
      <c r="BY127" s="284"/>
      <c r="BZ127" s="284"/>
      <c r="CA127" s="284"/>
      <c r="CB127" s="284"/>
      <c r="CC127" s="284"/>
      <c r="CD127" s="284"/>
      <c r="CE127" s="284"/>
      <c r="CF127" s="284"/>
    </row>
    <row r="128" spans="1:84" ht="12.6" customHeight="1" x14ac:dyDescent="0.25">
      <c r="A128" s="310" t="s">
        <v>291</v>
      </c>
      <c r="B128" s="312"/>
      <c r="C128" s="322"/>
      <c r="D128" s="312"/>
      <c r="E128" s="312">
        <v>25</v>
      </c>
      <c r="F128" s="284"/>
      <c r="G128" s="284"/>
      <c r="H128" s="284"/>
      <c r="I128" s="284"/>
      <c r="J128" s="284"/>
      <c r="K128" s="284"/>
      <c r="L128" s="284"/>
      <c r="M128" s="284"/>
      <c r="N128" s="284"/>
      <c r="O128" s="284"/>
      <c r="P128" s="284"/>
      <c r="Q128" s="284"/>
      <c r="R128" s="284"/>
      <c r="S128" s="284"/>
      <c r="T128" s="284"/>
      <c r="U128" s="284"/>
      <c r="V128" s="284"/>
      <c r="W128" s="284"/>
      <c r="X128" s="284"/>
      <c r="Y128" s="284"/>
      <c r="Z128" s="284"/>
      <c r="AA128" s="284"/>
      <c r="AB128" s="284"/>
      <c r="AC128" s="284"/>
      <c r="AD128" s="284"/>
      <c r="AE128" s="284"/>
      <c r="AF128" s="284"/>
      <c r="AG128" s="284"/>
      <c r="AH128" s="284"/>
      <c r="AI128" s="284"/>
      <c r="AJ128" s="284"/>
      <c r="AK128" s="284"/>
      <c r="AL128" s="284"/>
      <c r="AM128" s="284"/>
      <c r="AN128" s="284"/>
      <c r="AO128" s="284"/>
      <c r="AP128" s="284"/>
      <c r="AQ128" s="284"/>
      <c r="AR128" s="284"/>
      <c r="AS128" s="284"/>
      <c r="AT128" s="284"/>
      <c r="AU128" s="284"/>
      <c r="AV128" s="284"/>
      <c r="AW128" s="284"/>
      <c r="AX128" s="284"/>
      <c r="AY128" s="284"/>
      <c r="AZ128" s="284"/>
      <c r="BA128" s="284"/>
      <c r="BB128" s="284"/>
      <c r="BC128" s="284"/>
      <c r="BD128" s="284"/>
      <c r="BE128" s="284"/>
      <c r="BF128" s="284"/>
      <c r="BG128" s="284"/>
      <c r="BH128" s="284"/>
      <c r="BI128" s="284"/>
      <c r="BJ128" s="284"/>
      <c r="BK128" s="284"/>
      <c r="BL128" s="284"/>
      <c r="BM128" s="284"/>
      <c r="BN128" s="284"/>
      <c r="BO128" s="284"/>
      <c r="BP128" s="284"/>
      <c r="BQ128" s="284"/>
      <c r="BR128" s="284"/>
      <c r="BS128" s="284"/>
      <c r="BT128" s="284"/>
      <c r="BU128" s="284"/>
      <c r="BV128" s="284"/>
      <c r="BW128" s="284"/>
      <c r="BX128" s="284"/>
      <c r="BY128" s="284"/>
      <c r="BZ128" s="284"/>
      <c r="CA128" s="284"/>
      <c r="CB128" s="284"/>
      <c r="CC128" s="284"/>
      <c r="CD128" s="284"/>
      <c r="CE128" s="284"/>
      <c r="CF128" s="284"/>
    </row>
    <row r="129" spans="1:84" ht="12.6" customHeight="1" x14ac:dyDescent="0.25">
      <c r="A129" s="310" t="s">
        <v>292</v>
      </c>
      <c r="B129" s="309" t="s">
        <v>256</v>
      </c>
      <c r="C129" s="320">
        <v>25</v>
      </c>
      <c r="D129" s="312"/>
      <c r="E129" s="312"/>
      <c r="F129" s="284"/>
      <c r="G129" s="284"/>
      <c r="H129" s="284"/>
      <c r="I129" s="284"/>
      <c r="J129" s="284"/>
      <c r="K129" s="284"/>
      <c r="L129" s="284"/>
      <c r="M129" s="284"/>
      <c r="N129" s="284"/>
      <c r="O129" s="284"/>
      <c r="P129" s="284"/>
      <c r="Q129" s="284"/>
      <c r="R129" s="284"/>
      <c r="S129" s="284"/>
      <c r="T129" s="284"/>
      <c r="U129" s="284"/>
      <c r="V129" s="284"/>
      <c r="W129" s="284"/>
      <c r="X129" s="284"/>
      <c r="Y129" s="284"/>
      <c r="Z129" s="284"/>
      <c r="AA129" s="284"/>
      <c r="AB129" s="284"/>
      <c r="AC129" s="284"/>
      <c r="AD129" s="284"/>
      <c r="AE129" s="284"/>
      <c r="AF129" s="284"/>
      <c r="AG129" s="284"/>
      <c r="AH129" s="284"/>
      <c r="AI129" s="284"/>
      <c r="AJ129" s="284"/>
      <c r="AK129" s="284"/>
      <c r="AL129" s="284"/>
      <c r="AM129" s="284"/>
      <c r="AN129" s="284"/>
      <c r="AO129" s="284"/>
      <c r="AP129" s="284"/>
      <c r="AQ129" s="284"/>
      <c r="AR129" s="284"/>
      <c r="AS129" s="284"/>
      <c r="AT129" s="284"/>
      <c r="AU129" s="284"/>
      <c r="AV129" s="284"/>
      <c r="AW129" s="284"/>
      <c r="AX129" s="284"/>
      <c r="AY129" s="284"/>
      <c r="AZ129" s="284"/>
      <c r="BA129" s="284"/>
      <c r="BB129" s="284"/>
      <c r="BC129" s="284"/>
      <c r="BD129" s="284"/>
      <c r="BE129" s="284"/>
      <c r="BF129" s="284"/>
      <c r="BG129" s="284"/>
      <c r="BH129" s="284"/>
      <c r="BI129" s="284"/>
      <c r="BJ129" s="284"/>
      <c r="BK129" s="284"/>
      <c r="BL129" s="284"/>
      <c r="BM129" s="284"/>
      <c r="BN129" s="284"/>
      <c r="BO129" s="284"/>
      <c r="BP129" s="284"/>
      <c r="BQ129" s="284"/>
      <c r="BR129" s="284"/>
      <c r="BS129" s="284"/>
      <c r="BT129" s="284"/>
      <c r="BU129" s="284"/>
      <c r="BV129" s="284"/>
      <c r="BW129" s="284"/>
      <c r="BX129" s="284"/>
      <c r="BY129" s="284"/>
      <c r="BZ129" s="284"/>
      <c r="CA129" s="284"/>
      <c r="CB129" s="284"/>
      <c r="CC129" s="284"/>
      <c r="CD129" s="284"/>
      <c r="CE129" s="284"/>
      <c r="CF129" s="284"/>
    </row>
    <row r="130" spans="1:84" ht="12.6" customHeight="1" x14ac:dyDescent="0.25">
      <c r="A130" s="310" t="s">
        <v>293</v>
      </c>
      <c r="B130" s="309" t="s">
        <v>256</v>
      </c>
      <c r="C130" s="320">
        <v>5</v>
      </c>
      <c r="D130" s="312"/>
      <c r="E130" s="312"/>
      <c r="F130" s="306"/>
      <c r="G130" s="284"/>
      <c r="H130" s="284"/>
      <c r="I130" s="284"/>
      <c r="J130" s="284"/>
      <c r="K130" s="284"/>
      <c r="L130" s="284"/>
      <c r="M130" s="284"/>
      <c r="N130" s="284"/>
      <c r="O130" s="284"/>
      <c r="P130" s="284"/>
      <c r="Q130" s="284"/>
      <c r="R130" s="284"/>
      <c r="S130" s="284"/>
      <c r="T130" s="284"/>
      <c r="U130" s="284"/>
      <c r="V130" s="284"/>
      <c r="W130" s="284"/>
      <c r="X130" s="284"/>
      <c r="Y130" s="284"/>
      <c r="Z130" s="284"/>
      <c r="AA130" s="284"/>
      <c r="AB130" s="284"/>
      <c r="AC130" s="284"/>
      <c r="AD130" s="284"/>
      <c r="AE130" s="284"/>
      <c r="AF130" s="284"/>
      <c r="AG130" s="284"/>
      <c r="AH130" s="284"/>
      <c r="AI130" s="284"/>
      <c r="AJ130" s="284"/>
      <c r="AK130" s="284"/>
      <c r="AL130" s="284"/>
      <c r="AM130" s="284"/>
      <c r="AN130" s="284"/>
      <c r="AO130" s="284"/>
      <c r="AP130" s="284"/>
      <c r="AQ130" s="284"/>
      <c r="AR130" s="284"/>
      <c r="AS130" s="284"/>
      <c r="AT130" s="284"/>
      <c r="AU130" s="284"/>
      <c r="AV130" s="284"/>
      <c r="AW130" s="284"/>
      <c r="AX130" s="284"/>
      <c r="AY130" s="284"/>
      <c r="AZ130" s="284"/>
      <c r="BA130" s="284"/>
      <c r="BB130" s="284"/>
      <c r="BC130" s="284"/>
      <c r="BD130" s="284"/>
      <c r="BE130" s="284"/>
      <c r="BF130" s="284"/>
      <c r="BG130" s="284"/>
      <c r="BH130" s="284"/>
      <c r="BI130" s="284"/>
      <c r="BJ130" s="284"/>
      <c r="BK130" s="284"/>
      <c r="BL130" s="284"/>
      <c r="BM130" s="284"/>
      <c r="BN130" s="284"/>
      <c r="BO130" s="284"/>
      <c r="BP130" s="284"/>
      <c r="BQ130" s="284"/>
      <c r="BR130" s="284"/>
      <c r="BS130" s="284"/>
      <c r="BT130" s="284"/>
      <c r="BU130" s="284"/>
      <c r="BV130" s="284"/>
      <c r="BW130" s="284"/>
      <c r="BX130" s="284"/>
      <c r="BY130" s="284"/>
      <c r="BZ130" s="284"/>
      <c r="CA130" s="284"/>
      <c r="CB130" s="284"/>
      <c r="CC130" s="284"/>
      <c r="CD130" s="284"/>
      <c r="CE130" s="284"/>
      <c r="CF130" s="284"/>
    </row>
    <row r="131" spans="1:84" ht="12.6" customHeight="1" x14ac:dyDescent="0.25">
      <c r="A131" s="310"/>
      <c r="B131" s="312"/>
      <c r="C131" s="322"/>
      <c r="D131" s="312"/>
      <c r="E131" s="312"/>
      <c r="F131" s="306"/>
      <c r="G131" s="284"/>
      <c r="H131" s="284"/>
      <c r="I131" s="284"/>
      <c r="J131" s="284"/>
      <c r="K131" s="284"/>
      <c r="L131" s="284"/>
      <c r="M131" s="284"/>
      <c r="N131" s="284"/>
      <c r="O131" s="284"/>
      <c r="P131" s="284"/>
      <c r="Q131" s="284"/>
      <c r="R131" s="284"/>
      <c r="S131" s="284"/>
      <c r="T131" s="284"/>
      <c r="U131" s="284"/>
      <c r="V131" s="284"/>
      <c r="W131" s="284"/>
      <c r="X131" s="284"/>
      <c r="Y131" s="284"/>
      <c r="Z131" s="284"/>
      <c r="AA131" s="284"/>
      <c r="AB131" s="284"/>
      <c r="AC131" s="284"/>
      <c r="AD131" s="284"/>
      <c r="AE131" s="284"/>
      <c r="AF131" s="284"/>
      <c r="AG131" s="284"/>
      <c r="AH131" s="284"/>
      <c r="AI131" s="284"/>
      <c r="AJ131" s="284"/>
      <c r="AK131" s="284"/>
      <c r="AL131" s="284"/>
      <c r="AM131" s="284"/>
      <c r="AN131" s="284"/>
      <c r="AO131" s="284"/>
      <c r="AP131" s="284"/>
      <c r="AQ131" s="284"/>
      <c r="AR131" s="284"/>
      <c r="AS131" s="284"/>
      <c r="AT131" s="284"/>
      <c r="AU131" s="284"/>
      <c r="AV131" s="284"/>
      <c r="AW131" s="284"/>
      <c r="AX131" s="284"/>
      <c r="AY131" s="284"/>
      <c r="AZ131" s="284"/>
      <c r="BA131" s="284"/>
      <c r="BB131" s="284"/>
      <c r="BC131" s="284"/>
      <c r="BD131" s="284"/>
      <c r="BE131" s="284"/>
      <c r="BF131" s="284"/>
      <c r="BG131" s="284"/>
      <c r="BH131" s="284"/>
      <c r="BI131" s="284"/>
      <c r="BJ131" s="284"/>
      <c r="BK131" s="284"/>
      <c r="BL131" s="284"/>
      <c r="BM131" s="284"/>
      <c r="BN131" s="284"/>
      <c r="BO131" s="284"/>
      <c r="BP131" s="284"/>
      <c r="BQ131" s="284"/>
      <c r="BR131" s="284"/>
      <c r="BS131" s="284"/>
      <c r="BT131" s="284"/>
      <c r="BU131" s="284"/>
      <c r="BV131" s="284"/>
      <c r="BW131" s="284"/>
      <c r="BX131" s="284"/>
      <c r="BY131" s="284"/>
      <c r="BZ131" s="284"/>
      <c r="CA131" s="284"/>
      <c r="CB131" s="284"/>
      <c r="CC131" s="284"/>
      <c r="CD131" s="284"/>
      <c r="CE131" s="284"/>
      <c r="CF131" s="284"/>
    </row>
    <row r="132" spans="1:84" ht="12.6" customHeight="1" x14ac:dyDescent="0.25">
      <c r="A132" s="310" t="s">
        <v>294</v>
      </c>
      <c r="B132" s="309" t="s">
        <v>256</v>
      </c>
      <c r="C132" s="320">
        <v>1166785.19</v>
      </c>
      <c r="D132" s="312"/>
      <c r="E132" s="312"/>
      <c r="F132" s="306"/>
      <c r="G132" s="284"/>
      <c r="H132" s="284"/>
      <c r="I132" s="284"/>
      <c r="J132" s="284"/>
      <c r="K132" s="284"/>
      <c r="L132" s="284"/>
      <c r="M132" s="284"/>
      <c r="N132" s="284"/>
      <c r="O132" s="284"/>
      <c r="P132" s="284"/>
      <c r="Q132" s="284"/>
      <c r="R132" s="284"/>
      <c r="S132" s="284"/>
      <c r="T132" s="284"/>
      <c r="U132" s="284"/>
      <c r="V132" s="284"/>
      <c r="W132" s="284"/>
      <c r="X132" s="284"/>
      <c r="Y132" s="284"/>
      <c r="Z132" s="284"/>
      <c r="AA132" s="284"/>
      <c r="AB132" s="284"/>
      <c r="AC132" s="284"/>
      <c r="AD132" s="284"/>
      <c r="AE132" s="284"/>
      <c r="AF132" s="284"/>
      <c r="AG132" s="284"/>
      <c r="AH132" s="284"/>
      <c r="AI132" s="284"/>
      <c r="AJ132" s="284"/>
      <c r="AK132" s="284"/>
      <c r="AL132" s="284"/>
      <c r="AM132" s="284"/>
      <c r="AN132" s="284"/>
      <c r="AO132" s="284"/>
      <c r="AP132" s="284"/>
      <c r="AQ132" s="284"/>
      <c r="AR132" s="284"/>
      <c r="AS132" s="284"/>
      <c r="AT132" s="284"/>
      <c r="AU132" s="284"/>
      <c r="AV132" s="284"/>
      <c r="AW132" s="284"/>
      <c r="AX132" s="284"/>
      <c r="AY132" s="284"/>
      <c r="AZ132" s="284"/>
      <c r="BA132" s="284"/>
      <c r="BB132" s="284"/>
      <c r="BC132" s="284"/>
      <c r="BD132" s="284"/>
      <c r="BE132" s="284"/>
      <c r="BF132" s="284"/>
      <c r="BG132" s="284"/>
      <c r="BH132" s="284"/>
      <c r="BI132" s="284"/>
      <c r="BJ132" s="284"/>
      <c r="BK132" s="284"/>
      <c r="BL132" s="284"/>
      <c r="BM132" s="284"/>
      <c r="BN132" s="284"/>
      <c r="BO132" s="284"/>
      <c r="BP132" s="284"/>
      <c r="BQ132" s="284"/>
      <c r="BR132" s="284"/>
      <c r="BS132" s="284"/>
      <c r="BT132" s="284"/>
      <c r="BU132" s="284"/>
      <c r="BV132" s="284"/>
      <c r="BW132" s="284"/>
      <c r="BX132" s="284"/>
      <c r="BY132" s="284"/>
      <c r="BZ132" s="284"/>
      <c r="CA132" s="284"/>
      <c r="CB132" s="284"/>
      <c r="CC132" s="284"/>
      <c r="CD132" s="284"/>
      <c r="CE132" s="284"/>
      <c r="CF132" s="284"/>
    </row>
    <row r="133" spans="1:84" ht="12.6" customHeight="1" x14ac:dyDescent="0.25">
      <c r="A133" s="310"/>
      <c r="B133" s="310"/>
      <c r="C133" s="322"/>
      <c r="D133" s="312"/>
      <c r="E133" s="312"/>
      <c r="F133" s="306"/>
      <c r="G133" s="284"/>
      <c r="H133" s="284"/>
      <c r="I133" s="284"/>
      <c r="J133" s="284"/>
      <c r="K133" s="284"/>
      <c r="L133" s="284"/>
      <c r="M133" s="284"/>
      <c r="N133" s="284"/>
      <c r="O133" s="284"/>
      <c r="P133" s="284"/>
      <c r="Q133" s="284"/>
      <c r="R133" s="284"/>
      <c r="S133" s="284"/>
      <c r="T133" s="284"/>
      <c r="U133" s="284"/>
      <c r="V133" s="284"/>
      <c r="W133" s="284"/>
      <c r="X133" s="284"/>
      <c r="Y133" s="284"/>
      <c r="Z133" s="284"/>
      <c r="AA133" s="284"/>
      <c r="AB133" s="284"/>
      <c r="AC133" s="284"/>
      <c r="AD133" s="284"/>
      <c r="AE133" s="284"/>
      <c r="AF133" s="284"/>
      <c r="AG133" s="284"/>
      <c r="AH133" s="284"/>
      <c r="AI133" s="284"/>
      <c r="AJ133" s="284"/>
      <c r="AK133" s="284"/>
      <c r="AL133" s="284"/>
      <c r="AM133" s="284"/>
      <c r="AN133" s="284"/>
      <c r="AO133" s="284"/>
      <c r="AP133" s="284"/>
      <c r="AQ133" s="284"/>
      <c r="AR133" s="284"/>
      <c r="AS133" s="284"/>
      <c r="AT133" s="284"/>
      <c r="AU133" s="284"/>
      <c r="AV133" s="284"/>
      <c r="AW133" s="284"/>
      <c r="AX133" s="284"/>
      <c r="AY133" s="284"/>
      <c r="AZ133" s="284"/>
      <c r="BA133" s="284"/>
      <c r="BB133" s="284"/>
      <c r="BC133" s="284"/>
      <c r="BD133" s="284"/>
      <c r="BE133" s="284"/>
      <c r="BF133" s="284"/>
      <c r="BG133" s="284"/>
      <c r="BH133" s="284"/>
      <c r="BI133" s="284"/>
      <c r="BJ133" s="284"/>
      <c r="BK133" s="284"/>
      <c r="BL133" s="284"/>
      <c r="BM133" s="284"/>
      <c r="BN133" s="284"/>
      <c r="BO133" s="284"/>
      <c r="BP133" s="284"/>
      <c r="BQ133" s="284"/>
      <c r="BR133" s="284"/>
      <c r="BS133" s="284"/>
      <c r="BT133" s="284"/>
      <c r="BU133" s="284"/>
      <c r="BV133" s="284"/>
      <c r="BW133" s="284"/>
      <c r="BX133" s="284"/>
      <c r="BY133" s="284"/>
      <c r="BZ133" s="284"/>
      <c r="CA133" s="284"/>
      <c r="CB133" s="284"/>
      <c r="CC133" s="284"/>
      <c r="CD133" s="284"/>
      <c r="CE133" s="284"/>
      <c r="CF133" s="284"/>
    </row>
    <row r="134" spans="1:84" ht="12.6" customHeight="1" x14ac:dyDescent="0.25">
      <c r="A134" s="310"/>
      <c r="B134" s="310"/>
      <c r="C134" s="322"/>
      <c r="D134" s="312"/>
      <c r="E134" s="312"/>
      <c r="F134" s="306"/>
      <c r="G134" s="284"/>
      <c r="H134" s="284"/>
      <c r="I134" s="284"/>
      <c r="J134" s="284"/>
      <c r="K134" s="284"/>
      <c r="L134" s="284"/>
      <c r="M134" s="284"/>
      <c r="N134" s="284"/>
      <c r="O134" s="284"/>
      <c r="P134" s="284"/>
      <c r="Q134" s="284"/>
      <c r="R134" s="284"/>
      <c r="S134" s="284"/>
      <c r="T134" s="284"/>
      <c r="U134" s="284"/>
      <c r="V134" s="284"/>
      <c r="W134" s="284"/>
      <c r="X134" s="284"/>
      <c r="Y134" s="284"/>
      <c r="Z134" s="284"/>
      <c r="AA134" s="284"/>
      <c r="AB134" s="284"/>
      <c r="AC134" s="284"/>
      <c r="AD134" s="284"/>
      <c r="AE134" s="284"/>
      <c r="AF134" s="284"/>
      <c r="AG134" s="284"/>
      <c r="AH134" s="284"/>
      <c r="AI134" s="284"/>
      <c r="AJ134" s="284"/>
      <c r="AK134" s="284"/>
      <c r="AL134" s="284"/>
      <c r="AM134" s="284"/>
      <c r="AN134" s="284"/>
      <c r="AO134" s="284"/>
      <c r="AP134" s="284"/>
      <c r="AQ134" s="284"/>
      <c r="AR134" s="284"/>
      <c r="AS134" s="284"/>
      <c r="AT134" s="284"/>
      <c r="AU134" s="284"/>
      <c r="AV134" s="284"/>
      <c r="AW134" s="284"/>
      <c r="AX134" s="284"/>
      <c r="AY134" s="284"/>
      <c r="AZ134" s="284"/>
      <c r="BA134" s="284"/>
      <c r="BB134" s="284"/>
      <c r="BC134" s="284"/>
      <c r="BD134" s="284"/>
      <c r="BE134" s="284"/>
      <c r="BF134" s="284"/>
      <c r="BG134" s="284"/>
      <c r="BH134" s="284"/>
      <c r="BI134" s="284"/>
      <c r="BJ134" s="284"/>
      <c r="BK134" s="284"/>
      <c r="BL134" s="284"/>
      <c r="BM134" s="284"/>
      <c r="BN134" s="284"/>
      <c r="BO134" s="284"/>
      <c r="BP134" s="284"/>
      <c r="BQ134" s="284"/>
      <c r="BR134" s="284"/>
      <c r="BS134" s="284"/>
      <c r="BT134" s="284"/>
      <c r="BU134" s="284"/>
      <c r="BV134" s="284"/>
      <c r="BW134" s="284"/>
      <c r="BX134" s="284"/>
      <c r="BY134" s="284"/>
      <c r="BZ134" s="284"/>
      <c r="CA134" s="284"/>
      <c r="CB134" s="284"/>
      <c r="CC134" s="284"/>
      <c r="CD134" s="284"/>
      <c r="CE134" s="284"/>
      <c r="CF134" s="284"/>
    </row>
    <row r="135" spans="1:84" ht="12.6" customHeight="1" x14ac:dyDescent="0.25">
      <c r="A135" s="310"/>
      <c r="B135" s="310"/>
      <c r="C135" s="322"/>
      <c r="D135" s="312"/>
      <c r="E135" s="312"/>
      <c r="F135" s="306"/>
      <c r="G135" s="284"/>
      <c r="H135" s="284"/>
      <c r="I135" s="284"/>
      <c r="J135" s="284"/>
      <c r="K135" s="284"/>
      <c r="L135" s="284"/>
      <c r="M135" s="284"/>
      <c r="N135" s="284"/>
      <c r="O135" s="284"/>
      <c r="P135" s="284"/>
      <c r="Q135" s="284"/>
      <c r="R135" s="284"/>
      <c r="S135" s="284"/>
      <c r="T135" s="284"/>
      <c r="U135" s="284"/>
      <c r="V135" s="284"/>
      <c r="W135" s="284"/>
      <c r="X135" s="284"/>
      <c r="Y135" s="284"/>
      <c r="Z135" s="284"/>
      <c r="AA135" s="284"/>
      <c r="AB135" s="284"/>
      <c r="AC135" s="284"/>
      <c r="AD135" s="284"/>
      <c r="AE135" s="284"/>
      <c r="AF135" s="284"/>
      <c r="AG135" s="284"/>
      <c r="AH135" s="284"/>
      <c r="AI135" s="284"/>
      <c r="AJ135" s="284"/>
      <c r="AK135" s="284"/>
      <c r="AL135" s="284"/>
      <c r="AM135" s="284"/>
      <c r="AN135" s="284"/>
      <c r="AO135" s="284"/>
      <c r="AP135" s="284"/>
      <c r="AQ135" s="284"/>
      <c r="AR135" s="284"/>
      <c r="AS135" s="284"/>
      <c r="AT135" s="284"/>
      <c r="AU135" s="284"/>
      <c r="AV135" s="284"/>
      <c r="AW135" s="284"/>
      <c r="AX135" s="284"/>
      <c r="AY135" s="284"/>
      <c r="AZ135" s="284"/>
      <c r="BA135" s="284"/>
      <c r="BB135" s="284"/>
      <c r="BC135" s="284"/>
      <c r="BD135" s="284"/>
      <c r="BE135" s="284"/>
      <c r="BF135" s="284"/>
      <c r="BG135" s="284"/>
      <c r="BH135" s="284"/>
      <c r="BI135" s="284"/>
      <c r="BJ135" s="284"/>
      <c r="BK135" s="284"/>
      <c r="BL135" s="284"/>
      <c r="BM135" s="284"/>
      <c r="BN135" s="284"/>
      <c r="BO135" s="284"/>
      <c r="BP135" s="284"/>
      <c r="BQ135" s="284"/>
      <c r="BR135" s="284"/>
      <c r="BS135" s="284"/>
      <c r="BT135" s="284"/>
      <c r="BU135" s="284"/>
      <c r="BV135" s="284"/>
      <c r="BW135" s="284"/>
      <c r="BX135" s="284"/>
      <c r="BY135" s="284"/>
      <c r="BZ135" s="284"/>
      <c r="CA135" s="284"/>
      <c r="CB135" s="284"/>
      <c r="CC135" s="284"/>
      <c r="CD135" s="284"/>
      <c r="CE135" s="284"/>
      <c r="CF135" s="284"/>
    </row>
    <row r="136" spans="1:84" ht="18" customHeight="1" x14ac:dyDescent="0.25">
      <c r="A136" s="310"/>
      <c r="B136" s="310"/>
      <c r="C136" s="322"/>
      <c r="D136" s="312"/>
      <c r="E136" s="312"/>
      <c r="F136" s="306"/>
      <c r="G136" s="284"/>
      <c r="H136" s="284"/>
      <c r="I136" s="284"/>
      <c r="J136" s="284"/>
      <c r="K136" s="284"/>
      <c r="L136" s="284"/>
      <c r="M136" s="284"/>
      <c r="N136" s="284"/>
      <c r="O136" s="284"/>
      <c r="P136" s="284"/>
      <c r="Q136" s="284"/>
      <c r="R136" s="284"/>
      <c r="S136" s="284"/>
      <c r="T136" s="284"/>
      <c r="U136" s="284"/>
      <c r="V136" s="284"/>
      <c r="W136" s="284"/>
      <c r="X136" s="284"/>
      <c r="Y136" s="284"/>
      <c r="Z136" s="284"/>
      <c r="AA136" s="284"/>
      <c r="AB136" s="284"/>
      <c r="AC136" s="284"/>
      <c r="AD136" s="284"/>
      <c r="AE136" s="284"/>
      <c r="AF136" s="284"/>
      <c r="AG136" s="284"/>
      <c r="AH136" s="284"/>
      <c r="AI136" s="284"/>
      <c r="AJ136" s="284"/>
      <c r="AK136" s="284"/>
      <c r="AL136" s="284"/>
      <c r="AM136" s="284"/>
      <c r="AN136" s="284"/>
      <c r="AO136" s="284"/>
      <c r="AP136" s="284"/>
      <c r="AQ136" s="284"/>
      <c r="AR136" s="284"/>
      <c r="AS136" s="284"/>
      <c r="AT136" s="284"/>
      <c r="AU136" s="284"/>
      <c r="AV136" s="284"/>
      <c r="AW136" s="284"/>
      <c r="AX136" s="284"/>
      <c r="AY136" s="284"/>
      <c r="AZ136" s="284"/>
      <c r="BA136" s="284"/>
      <c r="BB136" s="284"/>
      <c r="BC136" s="284"/>
      <c r="BD136" s="284"/>
      <c r="BE136" s="284"/>
      <c r="BF136" s="284"/>
      <c r="BG136" s="284"/>
      <c r="BH136" s="284"/>
      <c r="BI136" s="284"/>
      <c r="BJ136" s="284"/>
      <c r="BK136" s="284"/>
      <c r="BL136" s="284"/>
      <c r="BM136" s="284"/>
      <c r="BN136" s="284"/>
      <c r="BO136" s="284"/>
      <c r="BP136" s="284"/>
      <c r="BQ136" s="284"/>
      <c r="BR136" s="284"/>
      <c r="BS136" s="284"/>
      <c r="BT136" s="284"/>
      <c r="BU136" s="284"/>
      <c r="BV136" s="284"/>
      <c r="BW136" s="284"/>
      <c r="BX136" s="284"/>
      <c r="BY136" s="284"/>
      <c r="BZ136" s="284"/>
      <c r="CA136" s="284"/>
      <c r="CB136" s="284"/>
      <c r="CC136" s="284"/>
      <c r="CD136" s="284"/>
      <c r="CE136" s="284"/>
      <c r="CF136" s="284"/>
    </row>
    <row r="137" spans="1:84" ht="12.6" customHeight="1" x14ac:dyDescent="0.25">
      <c r="A137" s="330" t="s">
        <v>1240</v>
      </c>
      <c r="B137" s="329"/>
      <c r="C137" s="329"/>
      <c r="D137" s="329"/>
      <c r="E137" s="329"/>
      <c r="F137" s="306"/>
      <c r="G137" s="284"/>
      <c r="H137" s="284"/>
      <c r="I137" s="284"/>
      <c r="J137" s="284"/>
      <c r="K137" s="284"/>
      <c r="L137" s="284"/>
      <c r="M137" s="284"/>
      <c r="N137" s="284"/>
      <c r="O137" s="284"/>
      <c r="P137" s="284"/>
      <c r="Q137" s="284"/>
      <c r="R137" s="284"/>
      <c r="S137" s="284"/>
      <c r="T137" s="284"/>
      <c r="U137" s="284"/>
      <c r="V137" s="284"/>
      <c r="W137" s="284"/>
      <c r="X137" s="284"/>
      <c r="Y137" s="284"/>
      <c r="Z137" s="284"/>
      <c r="AA137" s="284"/>
      <c r="AB137" s="284"/>
      <c r="AC137" s="284"/>
      <c r="AD137" s="284"/>
      <c r="AE137" s="284"/>
      <c r="AF137" s="284"/>
      <c r="AG137" s="284"/>
      <c r="AH137" s="284"/>
      <c r="AI137" s="284"/>
      <c r="AJ137" s="284"/>
      <c r="AK137" s="284"/>
      <c r="AL137" s="284"/>
      <c r="AM137" s="284"/>
      <c r="AN137" s="284"/>
      <c r="AO137" s="284"/>
      <c r="AP137" s="284"/>
      <c r="AQ137" s="284"/>
      <c r="AR137" s="284"/>
      <c r="AS137" s="284"/>
      <c r="AT137" s="284"/>
      <c r="AU137" s="284"/>
      <c r="AV137" s="284"/>
      <c r="AW137" s="284"/>
      <c r="AX137" s="284"/>
      <c r="AY137" s="284"/>
      <c r="AZ137" s="284"/>
      <c r="BA137" s="284"/>
      <c r="BB137" s="284"/>
      <c r="BC137" s="284"/>
      <c r="BD137" s="284"/>
      <c r="BE137" s="284"/>
      <c r="BF137" s="284"/>
      <c r="BG137" s="284"/>
      <c r="BH137" s="284"/>
      <c r="BI137" s="284"/>
      <c r="BJ137" s="284"/>
      <c r="BK137" s="284"/>
      <c r="BL137" s="284"/>
      <c r="BM137" s="284"/>
      <c r="BN137" s="284"/>
      <c r="BO137" s="284"/>
      <c r="BP137" s="284"/>
      <c r="BQ137" s="284"/>
      <c r="BR137" s="284"/>
      <c r="BS137" s="284"/>
      <c r="BT137" s="284"/>
      <c r="BU137" s="284"/>
      <c r="BV137" s="284"/>
      <c r="BW137" s="284"/>
      <c r="BX137" s="284"/>
      <c r="BY137" s="284"/>
      <c r="BZ137" s="284"/>
      <c r="CA137" s="284"/>
      <c r="CB137" s="284"/>
      <c r="CC137" s="284"/>
      <c r="CD137" s="284"/>
      <c r="CE137" s="284"/>
      <c r="CF137" s="284"/>
    </row>
    <row r="138" spans="1:84" ht="12.6" customHeight="1" x14ac:dyDescent="0.25">
      <c r="A138" s="340" t="s">
        <v>295</v>
      </c>
      <c r="B138" s="313" t="s">
        <v>296</v>
      </c>
      <c r="C138" s="323" t="s">
        <v>297</v>
      </c>
      <c r="D138" s="313" t="s">
        <v>132</v>
      </c>
      <c r="E138" s="313" t="s">
        <v>203</v>
      </c>
      <c r="F138" s="306"/>
      <c r="G138" s="284"/>
      <c r="H138" s="284"/>
      <c r="I138" s="284"/>
      <c r="J138" s="284"/>
      <c r="K138" s="284"/>
      <c r="L138" s="284"/>
      <c r="M138" s="284"/>
      <c r="N138" s="284"/>
      <c r="O138" s="284"/>
      <c r="P138" s="284"/>
      <c r="Q138" s="284"/>
      <c r="R138" s="284"/>
      <c r="S138" s="284"/>
      <c r="T138" s="284"/>
      <c r="U138" s="284"/>
      <c r="V138" s="284"/>
      <c r="W138" s="284"/>
      <c r="X138" s="284"/>
      <c r="Y138" s="284"/>
      <c r="Z138" s="284"/>
      <c r="AA138" s="284"/>
      <c r="AB138" s="284"/>
      <c r="AC138" s="284"/>
      <c r="AD138" s="284"/>
      <c r="AE138" s="284"/>
      <c r="AF138" s="284"/>
      <c r="AG138" s="284"/>
      <c r="AH138" s="284"/>
      <c r="AI138" s="284"/>
      <c r="AJ138" s="284"/>
      <c r="AK138" s="284"/>
      <c r="AL138" s="284"/>
      <c r="AM138" s="284"/>
      <c r="AN138" s="284"/>
      <c r="AO138" s="284"/>
      <c r="AP138" s="284"/>
      <c r="AQ138" s="284"/>
      <c r="AR138" s="284"/>
      <c r="AS138" s="284"/>
      <c r="AT138" s="284"/>
      <c r="AU138" s="284"/>
      <c r="AV138" s="284"/>
      <c r="AW138" s="284"/>
      <c r="AX138" s="284"/>
      <c r="AY138" s="284"/>
      <c r="AZ138" s="284"/>
      <c r="BA138" s="284"/>
      <c r="BB138" s="284"/>
      <c r="BC138" s="284"/>
      <c r="BD138" s="284"/>
      <c r="BE138" s="284"/>
      <c r="BF138" s="284"/>
      <c r="BG138" s="284"/>
      <c r="BH138" s="284"/>
      <c r="BI138" s="284"/>
      <c r="BJ138" s="284"/>
      <c r="BK138" s="284"/>
      <c r="BL138" s="284"/>
      <c r="BM138" s="284"/>
      <c r="BN138" s="284"/>
      <c r="BO138" s="284"/>
      <c r="BP138" s="284"/>
      <c r="BQ138" s="284"/>
      <c r="BR138" s="284"/>
      <c r="BS138" s="284"/>
      <c r="BT138" s="284"/>
      <c r="BU138" s="284"/>
      <c r="BV138" s="284"/>
      <c r="BW138" s="284"/>
      <c r="BX138" s="284"/>
      <c r="BY138" s="284"/>
      <c r="BZ138" s="284"/>
      <c r="CA138" s="284"/>
      <c r="CB138" s="284"/>
      <c r="CC138" s="284"/>
      <c r="CD138" s="284"/>
      <c r="CE138" s="284"/>
      <c r="CF138" s="284"/>
    </row>
    <row r="139" spans="1:84" ht="12.6" customHeight="1" x14ac:dyDescent="0.25">
      <c r="A139" s="310" t="s">
        <v>277</v>
      </c>
      <c r="B139" s="357">
        <v>135</v>
      </c>
      <c r="C139" s="357">
        <v>34</v>
      </c>
      <c r="D139" s="357">
        <v>55</v>
      </c>
      <c r="E139" s="312">
        <v>224</v>
      </c>
      <c r="F139" s="306"/>
      <c r="G139" s="284"/>
      <c r="H139" s="284"/>
      <c r="I139" s="284"/>
      <c r="J139" s="284"/>
      <c r="K139" s="284"/>
      <c r="L139" s="284"/>
      <c r="M139" s="284"/>
      <c r="N139" s="284"/>
      <c r="O139" s="284"/>
      <c r="P139" s="284"/>
      <c r="Q139" s="284"/>
      <c r="R139" s="284"/>
      <c r="S139" s="284"/>
      <c r="T139" s="284"/>
      <c r="U139" s="284"/>
      <c r="V139" s="284"/>
      <c r="W139" s="284"/>
      <c r="X139" s="284"/>
      <c r="Y139" s="284"/>
      <c r="Z139" s="284"/>
      <c r="AA139" s="284"/>
      <c r="AB139" s="284"/>
      <c r="AC139" s="284"/>
      <c r="AD139" s="284"/>
      <c r="AE139" s="284"/>
      <c r="AF139" s="284"/>
      <c r="AG139" s="284"/>
      <c r="AH139" s="284"/>
      <c r="AI139" s="284"/>
      <c r="AJ139" s="284"/>
      <c r="AK139" s="284"/>
      <c r="AL139" s="284"/>
      <c r="AM139" s="284"/>
      <c r="AN139" s="284"/>
      <c r="AO139" s="284"/>
      <c r="AP139" s="284"/>
      <c r="AQ139" s="284"/>
      <c r="AR139" s="284"/>
      <c r="AS139" s="284"/>
      <c r="AT139" s="284"/>
      <c r="AU139" s="284"/>
      <c r="AV139" s="284"/>
      <c r="AW139" s="284"/>
      <c r="AX139" s="284"/>
      <c r="AY139" s="284"/>
      <c r="AZ139" s="284"/>
      <c r="BA139" s="284"/>
      <c r="BB139" s="284"/>
      <c r="BC139" s="284"/>
      <c r="BD139" s="284"/>
      <c r="BE139" s="284"/>
      <c r="BF139" s="284"/>
      <c r="BG139" s="284"/>
      <c r="BH139" s="284"/>
      <c r="BI139" s="284"/>
      <c r="BJ139" s="284"/>
      <c r="BK139" s="284"/>
      <c r="BL139" s="284"/>
      <c r="BM139" s="284"/>
      <c r="BN139" s="284"/>
      <c r="BO139" s="284"/>
      <c r="BP139" s="284"/>
      <c r="BQ139" s="284"/>
      <c r="BR139" s="284"/>
      <c r="BS139" s="284"/>
      <c r="BT139" s="284"/>
      <c r="BU139" s="284"/>
      <c r="BV139" s="284"/>
      <c r="BW139" s="284"/>
      <c r="BX139" s="284"/>
      <c r="BY139" s="284"/>
      <c r="BZ139" s="284"/>
      <c r="CA139" s="284"/>
      <c r="CB139" s="284"/>
      <c r="CC139" s="284"/>
      <c r="CD139" s="284"/>
      <c r="CE139" s="284"/>
      <c r="CF139" s="284"/>
    </row>
    <row r="140" spans="1:84" ht="12.6" customHeight="1" x14ac:dyDescent="0.25">
      <c r="A140" s="310" t="s">
        <v>215</v>
      </c>
      <c r="B140" s="357">
        <v>374</v>
      </c>
      <c r="C140" s="357">
        <v>224</v>
      </c>
      <c r="D140" s="357">
        <v>181</v>
      </c>
      <c r="E140" s="312">
        <v>779</v>
      </c>
      <c r="F140" s="306"/>
      <c r="G140" s="284"/>
      <c r="H140" s="284"/>
      <c r="I140" s="284"/>
      <c r="J140" s="284"/>
      <c r="K140" s="284"/>
      <c r="L140" s="284"/>
      <c r="M140" s="284"/>
      <c r="N140" s="284"/>
      <c r="O140" s="284"/>
      <c r="P140" s="284"/>
      <c r="Q140" s="284"/>
      <c r="R140" s="284"/>
      <c r="S140" s="284"/>
      <c r="T140" s="284"/>
      <c r="U140" s="284"/>
      <c r="V140" s="284"/>
      <c r="W140" s="284"/>
      <c r="X140" s="284"/>
      <c r="Y140" s="284"/>
      <c r="Z140" s="284"/>
      <c r="AA140" s="284"/>
      <c r="AB140" s="284"/>
      <c r="AC140" s="284"/>
      <c r="AD140" s="284"/>
      <c r="AE140" s="284"/>
      <c r="AF140" s="284"/>
      <c r="AG140" s="284"/>
      <c r="AH140" s="284"/>
      <c r="AI140" s="284"/>
      <c r="AJ140" s="284"/>
      <c r="AK140" s="284"/>
      <c r="AL140" s="284"/>
      <c r="AM140" s="284"/>
      <c r="AN140" s="284"/>
      <c r="AO140" s="284"/>
      <c r="AP140" s="284"/>
      <c r="AQ140" s="284"/>
      <c r="AR140" s="284"/>
      <c r="AS140" s="284"/>
      <c r="AT140" s="284"/>
      <c r="AU140" s="284"/>
      <c r="AV140" s="284"/>
      <c r="AW140" s="284"/>
      <c r="AX140" s="284"/>
      <c r="AY140" s="284"/>
      <c r="AZ140" s="284"/>
      <c r="BA140" s="284"/>
      <c r="BB140" s="284"/>
      <c r="BC140" s="284"/>
      <c r="BD140" s="284"/>
      <c r="BE140" s="284"/>
      <c r="BF140" s="284"/>
      <c r="BG140" s="284"/>
      <c r="BH140" s="284"/>
      <c r="BI140" s="284"/>
      <c r="BJ140" s="284"/>
      <c r="BK140" s="284"/>
      <c r="BL140" s="284"/>
      <c r="BM140" s="284"/>
      <c r="BN140" s="284"/>
      <c r="BO140" s="284"/>
      <c r="BP140" s="284"/>
      <c r="BQ140" s="284"/>
      <c r="BR140" s="284"/>
      <c r="BS140" s="284"/>
      <c r="BT140" s="284"/>
      <c r="BU140" s="284"/>
      <c r="BV140" s="284"/>
      <c r="BW140" s="284"/>
      <c r="BX140" s="284"/>
      <c r="BY140" s="284"/>
      <c r="BZ140" s="284"/>
      <c r="CA140" s="284"/>
      <c r="CB140" s="284"/>
      <c r="CC140" s="284"/>
      <c r="CD140" s="284"/>
      <c r="CE140" s="284"/>
      <c r="CF140" s="284"/>
    </row>
    <row r="141" spans="1:84" ht="12.6" customHeight="1" x14ac:dyDescent="0.25">
      <c r="A141" s="310" t="s">
        <v>298</v>
      </c>
      <c r="B141" s="357">
        <v>1724.3912648761986</v>
      </c>
      <c r="C141" s="357">
        <v>1273.693545614846</v>
      </c>
      <c r="D141" s="357">
        <v>2374.9151895089553</v>
      </c>
      <c r="E141" s="312">
        <v>5373</v>
      </c>
      <c r="F141" s="306"/>
      <c r="G141" s="284"/>
      <c r="H141" s="284"/>
      <c r="I141" s="284"/>
      <c r="J141" s="284"/>
      <c r="K141" s="284"/>
      <c r="L141" s="284"/>
      <c r="M141" s="284"/>
      <c r="N141" s="284"/>
      <c r="O141" s="284"/>
      <c r="P141" s="284"/>
      <c r="Q141" s="284"/>
      <c r="R141" s="284"/>
      <c r="S141" s="284"/>
      <c r="T141" s="284"/>
      <c r="U141" s="284"/>
      <c r="V141" s="284"/>
      <c r="W141" s="284"/>
      <c r="X141" s="284"/>
      <c r="Y141" s="284"/>
      <c r="Z141" s="284"/>
      <c r="AA141" s="284"/>
      <c r="AB141" s="284"/>
      <c r="AC141" s="284"/>
      <c r="AD141" s="284"/>
      <c r="AE141" s="284"/>
      <c r="AF141" s="284"/>
      <c r="AG141" s="284"/>
      <c r="AH141" s="284"/>
      <c r="AI141" s="284"/>
      <c r="AJ141" s="284"/>
      <c r="AK141" s="284"/>
      <c r="AL141" s="284"/>
      <c r="AM141" s="284"/>
      <c r="AN141" s="284"/>
      <c r="AO141" s="284"/>
      <c r="AP141" s="284"/>
      <c r="AQ141" s="284"/>
      <c r="AR141" s="284"/>
      <c r="AS141" s="284"/>
      <c r="AT141" s="284"/>
      <c r="AU141" s="284"/>
      <c r="AV141" s="284"/>
      <c r="AW141" s="284"/>
      <c r="AX141" s="284"/>
      <c r="AY141" s="284"/>
      <c r="AZ141" s="284"/>
      <c r="BA141" s="284"/>
      <c r="BB141" s="284"/>
      <c r="BC141" s="284"/>
      <c r="BD141" s="284"/>
      <c r="BE141" s="284"/>
      <c r="BF141" s="284"/>
      <c r="BG141" s="284"/>
      <c r="BH141" s="284"/>
      <c r="BI141" s="284"/>
      <c r="BJ141" s="284"/>
      <c r="BK141" s="284"/>
      <c r="BL141" s="284"/>
      <c r="BM141" s="284"/>
      <c r="BN141" s="284"/>
      <c r="BO141" s="284"/>
      <c r="BP141" s="284"/>
      <c r="BQ141" s="284"/>
      <c r="BR141" s="284"/>
      <c r="BS141" s="284"/>
      <c r="BT141" s="284"/>
      <c r="BU141" s="284"/>
      <c r="BV141" s="284"/>
      <c r="BW141" s="284"/>
      <c r="BX141" s="284"/>
      <c r="BY141" s="284"/>
      <c r="BZ141" s="284"/>
      <c r="CA141" s="284"/>
      <c r="CB141" s="284"/>
      <c r="CC141" s="284"/>
      <c r="CD141" s="284"/>
      <c r="CE141" s="284"/>
      <c r="CF141" s="284"/>
    </row>
    <row r="142" spans="1:84" ht="12.6" customHeight="1" x14ac:dyDescent="0.25">
      <c r="A142" s="310" t="s">
        <v>245</v>
      </c>
      <c r="B142" s="357">
        <v>4194035.4300000006</v>
      </c>
      <c r="C142" s="357">
        <v>2312739.73</v>
      </c>
      <c r="D142" s="357">
        <v>1338140.3900000001</v>
      </c>
      <c r="E142" s="312">
        <v>7844915.5500000007</v>
      </c>
      <c r="F142" s="326"/>
      <c r="G142" s="284"/>
      <c r="H142" s="284"/>
      <c r="I142" s="284"/>
      <c r="J142" s="284"/>
      <c r="K142" s="284"/>
      <c r="L142" s="284"/>
      <c r="M142" s="284"/>
      <c r="N142" s="284"/>
      <c r="O142" s="284"/>
      <c r="P142" s="284"/>
      <c r="Q142" s="284"/>
      <c r="R142" s="284"/>
      <c r="S142" s="284"/>
      <c r="T142" s="284"/>
      <c r="U142" s="284"/>
      <c r="V142" s="284"/>
      <c r="W142" s="284"/>
      <c r="X142" s="284"/>
      <c r="Y142" s="284"/>
      <c r="Z142" s="284"/>
      <c r="AA142" s="284"/>
      <c r="AB142" s="284"/>
      <c r="AC142" s="284"/>
      <c r="AD142" s="284"/>
      <c r="AE142" s="284"/>
      <c r="AF142" s="284"/>
      <c r="AG142" s="284"/>
      <c r="AH142" s="284"/>
      <c r="AI142" s="284"/>
      <c r="AJ142" s="284"/>
      <c r="AK142" s="284"/>
      <c r="AL142" s="284"/>
      <c r="AM142" s="284"/>
      <c r="AN142" s="284"/>
      <c r="AO142" s="284"/>
      <c r="AP142" s="284"/>
      <c r="AQ142" s="284"/>
      <c r="AR142" s="284"/>
      <c r="AS142" s="284"/>
      <c r="AT142" s="284"/>
      <c r="AU142" s="284"/>
      <c r="AV142" s="284"/>
      <c r="AW142" s="284"/>
      <c r="AX142" s="284"/>
      <c r="AY142" s="284"/>
      <c r="AZ142" s="284"/>
      <c r="BA142" s="284"/>
      <c r="BB142" s="284"/>
      <c r="BC142" s="284"/>
      <c r="BD142" s="284"/>
      <c r="BE142" s="284"/>
      <c r="BF142" s="284"/>
      <c r="BG142" s="284"/>
      <c r="BH142" s="284"/>
      <c r="BI142" s="284"/>
      <c r="BJ142" s="284"/>
      <c r="BK142" s="284"/>
      <c r="BL142" s="284"/>
      <c r="BM142" s="284"/>
      <c r="BN142" s="284"/>
      <c r="BO142" s="284"/>
      <c r="BP142" s="284"/>
      <c r="BQ142" s="284"/>
      <c r="BR142" s="284"/>
      <c r="BS142" s="284"/>
      <c r="BT142" s="284"/>
      <c r="BU142" s="284"/>
      <c r="BV142" s="284"/>
      <c r="BW142" s="284"/>
      <c r="BX142" s="284"/>
      <c r="BY142" s="284"/>
      <c r="BZ142" s="284"/>
      <c r="CA142" s="284"/>
      <c r="CB142" s="284"/>
      <c r="CC142" s="284"/>
      <c r="CD142" s="284"/>
      <c r="CE142" s="284"/>
      <c r="CF142" s="284"/>
    </row>
    <row r="143" spans="1:84" ht="12.6" customHeight="1" x14ac:dyDescent="0.25">
      <c r="A143" s="310" t="s">
        <v>246</v>
      </c>
      <c r="B143" s="357">
        <v>10996039.781000001</v>
      </c>
      <c r="C143" s="357">
        <v>8122045.5725999987</v>
      </c>
      <c r="D143" s="357">
        <v>15144279.35</v>
      </c>
      <c r="E143" s="312">
        <v>34262364.703599997</v>
      </c>
      <c r="F143" s="326"/>
      <c r="G143" s="284"/>
      <c r="H143" s="284"/>
      <c r="I143" s="284"/>
      <c r="J143" s="284"/>
      <c r="K143" s="284"/>
      <c r="L143" s="284"/>
      <c r="M143" s="284"/>
      <c r="N143" s="284"/>
      <c r="O143" s="284"/>
      <c r="P143" s="284"/>
      <c r="Q143" s="284"/>
      <c r="R143" s="284"/>
      <c r="S143" s="284"/>
      <c r="T143" s="284"/>
      <c r="U143" s="284"/>
      <c r="V143" s="284"/>
      <c r="W143" s="284"/>
      <c r="X143" s="284"/>
      <c r="Y143" s="284"/>
      <c r="Z143" s="284"/>
      <c r="AA143" s="284"/>
      <c r="AB143" s="284"/>
      <c r="AC143" s="284"/>
      <c r="AD143" s="284"/>
      <c r="AE143" s="284"/>
      <c r="AF143" s="284"/>
      <c r="AG143" s="284"/>
      <c r="AH143" s="284"/>
      <c r="AI143" s="284"/>
      <c r="AJ143" s="284"/>
      <c r="AK143" s="284"/>
      <c r="AL143" s="284"/>
      <c r="AM143" s="284"/>
      <c r="AN143" s="284"/>
      <c r="AO143" s="284"/>
      <c r="AP143" s="284"/>
      <c r="AQ143" s="284"/>
      <c r="AR143" s="284"/>
      <c r="AS143" s="284"/>
      <c r="AT143" s="284"/>
      <c r="AU143" s="284"/>
      <c r="AV143" s="284"/>
      <c r="AW143" s="284"/>
      <c r="AX143" s="284"/>
      <c r="AY143" s="284"/>
      <c r="AZ143" s="284"/>
      <c r="BA143" s="284"/>
      <c r="BB143" s="284"/>
      <c r="BC143" s="284"/>
      <c r="BD143" s="284"/>
      <c r="BE143" s="284"/>
      <c r="BF143" s="284"/>
      <c r="BG143" s="284"/>
      <c r="BH143" s="284"/>
      <c r="BI143" s="284"/>
      <c r="BJ143" s="284"/>
      <c r="BK143" s="284"/>
      <c r="BL143" s="284"/>
      <c r="BM143" s="284"/>
      <c r="BN143" s="284"/>
      <c r="BO143" s="284"/>
      <c r="BP143" s="284"/>
      <c r="BQ143" s="284"/>
      <c r="BR143" s="284"/>
      <c r="BS143" s="284"/>
      <c r="BT143" s="284"/>
      <c r="BU143" s="284"/>
      <c r="BV143" s="284"/>
      <c r="BW143" s="284"/>
      <c r="BX143" s="284"/>
      <c r="BY143" s="284"/>
      <c r="BZ143" s="284"/>
      <c r="CA143" s="284"/>
      <c r="CB143" s="284"/>
      <c r="CC143" s="284"/>
      <c r="CD143" s="284"/>
      <c r="CE143" s="284"/>
      <c r="CF143" s="284"/>
    </row>
    <row r="144" spans="1:84" ht="12.6" customHeight="1" x14ac:dyDescent="0.25">
      <c r="A144" s="340" t="s">
        <v>299</v>
      </c>
      <c r="B144" s="313" t="s">
        <v>296</v>
      </c>
      <c r="C144" s="323" t="s">
        <v>297</v>
      </c>
      <c r="D144" s="313" t="s">
        <v>132</v>
      </c>
      <c r="E144" s="313" t="s">
        <v>203</v>
      </c>
      <c r="F144" s="306"/>
      <c r="G144" s="284"/>
      <c r="H144" s="284"/>
      <c r="I144" s="284"/>
      <c r="J144" s="284"/>
      <c r="K144" s="284"/>
      <c r="L144" s="284"/>
      <c r="M144" s="284"/>
      <c r="N144" s="284"/>
      <c r="O144" s="284"/>
      <c r="P144" s="284"/>
      <c r="Q144" s="284"/>
      <c r="R144" s="284"/>
      <c r="S144" s="284"/>
      <c r="T144" s="284"/>
      <c r="U144" s="284"/>
      <c r="V144" s="284"/>
      <c r="W144" s="284"/>
      <c r="X144" s="284"/>
      <c r="Y144" s="284"/>
      <c r="Z144" s="284"/>
      <c r="AA144" s="284"/>
      <c r="AB144" s="284"/>
      <c r="AC144" s="284"/>
      <c r="AD144" s="284"/>
      <c r="AE144" s="284"/>
      <c r="AF144" s="284"/>
      <c r="AG144" s="284"/>
      <c r="AH144" s="284"/>
      <c r="AI144" s="284"/>
      <c r="AJ144" s="284"/>
      <c r="AK144" s="284"/>
      <c r="AL144" s="284"/>
      <c r="AM144" s="284"/>
      <c r="AN144" s="284"/>
      <c r="AO144" s="284"/>
      <c r="AP144" s="284"/>
      <c r="AQ144" s="284"/>
      <c r="AR144" s="284"/>
      <c r="AS144" s="284"/>
      <c r="AT144" s="284"/>
      <c r="AU144" s="284"/>
      <c r="AV144" s="284"/>
      <c r="AW144" s="284"/>
      <c r="AX144" s="284"/>
      <c r="AY144" s="284"/>
      <c r="AZ144" s="284"/>
      <c r="BA144" s="284"/>
      <c r="BB144" s="284"/>
      <c r="BC144" s="284"/>
      <c r="BD144" s="284"/>
      <c r="BE144" s="284"/>
      <c r="BF144" s="284"/>
      <c r="BG144" s="284"/>
      <c r="BH144" s="284"/>
      <c r="BI144" s="284"/>
      <c r="BJ144" s="284"/>
      <c r="BK144" s="284"/>
      <c r="BL144" s="284"/>
      <c r="BM144" s="284"/>
      <c r="BN144" s="284"/>
      <c r="BO144" s="284"/>
      <c r="BP144" s="284"/>
      <c r="BQ144" s="284"/>
      <c r="BR144" s="284"/>
      <c r="BS144" s="284"/>
      <c r="BT144" s="284"/>
      <c r="BU144" s="284"/>
      <c r="BV144" s="284"/>
      <c r="BW144" s="284"/>
      <c r="BX144" s="284"/>
      <c r="BY144" s="284"/>
      <c r="BZ144" s="284"/>
      <c r="CA144" s="284"/>
      <c r="CB144" s="284"/>
      <c r="CC144" s="284"/>
      <c r="CD144" s="284"/>
      <c r="CE144" s="284"/>
      <c r="CF144" s="284"/>
    </row>
    <row r="145" spans="1:84" ht="12.6" customHeight="1" x14ac:dyDescent="0.25">
      <c r="A145" s="310" t="s">
        <v>277</v>
      </c>
      <c r="B145" s="357">
        <v>301</v>
      </c>
      <c r="C145" s="358"/>
      <c r="D145" s="357">
        <v>32</v>
      </c>
      <c r="E145" s="312">
        <v>333</v>
      </c>
      <c r="F145" s="306"/>
      <c r="G145" s="284"/>
      <c r="H145" s="284"/>
      <c r="I145" s="284"/>
      <c r="J145" s="284"/>
      <c r="K145" s="284"/>
      <c r="L145" s="284"/>
      <c r="M145" s="284"/>
      <c r="N145" s="284"/>
      <c r="O145" s="284"/>
      <c r="P145" s="284"/>
      <c r="Q145" s="284"/>
      <c r="R145" s="284"/>
      <c r="S145" s="284"/>
      <c r="T145" s="284"/>
      <c r="U145" s="284"/>
      <c r="V145" s="284"/>
      <c r="W145" s="284"/>
      <c r="X145" s="284"/>
      <c r="Y145" s="284"/>
      <c r="Z145" s="284"/>
      <c r="AA145" s="284"/>
      <c r="AB145" s="284"/>
      <c r="AC145" s="284"/>
      <c r="AD145" s="284"/>
      <c r="AE145" s="284"/>
      <c r="AF145" s="284"/>
      <c r="AG145" s="284"/>
      <c r="AH145" s="284"/>
      <c r="AI145" s="284"/>
      <c r="AJ145" s="284"/>
      <c r="AK145" s="284"/>
      <c r="AL145" s="284"/>
      <c r="AM145" s="284"/>
      <c r="AN145" s="284"/>
      <c r="AO145" s="284"/>
      <c r="AP145" s="284"/>
      <c r="AQ145" s="284"/>
      <c r="AR145" s="284"/>
      <c r="AS145" s="284"/>
      <c r="AT145" s="284"/>
      <c r="AU145" s="284"/>
      <c r="AV145" s="284"/>
      <c r="AW145" s="284"/>
      <c r="AX145" s="284"/>
      <c r="AY145" s="284"/>
      <c r="AZ145" s="284"/>
      <c r="BA145" s="284"/>
      <c r="BB145" s="284"/>
      <c r="BC145" s="284"/>
      <c r="BD145" s="284"/>
      <c r="BE145" s="284"/>
      <c r="BF145" s="284"/>
      <c r="BG145" s="284"/>
      <c r="BH145" s="284"/>
      <c r="BI145" s="284"/>
      <c r="BJ145" s="284"/>
      <c r="BK145" s="284"/>
      <c r="BL145" s="284"/>
      <c r="BM145" s="284"/>
      <c r="BN145" s="284"/>
      <c r="BO145" s="284"/>
      <c r="BP145" s="284"/>
      <c r="BQ145" s="284"/>
      <c r="BR145" s="284"/>
      <c r="BS145" s="284"/>
      <c r="BT145" s="284"/>
      <c r="BU145" s="284"/>
      <c r="BV145" s="284"/>
      <c r="BW145" s="284"/>
      <c r="BX145" s="284"/>
      <c r="BY145" s="284"/>
      <c r="BZ145" s="284"/>
      <c r="CA145" s="284"/>
      <c r="CB145" s="284"/>
      <c r="CC145" s="284"/>
      <c r="CD145" s="284"/>
      <c r="CE145" s="284"/>
      <c r="CF145" s="284"/>
    </row>
    <row r="146" spans="1:84" ht="12.6" customHeight="1" x14ac:dyDescent="0.25">
      <c r="A146" s="310" t="s">
        <v>215</v>
      </c>
      <c r="B146" s="357">
        <v>4529</v>
      </c>
      <c r="C146" s="358"/>
      <c r="D146" s="357">
        <v>381</v>
      </c>
      <c r="E146" s="312">
        <v>4910</v>
      </c>
      <c r="F146" s="284"/>
      <c r="G146" s="284"/>
      <c r="H146" s="284"/>
      <c r="I146" s="284"/>
      <c r="J146" s="284"/>
      <c r="K146" s="284"/>
      <c r="L146" s="284"/>
      <c r="M146" s="284"/>
      <c r="N146" s="284"/>
      <c r="O146" s="284"/>
      <c r="P146" s="284"/>
      <c r="Q146" s="284"/>
      <c r="R146" s="284"/>
      <c r="S146" s="284"/>
      <c r="T146" s="284"/>
      <c r="U146" s="284"/>
      <c r="V146" s="284"/>
      <c r="W146" s="284"/>
      <c r="X146" s="284"/>
      <c r="Y146" s="284"/>
      <c r="Z146" s="284"/>
      <c r="AA146" s="284"/>
      <c r="AB146" s="284"/>
      <c r="AC146" s="284"/>
      <c r="AD146" s="284"/>
      <c r="AE146" s="284"/>
      <c r="AF146" s="284"/>
      <c r="AG146" s="284"/>
      <c r="AH146" s="284"/>
      <c r="AI146" s="284"/>
      <c r="AJ146" s="284"/>
      <c r="AK146" s="284"/>
      <c r="AL146" s="284"/>
      <c r="AM146" s="284"/>
      <c r="AN146" s="284"/>
      <c r="AO146" s="284"/>
      <c r="AP146" s="284"/>
      <c r="AQ146" s="284"/>
      <c r="AR146" s="284"/>
      <c r="AS146" s="284"/>
      <c r="AT146" s="284"/>
      <c r="AU146" s="284"/>
      <c r="AV146" s="284"/>
      <c r="AW146" s="284"/>
      <c r="AX146" s="284"/>
      <c r="AY146" s="284"/>
      <c r="AZ146" s="284"/>
      <c r="BA146" s="284"/>
      <c r="BB146" s="284"/>
      <c r="BC146" s="284"/>
      <c r="BD146" s="284"/>
      <c r="BE146" s="284"/>
      <c r="BF146" s="284"/>
      <c r="BG146" s="284"/>
      <c r="BH146" s="284"/>
      <c r="BI146" s="284"/>
      <c r="BJ146" s="284"/>
      <c r="BK146" s="284"/>
      <c r="BL146" s="284"/>
      <c r="BM146" s="284"/>
      <c r="BN146" s="284"/>
      <c r="BO146" s="284"/>
      <c r="BP146" s="284"/>
      <c r="BQ146" s="284"/>
      <c r="BR146" s="284"/>
      <c r="BS146" s="284"/>
      <c r="BT146" s="284"/>
      <c r="BU146" s="284"/>
      <c r="BV146" s="284"/>
      <c r="BW146" s="284"/>
      <c r="BX146" s="284"/>
      <c r="BY146" s="284"/>
      <c r="BZ146" s="284"/>
      <c r="CA146" s="284"/>
      <c r="CB146" s="284"/>
      <c r="CC146" s="284"/>
      <c r="CD146" s="284"/>
      <c r="CE146" s="284"/>
      <c r="CF146" s="284"/>
    </row>
    <row r="147" spans="1:84" ht="12.6" customHeight="1" x14ac:dyDescent="0.25">
      <c r="A147" s="310" t="s">
        <v>298</v>
      </c>
      <c r="B147" s="357"/>
      <c r="C147" s="358"/>
      <c r="D147" s="357"/>
      <c r="E147" s="312">
        <v>0</v>
      </c>
      <c r="F147" s="284"/>
      <c r="G147" s="284"/>
      <c r="H147" s="284"/>
      <c r="I147" s="284"/>
      <c r="J147" s="284"/>
      <c r="K147" s="284"/>
      <c r="L147" s="284"/>
      <c r="M147" s="284"/>
      <c r="N147" s="284"/>
      <c r="O147" s="284"/>
      <c r="P147" s="284"/>
      <c r="Q147" s="284"/>
      <c r="R147" s="284"/>
      <c r="S147" s="284"/>
      <c r="T147" s="284"/>
      <c r="U147" s="284"/>
      <c r="V147" s="284"/>
      <c r="W147" s="284"/>
      <c r="X147" s="284"/>
      <c r="Y147" s="284"/>
      <c r="Z147" s="284"/>
      <c r="AA147" s="284"/>
      <c r="AB147" s="284"/>
      <c r="AC147" s="284"/>
      <c r="AD147" s="284"/>
      <c r="AE147" s="284"/>
      <c r="AF147" s="284"/>
      <c r="AG147" s="284"/>
      <c r="AH147" s="284"/>
      <c r="AI147" s="284"/>
      <c r="AJ147" s="284"/>
      <c r="AK147" s="284"/>
      <c r="AL147" s="284"/>
      <c r="AM147" s="284"/>
      <c r="AN147" s="284"/>
      <c r="AO147" s="284"/>
      <c r="AP147" s="284"/>
      <c r="AQ147" s="284"/>
      <c r="AR147" s="284"/>
      <c r="AS147" s="284"/>
      <c r="AT147" s="284"/>
      <c r="AU147" s="284"/>
      <c r="AV147" s="284"/>
      <c r="AW147" s="284"/>
      <c r="AX147" s="284"/>
      <c r="AY147" s="284"/>
      <c r="AZ147" s="284"/>
      <c r="BA147" s="284"/>
      <c r="BB147" s="284"/>
      <c r="BC147" s="284"/>
      <c r="BD147" s="284"/>
      <c r="BE147" s="284"/>
      <c r="BF147" s="284"/>
      <c r="BG147" s="284"/>
      <c r="BH147" s="284"/>
      <c r="BI147" s="284"/>
      <c r="BJ147" s="284"/>
      <c r="BK147" s="284"/>
      <c r="BL147" s="284"/>
      <c r="BM147" s="284"/>
      <c r="BN147" s="284"/>
      <c r="BO147" s="284"/>
      <c r="BP147" s="284"/>
      <c r="BQ147" s="284"/>
      <c r="BR147" s="284"/>
      <c r="BS147" s="284"/>
      <c r="BT147" s="284"/>
      <c r="BU147" s="284"/>
      <c r="BV147" s="284"/>
      <c r="BW147" s="284"/>
      <c r="BX147" s="284"/>
      <c r="BY147" s="284"/>
      <c r="BZ147" s="284"/>
      <c r="CA147" s="284"/>
      <c r="CB147" s="284"/>
      <c r="CC147" s="284"/>
      <c r="CD147" s="284"/>
      <c r="CE147" s="284"/>
      <c r="CF147" s="284"/>
    </row>
    <row r="148" spans="1:84" ht="12.6" customHeight="1" x14ac:dyDescent="0.25">
      <c r="A148" s="310" t="s">
        <v>245</v>
      </c>
      <c r="B148" s="357">
        <v>4552471</v>
      </c>
      <c r="C148" s="357">
        <v>0</v>
      </c>
      <c r="D148" s="357">
        <v>298430</v>
      </c>
      <c r="E148" s="312">
        <v>4850901</v>
      </c>
      <c r="F148" s="284"/>
      <c r="G148" s="284"/>
      <c r="H148" s="284"/>
      <c r="I148" s="284"/>
      <c r="J148" s="284"/>
      <c r="K148" s="284"/>
      <c r="L148" s="284"/>
      <c r="M148" s="284"/>
      <c r="N148" s="284"/>
      <c r="O148" s="284"/>
      <c r="P148" s="284"/>
      <c r="Q148" s="284"/>
      <c r="R148" s="284"/>
      <c r="S148" s="284"/>
      <c r="T148" s="284"/>
      <c r="U148" s="284"/>
      <c r="V148" s="284"/>
      <c r="W148" s="284"/>
      <c r="X148" s="284"/>
      <c r="Y148" s="284"/>
      <c r="Z148" s="284"/>
      <c r="AA148" s="284"/>
      <c r="AB148" s="284"/>
      <c r="AC148" s="284"/>
      <c r="AD148" s="284"/>
      <c r="AE148" s="284"/>
      <c r="AF148" s="284"/>
      <c r="AG148" s="284"/>
      <c r="AH148" s="284"/>
      <c r="AI148" s="284"/>
      <c r="AJ148" s="284"/>
      <c r="AK148" s="284"/>
      <c r="AL148" s="284"/>
      <c r="AM148" s="284"/>
      <c r="AN148" s="284"/>
      <c r="AO148" s="284"/>
      <c r="AP148" s="284"/>
      <c r="AQ148" s="284"/>
      <c r="AR148" s="284"/>
      <c r="AS148" s="284"/>
      <c r="AT148" s="284"/>
      <c r="AU148" s="284"/>
      <c r="AV148" s="284"/>
      <c r="AW148" s="284"/>
      <c r="AX148" s="284"/>
      <c r="AY148" s="284"/>
      <c r="AZ148" s="284"/>
      <c r="BA148" s="284"/>
      <c r="BB148" s="284"/>
      <c r="BC148" s="284"/>
      <c r="BD148" s="284"/>
      <c r="BE148" s="284"/>
      <c r="BF148" s="284"/>
      <c r="BG148" s="284"/>
      <c r="BH148" s="284"/>
      <c r="BI148" s="284"/>
      <c r="BJ148" s="284"/>
      <c r="BK148" s="284"/>
      <c r="BL148" s="284"/>
      <c r="BM148" s="284"/>
      <c r="BN148" s="284"/>
      <c r="BO148" s="284"/>
      <c r="BP148" s="284"/>
      <c r="BQ148" s="284"/>
      <c r="BR148" s="284"/>
      <c r="BS148" s="284"/>
      <c r="BT148" s="284"/>
      <c r="BU148" s="284"/>
      <c r="BV148" s="284"/>
      <c r="BW148" s="284"/>
      <c r="BX148" s="284"/>
      <c r="BY148" s="284"/>
      <c r="BZ148" s="284"/>
      <c r="CA148" s="284"/>
      <c r="CB148" s="284"/>
      <c r="CC148" s="284"/>
      <c r="CD148" s="284"/>
      <c r="CE148" s="284"/>
      <c r="CF148" s="284"/>
    </row>
    <row r="149" spans="1:84" ht="12.6" customHeight="1" x14ac:dyDescent="0.25">
      <c r="A149" s="310" t="s">
        <v>246</v>
      </c>
      <c r="B149" s="357">
        <v>0</v>
      </c>
      <c r="C149" s="357">
        <v>0</v>
      </c>
      <c r="D149" s="357">
        <v>0</v>
      </c>
      <c r="E149" s="312">
        <v>0</v>
      </c>
      <c r="F149" s="284"/>
      <c r="G149" s="284"/>
      <c r="H149" s="284"/>
      <c r="I149" s="284"/>
      <c r="J149" s="284"/>
      <c r="K149" s="284"/>
      <c r="L149" s="284"/>
      <c r="M149" s="284"/>
      <c r="N149" s="284"/>
      <c r="O149" s="284"/>
      <c r="P149" s="284"/>
      <c r="Q149" s="284"/>
      <c r="R149" s="284"/>
      <c r="S149" s="284"/>
      <c r="T149" s="284"/>
      <c r="U149" s="284"/>
      <c r="V149" s="284"/>
      <c r="W149" s="284"/>
      <c r="X149" s="284"/>
      <c r="Y149" s="284"/>
      <c r="Z149" s="284"/>
      <c r="AA149" s="284"/>
      <c r="AB149" s="284"/>
      <c r="AC149" s="284"/>
      <c r="AD149" s="284"/>
      <c r="AE149" s="284"/>
      <c r="AF149" s="284"/>
      <c r="AG149" s="284"/>
      <c r="AH149" s="284"/>
      <c r="AI149" s="284"/>
      <c r="AJ149" s="284"/>
      <c r="AK149" s="284"/>
      <c r="AL149" s="284"/>
      <c r="AM149" s="284"/>
      <c r="AN149" s="284"/>
      <c r="AO149" s="284"/>
      <c r="AP149" s="284"/>
      <c r="AQ149" s="284"/>
      <c r="AR149" s="284"/>
      <c r="AS149" s="284"/>
      <c r="AT149" s="284"/>
      <c r="AU149" s="284"/>
      <c r="AV149" s="284"/>
      <c r="AW149" s="284"/>
      <c r="AX149" s="284"/>
      <c r="AY149" s="284"/>
      <c r="AZ149" s="284"/>
      <c r="BA149" s="284"/>
      <c r="BB149" s="284"/>
      <c r="BC149" s="284"/>
      <c r="BD149" s="284"/>
      <c r="BE149" s="284"/>
      <c r="BF149" s="284"/>
      <c r="BG149" s="284"/>
      <c r="BH149" s="284"/>
      <c r="BI149" s="284"/>
      <c r="BJ149" s="284"/>
      <c r="BK149" s="284"/>
      <c r="BL149" s="284"/>
      <c r="BM149" s="284"/>
      <c r="BN149" s="284"/>
      <c r="BO149" s="284"/>
      <c r="BP149" s="284"/>
      <c r="BQ149" s="284"/>
      <c r="BR149" s="284"/>
      <c r="BS149" s="284"/>
      <c r="BT149" s="284"/>
      <c r="BU149" s="284"/>
      <c r="BV149" s="284"/>
      <c r="BW149" s="284"/>
      <c r="BX149" s="284"/>
      <c r="BY149" s="284"/>
      <c r="BZ149" s="284"/>
      <c r="CA149" s="284"/>
      <c r="CB149" s="284"/>
      <c r="CC149" s="284"/>
      <c r="CD149" s="284"/>
      <c r="CE149" s="284"/>
      <c r="CF149" s="284"/>
    </row>
    <row r="150" spans="1:84" ht="12.6" customHeight="1" x14ac:dyDescent="0.25">
      <c r="A150" s="340" t="s">
        <v>300</v>
      </c>
      <c r="B150" s="313" t="s">
        <v>296</v>
      </c>
      <c r="C150" s="323" t="s">
        <v>297</v>
      </c>
      <c r="D150" s="313" t="s">
        <v>132</v>
      </c>
      <c r="E150" s="313" t="s">
        <v>203</v>
      </c>
      <c r="F150" s="284"/>
      <c r="G150" s="284"/>
      <c r="H150" s="284"/>
      <c r="I150" s="284"/>
      <c r="J150" s="284"/>
      <c r="K150" s="284"/>
      <c r="L150" s="284"/>
      <c r="M150" s="284"/>
      <c r="N150" s="284"/>
      <c r="O150" s="284"/>
      <c r="P150" s="284"/>
      <c r="Q150" s="284"/>
      <c r="R150" s="284"/>
      <c r="S150" s="284"/>
      <c r="T150" s="284"/>
      <c r="U150" s="284"/>
      <c r="V150" s="284"/>
      <c r="W150" s="284"/>
      <c r="X150" s="284"/>
      <c r="Y150" s="284"/>
      <c r="Z150" s="284"/>
      <c r="AA150" s="284"/>
      <c r="AB150" s="284"/>
      <c r="AC150" s="284"/>
      <c r="AD150" s="284"/>
      <c r="AE150" s="284"/>
      <c r="AF150" s="284"/>
      <c r="AG150" s="284"/>
      <c r="AH150" s="284"/>
      <c r="AI150" s="284"/>
      <c r="AJ150" s="284"/>
      <c r="AK150" s="284"/>
      <c r="AL150" s="284"/>
      <c r="AM150" s="284"/>
      <c r="AN150" s="284"/>
      <c r="AO150" s="284"/>
      <c r="AP150" s="284"/>
      <c r="AQ150" s="284"/>
      <c r="AR150" s="284"/>
      <c r="AS150" s="284"/>
      <c r="AT150" s="284"/>
      <c r="AU150" s="284"/>
      <c r="AV150" s="284"/>
      <c r="AW150" s="284"/>
      <c r="AX150" s="284"/>
      <c r="AY150" s="284"/>
      <c r="AZ150" s="284"/>
      <c r="BA150" s="284"/>
      <c r="BB150" s="284"/>
      <c r="BC150" s="284"/>
      <c r="BD150" s="284"/>
      <c r="BE150" s="284"/>
      <c r="BF150" s="284"/>
      <c r="BG150" s="284"/>
      <c r="BH150" s="284"/>
      <c r="BI150" s="284"/>
      <c r="BJ150" s="284"/>
      <c r="BK150" s="284"/>
      <c r="BL150" s="284"/>
      <c r="BM150" s="284"/>
      <c r="BN150" s="284"/>
      <c r="BO150" s="284"/>
      <c r="BP150" s="284"/>
      <c r="BQ150" s="284"/>
      <c r="BR150" s="284"/>
      <c r="BS150" s="284"/>
      <c r="BT150" s="284"/>
      <c r="BU150" s="284"/>
      <c r="BV150" s="284"/>
      <c r="BW150" s="284"/>
      <c r="BX150" s="284"/>
      <c r="BY150" s="284"/>
      <c r="BZ150" s="284"/>
      <c r="CA150" s="284"/>
      <c r="CB150" s="284"/>
      <c r="CC150" s="284"/>
      <c r="CD150" s="284"/>
      <c r="CE150" s="284"/>
      <c r="CF150" s="284"/>
    </row>
    <row r="151" spans="1:84" ht="12.6" customHeight="1" x14ac:dyDescent="0.25">
      <c r="A151" s="310" t="s">
        <v>277</v>
      </c>
      <c r="B151" s="357">
        <v>161</v>
      </c>
      <c r="C151" s="358"/>
      <c r="D151" s="357">
        <v>14</v>
      </c>
      <c r="E151" s="312">
        <v>175</v>
      </c>
      <c r="F151" s="284"/>
      <c r="G151" s="284"/>
      <c r="H151" s="284"/>
      <c r="I151" s="284"/>
      <c r="J151" s="284"/>
      <c r="K151" s="284"/>
      <c r="L151" s="284"/>
      <c r="M151" s="284"/>
      <c r="N151" s="284"/>
      <c r="O151" s="284"/>
      <c r="P151" s="284"/>
      <c r="Q151" s="284"/>
      <c r="R151" s="284"/>
      <c r="S151" s="284"/>
      <c r="T151" s="284"/>
      <c r="U151" s="284"/>
      <c r="V151" s="284"/>
      <c r="W151" s="284"/>
      <c r="X151" s="284"/>
      <c r="Y151" s="284"/>
      <c r="Z151" s="284"/>
      <c r="AA151" s="284"/>
      <c r="AB151" s="284"/>
      <c r="AC151" s="284"/>
      <c r="AD151" s="284"/>
      <c r="AE151" s="284"/>
      <c r="AF151" s="284"/>
      <c r="AG151" s="284"/>
      <c r="AH151" s="284"/>
      <c r="AI151" s="284"/>
      <c r="AJ151" s="284"/>
      <c r="AK151" s="284"/>
      <c r="AL151" s="284"/>
      <c r="AM151" s="284"/>
      <c r="AN151" s="284"/>
      <c r="AO151" s="284"/>
      <c r="AP151" s="284"/>
      <c r="AQ151" s="284"/>
      <c r="AR151" s="284"/>
      <c r="AS151" s="284"/>
      <c r="AT151" s="284"/>
      <c r="AU151" s="284"/>
      <c r="AV151" s="284"/>
      <c r="AW151" s="284"/>
      <c r="AX151" s="284"/>
      <c r="AY151" s="284"/>
      <c r="AZ151" s="284"/>
      <c r="BA151" s="284"/>
      <c r="BB151" s="284"/>
      <c r="BC151" s="284"/>
      <c r="BD151" s="284"/>
      <c r="BE151" s="284"/>
      <c r="BF151" s="284"/>
      <c r="BG151" s="284"/>
      <c r="BH151" s="284"/>
      <c r="BI151" s="284"/>
      <c r="BJ151" s="284"/>
      <c r="BK151" s="284"/>
      <c r="BL151" s="284"/>
      <c r="BM151" s="284"/>
      <c r="BN151" s="284"/>
      <c r="BO151" s="284"/>
      <c r="BP151" s="284"/>
      <c r="BQ151" s="284"/>
      <c r="BR151" s="284"/>
      <c r="BS151" s="284"/>
      <c r="BT151" s="284"/>
      <c r="BU151" s="284"/>
      <c r="BV151" s="284"/>
      <c r="BW151" s="284"/>
      <c r="BX151" s="284"/>
      <c r="BY151" s="284"/>
      <c r="BZ151" s="284"/>
      <c r="CA151" s="284"/>
      <c r="CB151" s="284"/>
      <c r="CC151" s="284"/>
      <c r="CD151" s="284"/>
      <c r="CE151" s="284"/>
      <c r="CF151" s="284"/>
    </row>
    <row r="152" spans="1:84" ht="12.6" customHeight="1" x14ac:dyDescent="0.25">
      <c r="A152" s="310" t="s">
        <v>215</v>
      </c>
      <c r="B152" s="357">
        <v>471</v>
      </c>
      <c r="C152" s="358"/>
      <c r="D152" s="357">
        <v>39</v>
      </c>
      <c r="E152" s="312">
        <v>510</v>
      </c>
      <c r="F152" s="284"/>
      <c r="G152" s="284"/>
      <c r="H152" s="284"/>
      <c r="I152" s="284"/>
      <c r="J152" s="284"/>
      <c r="K152" s="284"/>
      <c r="L152" s="284"/>
      <c r="M152" s="284"/>
      <c r="N152" s="284"/>
      <c r="O152" s="284"/>
      <c r="P152" s="284"/>
      <c r="Q152" s="284"/>
      <c r="R152" s="284"/>
      <c r="S152" s="284"/>
      <c r="T152" s="284"/>
      <c r="U152" s="284"/>
      <c r="V152" s="284"/>
      <c r="W152" s="284"/>
      <c r="X152" s="284"/>
      <c r="Y152" s="284"/>
      <c r="Z152" s="284"/>
      <c r="AA152" s="284"/>
      <c r="AB152" s="284"/>
      <c r="AC152" s="284"/>
      <c r="AD152" s="284"/>
      <c r="AE152" s="284"/>
      <c r="AF152" s="284"/>
      <c r="AG152" s="284"/>
      <c r="AH152" s="284"/>
      <c r="AI152" s="284"/>
      <c r="AJ152" s="284"/>
      <c r="AK152" s="284"/>
      <c r="AL152" s="284"/>
      <c r="AM152" s="284"/>
      <c r="AN152" s="284"/>
      <c r="AO152" s="284"/>
      <c r="AP152" s="284"/>
      <c r="AQ152" s="284"/>
      <c r="AR152" s="284"/>
      <c r="AS152" s="284"/>
      <c r="AT152" s="284"/>
      <c r="AU152" s="284"/>
      <c r="AV152" s="284"/>
      <c r="AW152" s="284"/>
      <c r="AX152" s="284"/>
      <c r="AY152" s="284"/>
      <c r="AZ152" s="284"/>
      <c r="BA152" s="284"/>
      <c r="BB152" s="284"/>
      <c r="BC152" s="284"/>
      <c r="BD152" s="284"/>
      <c r="BE152" s="284"/>
      <c r="BF152" s="284"/>
      <c r="BG152" s="284"/>
      <c r="BH152" s="284"/>
      <c r="BI152" s="284"/>
      <c r="BJ152" s="284"/>
      <c r="BK152" s="284"/>
      <c r="BL152" s="284"/>
      <c r="BM152" s="284"/>
      <c r="BN152" s="284"/>
      <c r="BO152" s="284"/>
      <c r="BP152" s="284"/>
      <c r="BQ152" s="284"/>
      <c r="BR152" s="284"/>
      <c r="BS152" s="284"/>
      <c r="BT152" s="284"/>
      <c r="BU152" s="284"/>
      <c r="BV152" s="284"/>
      <c r="BW152" s="284"/>
      <c r="BX152" s="284"/>
      <c r="BY152" s="284"/>
      <c r="BZ152" s="284"/>
      <c r="CA152" s="284"/>
      <c r="CB152" s="284"/>
      <c r="CC152" s="284"/>
      <c r="CD152" s="284"/>
      <c r="CE152" s="284"/>
      <c r="CF152" s="284"/>
    </row>
    <row r="153" spans="1:84" ht="12.6" customHeight="1" x14ac:dyDescent="0.25">
      <c r="A153" s="310" t="s">
        <v>298</v>
      </c>
      <c r="B153" s="357"/>
      <c r="C153" s="358"/>
      <c r="D153" s="357"/>
      <c r="E153" s="312">
        <v>0</v>
      </c>
      <c r="F153" s="284"/>
      <c r="G153" s="284"/>
      <c r="H153" s="284"/>
      <c r="I153" s="284"/>
      <c r="J153" s="284"/>
      <c r="K153" s="284"/>
      <c r="L153" s="284"/>
      <c r="M153" s="284"/>
      <c r="N153" s="284"/>
      <c r="O153" s="284"/>
      <c r="P153" s="284"/>
      <c r="Q153" s="284"/>
      <c r="R153" s="284"/>
      <c r="S153" s="284"/>
      <c r="T153" s="284"/>
      <c r="U153" s="284"/>
      <c r="V153" s="284"/>
      <c r="W153" s="284"/>
      <c r="X153" s="284"/>
      <c r="Y153" s="284"/>
      <c r="Z153" s="284"/>
      <c r="AA153" s="284"/>
      <c r="AB153" s="284"/>
      <c r="AC153" s="284"/>
      <c r="AD153" s="284"/>
      <c r="AE153" s="284"/>
      <c r="AF153" s="284"/>
      <c r="AG153" s="284"/>
      <c r="AH153" s="284"/>
      <c r="AI153" s="284"/>
      <c r="AJ153" s="284"/>
      <c r="AK153" s="284"/>
      <c r="AL153" s="284"/>
      <c r="AM153" s="284"/>
      <c r="AN153" s="284"/>
      <c r="AO153" s="284"/>
      <c r="AP153" s="284"/>
      <c r="AQ153" s="284"/>
      <c r="AR153" s="284"/>
      <c r="AS153" s="284"/>
      <c r="AT153" s="284"/>
      <c r="AU153" s="284"/>
      <c r="AV153" s="284"/>
      <c r="AW153" s="284"/>
      <c r="AX153" s="284"/>
      <c r="AY153" s="284"/>
      <c r="AZ153" s="284"/>
      <c r="BA153" s="284"/>
      <c r="BB153" s="284"/>
      <c r="BC153" s="284"/>
      <c r="BD153" s="284"/>
      <c r="BE153" s="284"/>
      <c r="BF153" s="284"/>
      <c r="BG153" s="284"/>
      <c r="BH153" s="284"/>
      <c r="BI153" s="284"/>
      <c r="BJ153" s="284"/>
      <c r="BK153" s="284"/>
      <c r="BL153" s="284"/>
      <c r="BM153" s="284"/>
      <c r="BN153" s="284"/>
      <c r="BO153" s="284"/>
      <c r="BP153" s="284"/>
      <c r="BQ153" s="284"/>
      <c r="BR153" s="284"/>
      <c r="BS153" s="284"/>
      <c r="BT153" s="284"/>
      <c r="BU153" s="284"/>
      <c r="BV153" s="284"/>
      <c r="BW153" s="284"/>
      <c r="BX153" s="284"/>
      <c r="BY153" s="284"/>
      <c r="BZ153" s="284"/>
      <c r="CA153" s="284"/>
      <c r="CB153" s="284"/>
      <c r="CC153" s="284"/>
      <c r="CD153" s="284"/>
      <c r="CE153" s="284"/>
      <c r="CF153" s="284"/>
    </row>
    <row r="154" spans="1:84" ht="12.6" customHeight="1" x14ac:dyDescent="0.25">
      <c r="A154" s="310" t="s">
        <v>245</v>
      </c>
      <c r="B154" s="357">
        <v>548367.21</v>
      </c>
      <c r="C154" s="357">
        <v>0</v>
      </c>
      <c r="D154" s="357">
        <v>46319.64</v>
      </c>
      <c r="E154" s="312">
        <v>594686.85</v>
      </c>
      <c r="F154" s="284"/>
      <c r="G154" s="284"/>
      <c r="H154" s="284"/>
      <c r="I154" s="284"/>
      <c r="J154" s="284"/>
      <c r="K154" s="284"/>
      <c r="L154" s="284"/>
      <c r="M154" s="284"/>
      <c r="N154" s="284"/>
      <c r="O154" s="284"/>
      <c r="P154" s="284"/>
      <c r="Q154" s="284"/>
      <c r="R154" s="284"/>
      <c r="S154" s="284"/>
      <c r="T154" s="284"/>
      <c r="U154" s="284"/>
      <c r="V154" s="284"/>
      <c r="W154" s="284"/>
      <c r="X154" s="284"/>
      <c r="Y154" s="284"/>
      <c r="Z154" s="284"/>
      <c r="AA154" s="284"/>
      <c r="AB154" s="284"/>
      <c r="AC154" s="284"/>
      <c r="AD154" s="284"/>
      <c r="AE154" s="284"/>
      <c r="AF154" s="284"/>
      <c r="AG154" s="284"/>
      <c r="AH154" s="284"/>
      <c r="AI154" s="284"/>
      <c r="AJ154" s="284"/>
      <c r="AK154" s="284"/>
      <c r="AL154" s="284"/>
      <c r="AM154" s="284"/>
      <c r="AN154" s="284"/>
      <c r="AO154" s="284"/>
      <c r="AP154" s="284"/>
      <c r="AQ154" s="284"/>
      <c r="AR154" s="284"/>
      <c r="AS154" s="284"/>
      <c r="AT154" s="284"/>
      <c r="AU154" s="284"/>
      <c r="AV154" s="284"/>
      <c r="AW154" s="284"/>
      <c r="AX154" s="284"/>
      <c r="AY154" s="284"/>
      <c r="AZ154" s="284"/>
      <c r="BA154" s="284"/>
      <c r="BB154" s="284"/>
      <c r="BC154" s="284"/>
      <c r="BD154" s="284"/>
      <c r="BE154" s="284"/>
      <c r="BF154" s="284"/>
      <c r="BG154" s="284"/>
      <c r="BH154" s="284"/>
      <c r="BI154" s="284"/>
      <c r="BJ154" s="284"/>
      <c r="BK154" s="284"/>
      <c r="BL154" s="284"/>
      <c r="BM154" s="284"/>
      <c r="BN154" s="284"/>
      <c r="BO154" s="284"/>
      <c r="BP154" s="284"/>
      <c r="BQ154" s="284"/>
      <c r="BR154" s="284"/>
      <c r="BS154" s="284"/>
      <c r="BT154" s="284"/>
      <c r="BU154" s="284"/>
      <c r="BV154" s="284"/>
      <c r="BW154" s="284"/>
      <c r="BX154" s="284"/>
      <c r="BY154" s="284"/>
      <c r="BZ154" s="284"/>
      <c r="CA154" s="284"/>
      <c r="CB154" s="284"/>
      <c r="CC154" s="284"/>
      <c r="CD154" s="284"/>
      <c r="CE154" s="284"/>
      <c r="CF154" s="284"/>
    </row>
    <row r="155" spans="1:84" ht="12.6" customHeight="1" x14ac:dyDescent="0.25">
      <c r="A155" s="310" t="s">
        <v>246</v>
      </c>
      <c r="B155" s="357">
        <v>271141.77999999997</v>
      </c>
      <c r="C155" s="357">
        <v>11226.76</v>
      </c>
      <c r="D155" s="357">
        <v>43392.53</v>
      </c>
      <c r="E155" s="312">
        <v>325761.06999999995</v>
      </c>
      <c r="F155" s="284"/>
      <c r="G155" s="284"/>
      <c r="H155" s="284"/>
      <c r="I155" s="284"/>
      <c r="J155" s="284"/>
      <c r="K155" s="284"/>
      <c r="L155" s="284"/>
      <c r="M155" s="284"/>
      <c r="N155" s="284"/>
      <c r="O155" s="284"/>
      <c r="P155" s="284"/>
      <c r="Q155" s="284"/>
      <c r="R155" s="284"/>
      <c r="S155" s="284"/>
      <c r="T155" s="284"/>
      <c r="U155" s="284"/>
      <c r="V155" s="284"/>
      <c r="W155" s="284"/>
      <c r="X155" s="284"/>
      <c r="Y155" s="284"/>
      <c r="Z155" s="284"/>
      <c r="AA155" s="284"/>
      <c r="AB155" s="284"/>
      <c r="AC155" s="284"/>
      <c r="AD155" s="284"/>
      <c r="AE155" s="284"/>
      <c r="AF155" s="284"/>
      <c r="AG155" s="284"/>
      <c r="AH155" s="284"/>
      <c r="AI155" s="284"/>
      <c r="AJ155" s="284"/>
      <c r="AK155" s="284"/>
      <c r="AL155" s="284"/>
      <c r="AM155" s="284"/>
      <c r="AN155" s="284"/>
      <c r="AO155" s="284"/>
      <c r="AP155" s="284"/>
      <c r="AQ155" s="284"/>
      <c r="AR155" s="284"/>
      <c r="AS155" s="284"/>
      <c r="AT155" s="284"/>
      <c r="AU155" s="284"/>
      <c r="AV155" s="284"/>
      <c r="AW155" s="284"/>
      <c r="AX155" s="284"/>
      <c r="AY155" s="284"/>
      <c r="AZ155" s="284"/>
      <c r="BA155" s="284"/>
      <c r="BB155" s="284"/>
      <c r="BC155" s="284"/>
      <c r="BD155" s="284"/>
      <c r="BE155" s="284"/>
      <c r="BF155" s="284"/>
      <c r="BG155" s="284"/>
      <c r="BH155" s="284"/>
      <c r="BI155" s="284"/>
      <c r="BJ155" s="284"/>
      <c r="BK155" s="284"/>
      <c r="BL155" s="284"/>
      <c r="BM155" s="284"/>
      <c r="BN155" s="284"/>
      <c r="BO155" s="284"/>
      <c r="BP155" s="284"/>
      <c r="BQ155" s="284"/>
      <c r="BR155" s="284"/>
      <c r="BS155" s="284"/>
      <c r="BT155" s="284"/>
      <c r="BU155" s="284"/>
      <c r="BV155" s="284"/>
      <c r="BW155" s="284"/>
      <c r="BX155" s="284"/>
      <c r="BY155" s="284"/>
      <c r="BZ155" s="284"/>
      <c r="CA155" s="284"/>
      <c r="CB155" s="284"/>
      <c r="CC155" s="284"/>
      <c r="CD155" s="284"/>
      <c r="CE155" s="284"/>
      <c r="CF155" s="284"/>
    </row>
    <row r="156" spans="1:84" ht="12.6" customHeight="1" x14ac:dyDescent="0.25">
      <c r="A156" s="314"/>
      <c r="B156" s="314"/>
      <c r="C156" s="324"/>
      <c r="D156" s="315"/>
      <c r="E156" s="312"/>
      <c r="F156" s="284"/>
      <c r="G156" s="284"/>
      <c r="H156" s="284"/>
      <c r="I156" s="284"/>
      <c r="J156" s="284"/>
      <c r="K156" s="284"/>
      <c r="L156" s="284"/>
      <c r="M156" s="284"/>
      <c r="N156" s="284"/>
      <c r="O156" s="284"/>
      <c r="P156" s="284"/>
      <c r="Q156" s="284"/>
      <c r="R156" s="284"/>
      <c r="S156" s="284"/>
      <c r="T156" s="284"/>
      <c r="U156" s="284"/>
      <c r="V156" s="284"/>
      <c r="W156" s="284"/>
      <c r="X156" s="284"/>
      <c r="Y156" s="284"/>
      <c r="Z156" s="284"/>
      <c r="AA156" s="284"/>
      <c r="AB156" s="284"/>
      <c r="AC156" s="284"/>
      <c r="AD156" s="284"/>
      <c r="AE156" s="284"/>
      <c r="AF156" s="284"/>
      <c r="AG156" s="284"/>
      <c r="AH156" s="284"/>
      <c r="AI156" s="284"/>
      <c r="AJ156" s="284"/>
      <c r="AK156" s="284"/>
      <c r="AL156" s="284"/>
      <c r="AM156" s="284"/>
      <c r="AN156" s="284"/>
      <c r="AO156" s="284"/>
      <c r="AP156" s="284"/>
      <c r="AQ156" s="284"/>
      <c r="AR156" s="284"/>
      <c r="AS156" s="284"/>
      <c r="AT156" s="284"/>
      <c r="AU156" s="284"/>
      <c r="AV156" s="284"/>
      <c r="AW156" s="284"/>
      <c r="AX156" s="284"/>
      <c r="AY156" s="284"/>
      <c r="AZ156" s="284"/>
      <c r="BA156" s="284"/>
      <c r="BB156" s="284"/>
      <c r="BC156" s="284"/>
      <c r="BD156" s="284"/>
      <c r="BE156" s="284"/>
      <c r="BF156" s="284"/>
      <c r="BG156" s="284"/>
      <c r="BH156" s="284"/>
      <c r="BI156" s="284"/>
      <c r="BJ156" s="284"/>
      <c r="BK156" s="284"/>
      <c r="BL156" s="284"/>
      <c r="BM156" s="284"/>
      <c r="BN156" s="284"/>
      <c r="BO156" s="284"/>
      <c r="BP156" s="284"/>
      <c r="BQ156" s="284"/>
      <c r="BR156" s="284"/>
      <c r="BS156" s="284"/>
      <c r="BT156" s="284"/>
      <c r="BU156" s="284"/>
      <c r="BV156" s="284"/>
      <c r="BW156" s="284"/>
      <c r="BX156" s="284"/>
      <c r="BY156" s="284"/>
      <c r="BZ156" s="284"/>
      <c r="CA156" s="284"/>
      <c r="CB156" s="284"/>
      <c r="CC156" s="284"/>
      <c r="CD156" s="284"/>
      <c r="CE156" s="284"/>
      <c r="CF156" s="284"/>
    </row>
    <row r="157" spans="1:84" ht="12.6" customHeight="1" x14ac:dyDescent="0.25">
      <c r="A157" s="340" t="s">
        <v>301</v>
      </c>
      <c r="B157" s="313" t="s">
        <v>302</v>
      </c>
      <c r="C157" s="323" t="s">
        <v>303</v>
      </c>
      <c r="D157" s="312"/>
      <c r="E157" s="312"/>
      <c r="F157" s="284"/>
      <c r="G157" s="284"/>
      <c r="H157" s="284"/>
      <c r="I157" s="284"/>
      <c r="J157" s="284"/>
      <c r="K157" s="284"/>
      <c r="L157" s="284"/>
      <c r="M157" s="284"/>
      <c r="N157" s="284"/>
      <c r="O157" s="284"/>
      <c r="P157" s="284"/>
      <c r="Q157" s="284"/>
      <c r="R157" s="284"/>
      <c r="S157" s="284"/>
      <c r="T157" s="284"/>
      <c r="U157" s="284"/>
      <c r="V157" s="284"/>
      <c r="W157" s="284"/>
      <c r="X157" s="284"/>
      <c r="Y157" s="284"/>
      <c r="Z157" s="284"/>
      <c r="AA157" s="284"/>
      <c r="AB157" s="284"/>
      <c r="AC157" s="284"/>
      <c r="AD157" s="284"/>
      <c r="AE157" s="284"/>
      <c r="AF157" s="284"/>
      <c r="AG157" s="284"/>
      <c r="AH157" s="284"/>
      <c r="AI157" s="284"/>
      <c r="AJ157" s="284"/>
      <c r="AK157" s="284"/>
      <c r="AL157" s="284"/>
      <c r="AM157" s="284"/>
      <c r="AN157" s="284"/>
      <c r="AO157" s="284"/>
      <c r="AP157" s="284"/>
      <c r="AQ157" s="284"/>
      <c r="AR157" s="284"/>
      <c r="AS157" s="284"/>
      <c r="AT157" s="284"/>
      <c r="AU157" s="284"/>
      <c r="AV157" s="284"/>
      <c r="AW157" s="284"/>
      <c r="AX157" s="284"/>
      <c r="AY157" s="284"/>
      <c r="AZ157" s="284"/>
      <c r="BA157" s="284"/>
      <c r="BB157" s="284"/>
      <c r="BC157" s="284"/>
      <c r="BD157" s="284"/>
      <c r="BE157" s="284"/>
      <c r="BF157" s="284"/>
      <c r="BG157" s="284"/>
      <c r="BH157" s="284"/>
      <c r="BI157" s="284"/>
      <c r="BJ157" s="284"/>
      <c r="BK157" s="284"/>
      <c r="BL157" s="284"/>
      <c r="BM157" s="284"/>
      <c r="BN157" s="284"/>
      <c r="BO157" s="284"/>
      <c r="BP157" s="284"/>
      <c r="BQ157" s="284"/>
      <c r="BR157" s="284"/>
      <c r="BS157" s="284"/>
      <c r="BT157" s="284"/>
      <c r="BU157" s="284"/>
      <c r="BV157" s="284"/>
      <c r="BW157" s="284"/>
      <c r="BX157" s="284"/>
      <c r="BY157" s="284"/>
      <c r="BZ157" s="284"/>
      <c r="CA157" s="284"/>
      <c r="CB157" s="284"/>
      <c r="CC157" s="284"/>
      <c r="CD157" s="284"/>
      <c r="CE157" s="284"/>
      <c r="CF157" s="284"/>
    </row>
    <row r="158" spans="1:84" ht="12.6" customHeight="1" x14ac:dyDescent="0.25">
      <c r="A158" s="314" t="s">
        <v>304</v>
      </c>
      <c r="B158" s="357">
        <v>5026362</v>
      </c>
      <c r="C158" s="311">
        <v>2255945</v>
      </c>
      <c r="D158" s="312"/>
      <c r="E158" s="312"/>
      <c r="F158" s="284"/>
      <c r="G158" s="284"/>
      <c r="H158" s="284"/>
      <c r="I158" s="284"/>
      <c r="J158" s="284"/>
      <c r="K158" s="284"/>
      <c r="L158" s="284"/>
      <c r="M158" s="284"/>
      <c r="N158" s="284"/>
      <c r="O158" s="284"/>
      <c r="P158" s="284"/>
      <c r="Q158" s="284"/>
      <c r="R158" s="284"/>
      <c r="S158" s="284"/>
      <c r="T158" s="284"/>
      <c r="U158" s="284"/>
      <c r="V158" s="284"/>
      <c r="W158" s="284"/>
      <c r="X158" s="284"/>
      <c r="Y158" s="284"/>
      <c r="Z158" s="284"/>
      <c r="AA158" s="284"/>
      <c r="AB158" s="284"/>
      <c r="AC158" s="284"/>
      <c r="AD158" s="284"/>
      <c r="AE158" s="284"/>
      <c r="AF158" s="284"/>
      <c r="AG158" s="284"/>
      <c r="AH158" s="284"/>
      <c r="AI158" s="284"/>
      <c r="AJ158" s="284"/>
      <c r="AK158" s="284"/>
      <c r="AL158" s="284"/>
      <c r="AM158" s="284"/>
      <c r="AN158" s="284"/>
      <c r="AO158" s="284"/>
      <c r="AP158" s="284"/>
      <c r="AQ158" s="284"/>
      <c r="AR158" s="284"/>
      <c r="AS158" s="284"/>
      <c r="AT158" s="284"/>
      <c r="AU158" s="284"/>
      <c r="AV158" s="284"/>
      <c r="AW158" s="284"/>
      <c r="AX158" s="284"/>
      <c r="AY158" s="284"/>
      <c r="AZ158" s="284"/>
      <c r="BA158" s="284"/>
      <c r="BB158" s="284"/>
      <c r="BC158" s="284"/>
      <c r="BD158" s="284"/>
      <c r="BE158" s="284"/>
      <c r="BF158" s="284"/>
      <c r="BG158" s="284"/>
      <c r="BH158" s="284"/>
      <c r="BI158" s="284"/>
      <c r="BJ158" s="284"/>
      <c r="BK158" s="284"/>
      <c r="BL158" s="284"/>
      <c r="BM158" s="284"/>
      <c r="BN158" s="284"/>
      <c r="BO158" s="284"/>
      <c r="BP158" s="284"/>
      <c r="BQ158" s="284"/>
      <c r="BR158" s="284"/>
      <c r="BS158" s="284"/>
      <c r="BT158" s="284"/>
      <c r="BU158" s="284"/>
      <c r="BV158" s="284"/>
      <c r="BW158" s="284"/>
      <c r="BX158" s="284"/>
      <c r="BY158" s="284"/>
      <c r="BZ158" s="284"/>
      <c r="CA158" s="284"/>
      <c r="CB158" s="284"/>
      <c r="CC158" s="284"/>
      <c r="CD158" s="284"/>
      <c r="CE158" s="284"/>
      <c r="CF158" s="284"/>
    </row>
    <row r="159" spans="1:84" ht="12.6" customHeight="1" x14ac:dyDescent="0.25">
      <c r="A159" s="314"/>
      <c r="B159" s="315"/>
      <c r="C159" s="324"/>
      <c r="D159" s="312"/>
      <c r="E159" s="312"/>
      <c r="F159" s="284"/>
      <c r="G159" s="284"/>
      <c r="H159" s="284"/>
      <c r="I159" s="284"/>
      <c r="J159" s="284"/>
      <c r="K159" s="284"/>
      <c r="L159" s="284"/>
      <c r="M159" s="284"/>
      <c r="N159" s="284"/>
      <c r="O159" s="284"/>
      <c r="P159" s="284"/>
      <c r="Q159" s="284"/>
      <c r="R159" s="284"/>
      <c r="S159" s="284"/>
      <c r="T159" s="284"/>
      <c r="U159" s="284"/>
      <c r="V159" s="284"/>
      <c r="W159" s="284"/>
      <c r="X159" s="284"/>
      <c r="Y159" s="284"/>
      <c r="Z159" s="284"/>
      <c r="AA159" s="284"/>
      <c r="AB159" s="284"/>
      <c r="AC159" s="284"/>
      <c r="AD159" s="284"/>
      <c r="AE159" s="284"/>
      <c r="AF159" s="284"/>
      <c r="AG159" s="284"/>
      <c r="AH159" s="284"/>
      <c r="AI159" s="284"/>
      <c r="AJ159" s="284"/>
      <c r="AK159" s="284"/>
      <c r="AL159" s="284"/>
      <c r="AM159" s="284"/>
      <c r="AN159" s="284"/>
      <c r="AO159" s="284"/>
      <c r="AP159" s="284"/>
      <c r="AQ159" s="284"/>
      <c r="AR159" s="284"/>
      <c r="AS159" s="284"/>
      <c r="AT159" s="284"/>
      <c r="AU159" s="284"/>
      <c r="AV159" s="284"/>
      <c r="AW159" s="284"/>
      <c r="AX159" s="284"/>
      <c r="AY159" s="284"/>
      <c r="AZ159" s="284"/>
      <c r="BA159" s="284"/>
      <c r="BB159" s="284"/>
      <c r="BC159" s="284"/>
      <c r="BD159" s="284"/>
      <c r="BE159" s="284"/>
      <c r="BF159" s="284"/>
      <c r="BG159" s="284"/>
      <c r="BH159" s="284"/>
      <c r="BI159" s="284"/>
      <c r="BJ159" s="284"/>
      <c r="BK159" s="284"/>
      <c r="BL159" s="284"/>
      <c r="BM159" s="284"/>
      <c r="BN159" s="284"/>
      <c r="BO159" s="284"/>
      <c r="BP159" s="284"/>
      <c r="BQ159" s="284"/>
      <c r="BR159" s="284"/>
      <c r="BS159" s="284"/>
      <c r="BT159" s="284"/>
      <c r="BU159" s="284"/>
      <c r="BV159" s="284"/>
      <c r="BW159" s="284"/>
      <c r="BX159" s="284"/>
      <c r="BY159" s="284"/>
      <c r="BZ159" s="284"/>
      <c r="CA159" s="284"/>
      <c r="CB159" s="284"/>
      <c r="CC159" s="284"/>
      <c r="CD159" s="284"/>
      <c r="CE159" s="284"/>
      <c r="CF159" s="284"/>
    </row>
    <row r="160" spans="1:84" ht="12.6" customHeight="1" x14ac:dyDescent="0.25">
      <c r="A160" s="314"/>
      <c r="B160" s="314"/>
      <c r="C160" s="324"/>
      <c r="D160" s="315"/>
      <c r="E160" s="312"/>
      <c r="F160" s="284"/>
      <c r="G160" s="284"/>
      <c r="H160" s="284"/>
      <c r="I160" s="284"/>
      <c r="J160" s="284"/>
      <c r="K160" s="284"/>
      <c r="L160" s="284"/>
      <c r="M160" s="284"/>
      <c r="N160" s="284"/>
      <c r="O160" s="284"/>
      <c r="P160" s="284"/>
      <c r="Q160" s="284"/>
      <c r="R160" s="284"/>
      <c r="S160" s="284"/>
      <c r="T160" s="284"/>
      <c r="U160" s="284"/>
      <c r="V160" s="284"/>
      <c r="W160" s="284"/>
      <c r="X160" s="284"/>
      <c r="Y160" s="284"/>
      <c r="Z160" s="284"/>
      <c r="AA160" s="284"/>
      <c r="AB160" s="284"/>
      <c r="AC160" s="284"/>
      <c r="AD160" s="284"/>
      <c r="AE160" s="284"/>
      <c r="AF160" s="284"/>
      <c r="AG160" s="284"/>
      <c r="AH160" s="284"/>
      <c r="AI160" s="284"/>
      <c r="AJ160" s="284"/>
      <c r="AK160" s="284"/>
      <c r="AL160" s="284"/>
      <c r="AM160" s="284"/>
      <c r="AN160" s="284"/>
      <c r="AO160" s="284"/>
      <c r="AP160" s="284"/>
      <c r="AQ160" s="284"/>
      <c r="AR160" s="284"/>
      <c r="AS160" s="284"/>
      <c r="AT160" s="284"/>
      <c r="AU160" s="284"/>
      <c r="AV160" s="284"/>
      <c r="AW160" s="284"/>
      <c r="AX160" s="284"/>
      <c r="AY160" s="284"/>
      <c r="AZ160" s="284"/>
      <c r="BA160" s="284"/>
      <c r="BB160" s="284"/>
      <c r="BC160" s="284"/>
      <c r="BD160" s="284"/>
      <c r="BE160" s="284"/>
      <c r="BF160" s="284"/>
      <c r="BG160" s="284"/>
      <c r="BH160" s="284"/>
      <c r="BI160" s="284"/>
      <c r="BJ160" s="284"/>
      <c r="BK160" s="284"/>
      <c r="BL160" s="284"/>
      <c r="BM160" s="284"/>
      <c r="BN160" s="284"/>
      <c r="BO160" s="284"/>
      <c r="BP160" s="284"/>
      <c r="BQ160" s="284"/>
      <c r="BR160" s="284"/>
      <c r="BS160" s="284"/>
      <c r="BT160" s="284"/>
      <c r="BU160" s="284"/>
      <c r="BV160" s="284"/>
      <c r="BW160" s="284"/>
      <c r="BX160" s="284"/>
      <c r="BY160" s="284"/>
      <c r="BZ160" s="284"/>
      <c r="CA160" s="284"/>
      <c r="CB160" s="284"/>
      <c r="CC160" s="284"/>
      <c r="CD160" s="284"/>
      <c r="CE160" s="284"/>
      <c r="CF160" s="284"/>
    </row>
    <row r="161" spans="1:84" ht="12.6" customHeight="1" x14ac:dyDescent="0.25">
      <c r="A161" s="314"/>
      <c r="B161" s="314"/>
      <c r="C161" s="324"/>
      <c r="D161" s="315"/>
      <c r="E161" s="312"/>
      <c r="F161" s="284"/>
      <c r="G161" s="284"/>
      <c r="H161" s="284"/>
      <c r="I161" s="284"/>
      <c r="J161" s="284"/>
      <c r="K161" s="284"/>
      <c r="L161" s="284"/>
      <c r="M161" s="284"/>
      <c r="N161" s="284"/>
      <c r="O161" s="284"/>
      <c r="P161" s="284"/>
      <c r="Q161" s="284"/>
      <c r="R161" s="284"/>
      <c r="S161" s="284"/>
      <c r="T161" s="284"/>
      <c r="U161" s="284"/>
      <c r="V161" s="284"/>
      <c r="W161" s="284"/>
      <c r="X161" s="284"/>
      <c r="Y161" s="284"/>
      <c r="Z161" s="284"/>
      <c r="AA161" s="284"/>
      <c r="AB161" s="284"/>
      <c r="AC161" s="284"/>
      <c r="AD161" s="284"/>
      <c r="AE161" s="284"/>
      <c r="AF161" s="284"/>
      <c r="AG161" s="284"/>
      <c r="AH161" s="284"/>
      <c r="AI161" s="284"/>
      <c r="AJ161" s="284"/>
      <c r="AK161" s="284"/>
      <c r="AL161" s="284"/>
      <c r="AM161" s="284"/>
      <c r="AN161" s="284"/>
      <c r="AO161" s="284"/>
      <c r="AP161" s="284"/>
      <c r="AQ161" s="284"/>
      <c r="AR161" s="284"/>
      <c r="AS161" s="284"/>
      <c r="AT161" s="284"/>
      <c r="AU161" s="284"/>
      <c r="AV161" s="284"/>
      <c r="AW161" s="284"/>
      <c r="AX161" s="284"/>
      <c r="AY161" s="284"/>
      <c r="AZ161" s="284"/>
      <c r="BA161" s="284"/>
      <c r="BB161" s="284"/>
      <c r="BC161" s="284"/>
      <c r="BD161" s="284"/>
      <c r="BE161" s="284"/>
      <c r="BF161" s="284"/>
      <c r="BG161" s="284"/>
      <c r="BH161" s="284"/>
      <c r="BI161" s="284"/>
      <c r="BJ161" s="284"/>
      <c r="BK161" s="284"/>
      <c r="BL161" s="284"/>
      <c r="BM161" s="284"/>
      <c r="BN161" s="284"/>
      <c r="BO161" s="284"/>
      <c r="BP161" s="284"/>
      <c r="BQ161" s="284"/>
      <c r="BR161" s="284"/>
      <c r="BS161" s="284"/>
      <c r="BT161" s="284"/>
      <c r="BU161" s="284"/>
      <c r="BV161" s="284"/>
      <c r="BW161" s="284"/>
      <c r="BX161" s="284"/>
      <c r="BY161" s="284"/>
      <c r="BZ161" s="284"/>
      <c r="CA161" s="284"/>
      <c r="CB161" s="284"/>
      <c r="CC161" s="284"/>
      <c r="CD161" s="284"/>
      <c r="CE161" s="284"/>
      <c r="CF161" s="284"/>
    </row>
    <row r="162" spans="1:84" ht="12.6" customHeight="1" x14ac:dyDescent="0.25">
      <c r="A162" s="314"/>
      <c r="B162" s="314"/>
      <c r="C162" s="324"/>
      <c r="D162" s="315"/>
      <c r="E162" s="312"/>
      <c r="F162" s="284"/>
      <c r="G162" s="284"/>
      <c r="H162" s="284"/>
      <c r="I162" s="284"/>
      <c r="J162" s="284"/>
      <c r="K162" s="284"/>
      <c r="L162" s="284"/>
      <c r="M162" s="284"/>
      <c r="N162" s="284"/>
      <c r="O162" s="284"/>
      <c r="P162" s="284"/>
      <c r="Q162" s="284"/>
      <c r="R162" s="284"/>
      <c r="S162" s="284"/>
      <c r="T162" s="284"/>
      <c r="U162" s="284"/>
      <c r="V162" s="284"/>
      <c r="W162" s="284"/>
      <c r="X162" s="284"/>
      <c r="Y162" s="284"/>
      <c r="Z162" s="284"/>
      <c r="AA162" s="284"/>
      <c r="AB162" s="284"/>
      <c r="AC162" s="284"/>
      <c r="AD162" s="284"/>
      <c r="AE162" s="284"/>
      <c r="AF162" s="284"/>
      <c r="AG162" s="284"/>
      <c r="AH162" s="284"/>
      <c r="AI162" s="284"/>
      <c r="AJ162" s="284"/>
      <c r="AK162" s="284"/>
      <c r="AL162" s="284"/>
      <c r="AM162" s="284"/>
      <c r="AN162" s="284"/>
      <c r="AO162" s="284"/>
      <c r="AP162" s="284"/>
      <c r="AQ162" s="284"/>
      <c r="AR162" s="284"/>
      <c r="AS162" s="284"/>
      <c r="AT162" s="284"/>
      <c r="AU162" s="284"/>
      <c r="AV162" s="284"/>
      <c r="AW162" s="284"/>
      <c r="AX162" s="284"/>
      <c r="AY162" s="284"/>
      <c r="AZ162" s="284"/>
      <c r="BA162" s="284"/>
      <c r="BB162" s="284"/>
      <c r="BC162" s="284"/>
      <c r="BD162" s="284"/>
      <c r="BE162" s="284"/>
      <c r="BF162" s="284"/>
      <c r="BG162" s="284"/>
      <c r="BH162" s="284"/>
      <c r="BI162" s="284"/>
      <c r="BJ162" s="284"/>
      <c r="BK162" s="284"/>
      <c r="BL162" s="284"/>
      <c r="BM162" s="284"/>
      <c r="BN162" s="284"/>
      <c r="BO162" s="284"/>
      <c r="BP162" s="284"/>
      <c r="BQ162" s="284"/>
      <c r="BR162" s="284"/>
      <c r="BS162" s="284"/>
      <c r="BT162" s="284"/>
      <c r="BU162" s="284"/>
      <c r="BV162" s="284"/>
      <c r="BW162" s="284"/>
      <c r="BX162" s="284"/>
      <c r="BY162" s="284"/>
      <c r="BZ162" s="284"/>
      <c r="CA162" s="284"/>
      <c r="CB162" s="284"/>
      <c r="CC162" s="284"/>
      <c r="CD162" s="284"/>
      <c r="CE162" s="284"/>
      <c r="CF162" s="284"/>
    </row>
    <row r="163" spans="1:84" ht="21.75" customHeight="1" x14ac:dyDescent="0.25">
      <c r="A163" s="314"/>
      <c r="B163" s="314"/>
      <c r="C163" s="324"/>
      <c r="D163" s="315"/>
      <c r="E163" s="312"/>
      <c r="F163" s="284"/>
      <c r="G163" s="284"/>
      <c r="H163" s="284"/>
      <c r="I163" s="284"/>
      <c r="J163" s="284"/>
      <c r="K163" s="284"/>
      <c r="L163" s="284"/>
      <c r="M163" s="284"/>
      <c r="N163" s="284"/>
      <c r="O163" s="284"/>
      <c r="P163" s="284"/>
      <c r="Q163" s="284"/>
      <c r="R163" s="284"/>
      <c r="S163" s="284"/>
      <c r="T163" s="284"/>
      <c r="U163" s="284"/>
      <c r="V163" s="284"/>
      <c r="W163" s="284"/>
      <c r="X163" s="284"/>
      <c r="Y163" s="284"/>
      <c r="Z163" s="284"/>
      <c r="AA163" s="284"/>
      <c r="AB163" s="284"/>
      <c r="AC163" s="284"/>
      <c r="AD163" s="284"/>
      <c r="AE163" s="284"/>
      <c r="AF163" s="284"/>
      <c r="AG163" s="284"/>
      <c r="AH163" s="284"/>
      <c r="AI163" s="284"/>
      <c r="AJ163" s="284"/>
      <c r="AK163" s="284"/>
      <c r="AL163" s="284"/>
      <c r="AM163" s="284"/>
      <c r="AN163" s="284"/>
      <c r="AO163" s="284"/>
      <c r="AP163" s="284"/>
      <c r="AQ163" s="284"/>
      <c r="AR163" s="284"/>
      <c r="AS163" s="284"/>
      <c r="AT163" s="284"/>
      <c r="AU163" s="284"/>
      <c r="AV163" s="284"/>
      <c r="AW163" s="284"/>
      <c r="AX163" s="284"/>
      <c r="AY163" s="284"/>
      <c r="AZ163" s="284"/>
      <c r="BA163" s="284"/>
      <c r="BB163" s="284"/>
      <c r="BC163" s="284"/>
      <c r="BD163" s="284"/>
      <c r="BE163" s="284"/>
      <c r="BF163" s="284"/>
      <c r="BG163" s="284"/>
      <c r="BH163" s="284"/>
      <c r="BI163" s="284"/>
      <c r="BJ163" s="284"/>
      <c r="BK163" s="284"/>
      <c r="BL163" s="284"/>
      <c r="BM163" s="284"/>
      <c r="BN163" s="284"/>
      <c r="BO163" s="284"/>
      <c r="BP163" s="284"/>
      <c r="BQ163" s="284"/>
      <c r="BR163" s="284"/>
      <c r="BS163" s="284"/>
      <c r="BT163" s="284"/>
      <c r="BU163" s="284"/>
      <c r="BV163" s="284"/>
      <c r="BW163" s="284"/>
      <c r="BX163" s="284"/>
      <c r="BY163" s="284"/>
      <c r="BZ163" s="284"/>
      <c r="CA163" s="284"/>
      <c r="CB163" s="284"/>
      <c r="CC163" s="284"/>
      <c r="CD163" s="284"/>
      <c r="CE163" s="284"/>
      <c r="CF163" s="284"/>
    </row>
    <row r="164" spans="1:84" ht="11.4" customHeight="1" x14ac:dyDescent="0.25">
      <c r="A164" s="329" t="s">
        <v>305</v>
      </c>
      <c r="B164" s="330"/>
      <c r="C164" s="330"/>
      <c r="D164" s="330"/>
      <c r="E164" s="330"/>
      <c r="F164" s="284"/>
      <c r="G164" s="284"/>
      <c r="H164" s="284"/>
      <c r="I164" s="284"/>
      <c r="J164" s="284"/>
      <c r="K164" s="284"/>
      <c r="L164" s="284"/>
      <c r="M164" s="284"/>
      <c r="N164" s="284"/>
      <c r="O164" s="284"/>
      <c r="P164" s="284"/>
      <c r="Q164" s="284"/>
      <c r="R164" s="284"/>
      <c r="S164" s="284"/>
      <c r="T164" s="284"/>
      <c r="U164" s="284"/>
      <c r="V164" s="284"/>
      <c r="W164" s="284"/>
      <c r="X164" s="284"/>
      <c r="Y164" s="284"/>
      <c r="Z164" s="284"/>
      <c r="AA164" s="284"/>
      <c r="AB164" s="284"/>
      <c r="AC164" s="284"/>
      <c r="AD164" s="284"/>
      <c r="AE164" s="284"/>
      <c r="AF164" s="284"/>
      <c r="AG164" s="284"/>
      <c r="AH164" s="284"/>
      <c r="AI164" s="284"/>
      <c r="AJ164" s="284"/>
      <c r="AK164" s="284"/>
      <c r="AL164" s="284"/>
      <c r="AM164" s="284"/>
      <c r="AN164" s="284"/>
      <c r="AO164" s="284"/>
      <c r="AP164" s="284"/>
      <c r="AQ164" s="284"/>
      <c r="AR164" s="284"/>
      <c r="AS164" s="284"/>
      <c r="AT164" s="284"/>
      <c r="AU164" s="284"/>
      <c r="AV164" s="284"/>
      <c r="AW164" s="284"/>
      <c r="AX164" s="284"/>
      <c r="AY164" s="284"/>
      <c r="AZ164" s="284"/>
      <c r="BA164" s="284"/>
      <c r="BB164" s="284"/>
      <c r="BC164" s="284"/>
      <c r="BD164" s="284"/>
      <c r="BE164" s="284"/>
      <c r="BF164" s="284"/>
      <c r="BG164" s="284"/>
      <c r="BH164" s="284"/>
      <c r="BI164" s="284"/>
      <c r="BJ164" s="284"/>
      <c r="BK164" s="284"/>
      <c r="BL164" s="284"/>
      <c r="BM164" s="284"/>
      <c r="BN164" s="284"/>
      <c r="BO164" s="284"/>
      <c r="BP164" s="284"/>
      <c r="BQ164" s="284"/>
      <c r="BR164" s="284"/>
      <c r="BS164" s="284"/>
      <c r="BT164" s="284"/>
      <c r="BU164" s="284"/>
      <c r="BV164" s="284"/>
      <c r="BW164" s="284"/>
      <c r="BX164" s="284"/>
      <c r="BY164" s="284"/>
      <c r="BZ164" s="284"/>
      <c r="CA164" s="284"/>
      <c r="CB164" s="284"/>
      <c r="CC164" s="284"/>
      <c r="CD164" s="284"/>
      <c r="CE164" s="284"/>
      <c r="CF164" s="284"/>
    </row>
    <row r="165" spans="1:84" ht="11.4" customHeight="1" x14ac:dyDescent="0.25">
      <c r="A165" s="339" t="s">
        <v>306</v>
      </c>
      <c r="B165" s="339"/>
      <c r="C165" s="339"/>
      <c r="D165" s="339"/>
      <c r="E165" s="339"/>
      <c r="F165" s="284"/>
      <c r="G165" s="284"/>
      <c r="H165" s="284"/>
      <c r="I165" s="284"/>
      <c r="J165" s="284"/>
      <c r="K165" s="284"/>
      <c r="L165" s="284"/>
      <c r="M165" s="284"/>
      <c r="N165" s="284"/>
      <c r="O165" s="284"/>
      <c r="P165" s="284"/>
      <c r="Q165" s="284"/>
      <c r="R165" s="284"/>
      <c r="S165" s="284"/>
      <c r="T165" s="284"/>
      <c r="U165" s="284"/>
      <c r="V165" s="284"/>
      <c r="W165" s="284"/>
      <c r="X165" s="284"/>
      <c r="Y165" s="284"/>
      <c r="Z165" s="284"/>
      <c r="AA165" s="284"/>
      <c r="AB165" s="284"/>
      <c r="AC165" s="284"/>
      <c r="AD165" s="284"/>
      <c r="AE165" s="284"/>
      <c r="AF165" s="284"/>
      <c r="AG165" s="284"/>
      <c r="AH165" s="284"/>
      <c r="AI165" s="284"/>
      <c r="AJ165" s="284"/>
      <c r="AK165" s="284"/>
      <c r="AL165" s="284"/>
      <c r="AM165" s="284"/>
      <c r="AN165" s="284"/>
      <c r="AO165" s="284"/>
      <c r="AP165" s="284"/>
      <c r="AQ165" s="284"/>
      <c r="AR165" s="284"/>
      <c r="AS165" s="284"/>
      <c r="AT165" s="284"/>
      <c r="AU165" s="284"/>
      <c r="AV165" s="284"/>
      <c r="AW165" s="284"/>
      <c r="AX165" s="284"/>
      <c r="AY165" s="284"/>
      <c r="AZ165" s="284"/>
      <c r="BA165" s="284"/>
      <c r="BB165" s="284"/>
      <c r="BC165" s="284"/>
      <c r="BD165" s="284"/>
      <c r="BE165" s="284"/>
      <c r="BF165" s="284"/>
      <c r="BG165" s="284"/>
      <c r="BH165" s="284"/>
      <c r="BI165" s="284"/>
      <c r="BJ165" s="284"/>
      <c r="BK165" s="284"/>
      <c r="BL165" s="284"/>
      <c r="BM165" s="284"/>
      <c r="BN165" s="284"/>
      <c r="BO165" s="284"/>
      <c r="BP165" s="284"/>
      <c r="BQ165" s="284"/>
      <c r="BR165" s="284"/>
      <c r="BS165" s="284"/>
      <c r="BT165" s="284"/>
      <c r="BU165" s="284"/>
      <c r="BV165" s="284"/>
      <c r="BW165" s="284"/>
      <c r="BX165" s="284"/>
      <c r="BY165" s="284"/>
      <c r="BZ165" s="284"/>
      <c r="CA165" s="284"/>
      <c r="CB165" s="284"/>
      <c r="CC165" s="284"/>
      <c r="CD165" s="284"/>
      <c r="CE165" s="284"/>
      <c r="CF165" s="284"/>
    </row>
    <row r="166" spans="1:84" ht="11.4" customHeight="1" x14ac:dyDescent="0.25">
      <c r="A166" s="310" t="s">
        <v>307</v>
      </c>
      <c r="B166" s="309" t="s">
        <v>256</v>
      </c>
      <c r="C166" s="359">
        <v>1170538</v>
      </c>
      <c r="D166" s="312"/>
      <c r="E166" s="312"/>
      <c r="F166" s="284"/>
      <c r="G166" s="284"/>
      <c r="H166" s="284"/>
      <c r="I166" s="284"/>
      <c r="J166" s="284"/>
      <c r="K166" s="284"/>
      <c r="L166" s="284"/>
      <c r="M166" s="284"/>
      <c r="N166" s="284"/>
      <c r="O166" s="284"/>
      <c r="P166" s="284"/>
      <c r="Q166" s="284"/>
      <c r="R166" s="284"/>
      <c r="S166" s="284"/>
      <c r="T166" s="284"/>
      <c r="U166" s="284"/>
      <c r="V166" s="284"/>
      <c r="W166" s="284"/>
      <c r="X166" s="284"/>
      <c r="Y166" s="284"/>
      <c r="Z166" s="284"/>
      <c r="AA166" s="284"/>
      <c r="AB166" s="284"/>
      <c r="AC166" s="284"/>
      <c r="AD166" s="284"/>
      <c r="AE166" s="284"/>
      <c r="AF166" s="284"/>
      <c r="AG166" s="284"/>
      <c r="AH166" s="284"/>
      <c r="AI166" s="284"/>
      <c r="AJ166" s="284"/>
      <c r="AK166" s="284"/>
      <c r="AL166" s="284"/>
      <c r="AM166" s="284"/>
      <c r="AN166" s="284"/>
      <c r="AO166" s="284"/>
      <c r="AP166" s="284"/>
      <c r="AQ166" s="284"/>
      <c r="AR166" s="284"/>
      <c r="AS166" s="284"/>
      <c r="AT166" s="284"/>
      <c r="AU166" s="284"/>
      <c r="AV166" s="284"/>
      <c r="AW166" s="284"/>
      <c r="AX166" s="284"/>
      <c r="AY166" s="284"/>
      <c r="AZ166" s="284"/>
      <c r="BA166" s="284"/>
      <c r="BB166" s="284"/>
      <c r="BC166" s="284"/>
      <c r="BD166" s="284"/>
      <c r="BE166" s="284"/>
      <c r="BF166" s="284"/>
      <c r="BG166" s="284"/>
      <c r="BH166" s="284"/>
      <c r="BI166" s="284"/>
      <c r="BJ166" s="284"/>
      <c r="BK166" s="284"/>
      <c r="BL166" s="284"/>
      <c r="BM166" s="284"/>
      <c r="BN166" s="284"/>
      <c r="BO166" s="284"/>
      <c r="BP166" s="284"/>
      <c r="BQ166" s="284"/>
      <c r="BR166" s="284"/>
      <c r="BS166" s="284"/>
      <c r="BT166" s="284"/>
      <c r="BU166" s="284"/>
      <c r="BV166" s="284"/>
      <c r="BW166" s="284"/>
      <c r="BX166" s="284"/>
      <c r="BY166" s="284"/>
      <c r="BZ166" s="284"/>
      <c r="CA166" s="284"/>
      <c r="CB166" s="284"/>
      <c r="CC166" s="284"/>
      <c r="CD166" s="284"/>
      <c r="CE166" s="284"/>
      <c r="CF166" s="284"/>
    </row>
    <row r="167" spans="1:84" ht="11.4" customHeight="1" x14ac:dyDescent="0.25">
      <c r="A167" s="310" t="s">
        <v>308</v>
      </c>
      <c r="B167" s="309" t="s">
        <v>256</v>
      </c>
      <c r="C167" s="359">
        <v>7189</v>
      </c>
      <c r="D167" s="312"/>
      <c r="E167" s="312"/>
      <c r="F167" s="284"/>
      <c r="G167" s="284"/>
      <c r="H167" s="284"/>
      <c r="I167" s="284"/>
      <c r="J167" s="284"/>
      <c r="K167" s="284"/>
      <c r="L167" s="284"/>
      <c r="M167" s="284"/>
      <c r="N167" s="284"/>
      <c r="O167" s="284"/>
      <c r="P167" s="284"/>
      <c r="Q167" s="284"/>
      <c r="R167" s="284"/>
      <c r="S167" s="284"/>
      <c r="T167" s="284"/>
      <c r="U167" s="284"/>
      <c r="V167" s="284"/>
      <c r="W167" s="284"/>
      <c r="X167" s="284"/>
      <c r="Y167" s="284"/>
      <c r="Z167" s="284"/>
      <c r="AA167" s="284"/>
      <c r="AB167" s="284"/>
      <c r="AC167" s="284"/>
      <c r="AD167" s="284"/>
      <c r="AE167" s="284"/>
      <c r="AF167" s="284"/>
      <c r="AG167" s="284"/>
      <c r="AH167" s="284"/>
      <c r="AI167" s="284"/>
      <c r="AJ167" s="284"/>
      <c r="AK167" s="284"/>
      <c r="AL167" s="284"/>
      <c r="AM167" s="284"/>
      <c r="AN167" s="284"/>
      <c r="AO167" s="284"/>
      <c r="AP167" s="284"/>
      <c r="AQ167" s="284"/>
      <c r="AR167" s="284"/>
      <c r="AS167" s="284"/>
      <c r="AT167" s="284"/>
      <c r="AU167" s="284"/>
      <c r="AV167" s="284"/>
      <c r="AW167" s="284"/>
      <c r="AX167" s="284"/>
      <c r="AY167" s="284"/>
      <c r="AZ167" s="284"/>
      <c r="BA167" s="284"/>
      <c r="BB167" s="284"/>
      <c r="BC167" s="284"/>
      <c r="BD167" s="284"/>
      <c r="BE167" s="284"/>
      <c r="BF167" s="284"/>
      <c r="BG167" s="284"/>
      <c r="BH167" s="284"/>
      <c r="BI167" s="284"/>
      <c r="BJ167" s="284"/>
      <c r="BK167" s="284"/>
      <c r="BL167" s="284"/>
      <c r="BM167" s="284"/>
      <c r="BN167" s="284"/>
      <c r="BO167" s="284"/>
      <c r="BP167" s="284"/>
      <c r="BQ167" s="284"/>
      <c r="BR167" s="284"/>
      <c r="BS167" s="284"/>
      <c r="BT167" s="284"/>
      <c r="BU167" s="284"/>
      <c r="BV167" s="284"/>
      <c r="BW167" s="284"/>
      <c r="BX167" s="284"/>
      <c r="BY167" s="284"/>
      <c r="BZ167" s="284"/>
      <c r="CA167" s="284"/>
      <c r="CB167" s="284"/>
      <c r="CC167" s="284"/>
      <c r="CD167" s="284"/>
      <c r="CE167" s="284"/>
      <c r="CF167" s="284"/>
    </row>
    <row r="168" spans="1:84" ht="11.4" customHeight="1" x14ac:dyDescent="0.25">
      <c r="A168" s="314" t="s">
        <v>309</v>
      </c>
      <c r="B168" s="309" t="s">
        <v>256</v>
      </c>
      <c r="C168" s="359">
        <v>39720</v>
      </c>
      <c r="D168" s="312"/>
      <c r="E168" s="312"/>
      <c r="F168" s="284"/>
      <c r="G168" s="284"/>
      <c r="H168" s="284"/>
      <c r="I168" s="284"/>
      <c r="J168" s="284"/>
      <c r="K168" s="284"/>
      <c r="L168" s="284"/>
      <c r="M168" s="284"/>
      <c r="N168" s="284"/>
      <c r="O168" s="284"/>
      <c r="P168" s="284"/>
      <c r="Q168" s="284"/>
      <c r="R168" s="284"/>
      <c r="S168" s="284"/>
      <c r="T168" s="284"/>
      <c r="U168" s="284"/>
      <c r="V168" s="284"/>
      <c r="W168" s="284"/>
      <c r="X168" s="284"/>
      <c r="Y168" s="284"/>
      <c r="Z168" s="284"/>
      <c r="AA168" s="284"/>
      <c r="AB168" s="284"/>
      <c r="AC168" s="284"/>
      <c r="AD168" s="284"/>
      <c r="AE168" s="284"/>
      <c r="AF168" s="284"/>
      <c r="AG168" s="284"/>
      <c r="AH168" s="284"/>
      <c r="AI168" s="284"/>
      <c r="AJ168" s="284"/>
      <c r="AK168" s="284"/>
      <c r="AL168" s="284"/>
      <c r="AM168" s="284"/>
      <c r="AN168" s="284"/>
      <c r="AO168" s="284"/>
      <c r="AP168" s="284"/>
      <c r="AQ168" s="284"/>
      <c r="AR168" s="284"/>
      <c r="AS168" s="284"/>
      <c r="AT168" s="284"/>
      <c r="AU168" s="284"/>
      <c r="AV168" s="284"/>
      <c r="AW168" s="284"/>
      <c r="AX168" s="284"/>
      <c r="AY168" s="284"/>
      <c r="AZ168" s="284"/>
      <c r="BA168" s="284"/>
      <c r="BB168" s="284"/>
      <c r="BC168" s="284"/>
      <c r="BD168" s="284"/>
      <c r="BE168" s="284"/>
      <c r="BF168" s="284"/>
      <c r="BG168" s="284"/>
      <c r="BH168" s="284"/>
      <c r="BI168" s="284"/>
      <c r="BJ168" s="284"/>
      <c r="BK168" s="284"/>
      <c r="BL168" s="284"/>
      <c r="BM168" s="284"/>
      <c r="BN168" s="284"/>
      <c r="BO168" s="284"/>
      <c r="BP168" s="284"/>
      <c r="BQ168" s="284"/>
      <c r="BR168" s="284"/>
      <c r="BS168" s="284"/>
      <c r="BT168" s="284"/>
      <c r="BU168" s="284"/>
      <c r="BV168" s="284"/>
      <c r="BW168" s="284"/>
      <c r="BX168" s="284"/>
      <c r="BY168" s="284"/>
      <c r="BZ168" s="284"/>
      <c r="CA168" s="284"/>
      <c r="CB168" s="284"/>
      <c r="CC168" s="284"/>
      <c r="CD168" s="284"/>
      <c r="CE168" s="284"/>
      <c r="CF168" s="284"/>
    </row>
    <row r="169" spans="1:84" ht="11.4" customHeight="1" x14ac:dyDescent="0.25">
      <c r="A169" s="310" t="s">
        <v>310</v>
      </c>
      <c r="B169" s="309" t="s">
        <v>256</v>
      </c>
      <c r="C169" s="359">
        <v>1475571</v>
      </c>
      <c r="D169" s="312"/>
      <c r="E169" s="312"/>
      <c r="F169" s="284"/>
      <c r="G169" s="284"/>
      <c r="H169" s="284"/>
      <c r="I169" s="284"/>
      <c r="J169" s="284"/>
      <c r="K169" s="284"/>
      <c r="L169" s="284"/>
      <c r="M169" s="284"/>
      <c r="N169" s="284"/>
      <c r="O169" s="284"/>
      <c r="P169" s="284"/>
      <c r="Q169" s="284"/>
      <c r="R169" s="284"/>
      <c r="S169" s="284"/>
      <c r="T169" s="284"/>
      <c r="U169" s="284"/>
      <c r="V169" s="284"/>
      <c r="W169" s="284"/>
      <c r="X169" s="284"/>
      <c r="Y169" s="284"/>
      <c r="Z169" s="284"/>
      <c r="AA169" s="284"/>
      <c r="AB169" s="284"/>
      <c r="AC169" s="284"/>
      <c r="AD169" s="284"/>
      <c r="AE169" s="284"/>
      <c r="AF169" s="284"/>
      <c r="AG169" s="284"/>
      <c r="AH169" s="284"/>
      <c r="AI169" s="284"/>
      <c r="AJ169" s="284"/>
      <c r="AK169" s="284"/>
      <c r="AL169" s="284"/>
      <c r="AM169" s="284"/>
      <c r="AN169" s="284"/>
      <c r="AO169" s="284"/>
      <c r="AP169" s="284"/>
      <c r="AQ169" s="284"/>
      <c r="AR169" s="284"/>
      <c r="AS169" s="284"/>
      <c r="AT169" s="284"/>
      <c r="AU169" s="284"/>
      <c r="AV169" s="284"/>
      <c r="AW169" s="284"/>
      <c r="AX169" s="284"/>
      <c r="AY169" s="284"/>
      <c r="AZ169" s="284"/>
      <c r="BA169" s="284"/>
      <c r="BB169" s="284"/>
      <c r="BC169" s="284"/>
      <c r="BD169" s="284"/>
      <c r="BE169" s="284"/>
      <c r="BF169" s="284"/>
      <c r="BG169" s="284"/>
      <c r="BH169" s="284"/>
      <c r="BI169" s="284"/>
      <c r="BJ169" s="284"/>
      <c r="BK169" s="284"/>
      <c r="BL169" s="284"/>
      <c r="BM169" s="284"/>
      <c r="BN169" s="284"/>
      <c r="BO169" s="284"/>
      <c r="BP169" s="284"/>
      <c r="BQ169" s="284"/>
      <c r="BR169" s="284"/>
      <c r="BS169" s="284"/>
      <c r="BT169" s="284"/>
      <c r="BU169" s="284"/>
      <c r="BV169" s="284"/>
      <c r="BW169" s="284"/>
      <c r="BX169" s="284"/>
      <c r="BY169" s="284"/>
      <c r="BZ169" s="284"/>
      <c r="CA169" s="284"/>
      <c r="CB169" s="284"/>
      <c r="CC169" s="284"/>
      <c r="CD169" s="284"/>
      <c r="CE169" s="284"/>
      <c r="CF169" s="284"/>
    </row>
    <row r="170" spans="1:84" ht="11.4" customHeight="1" x14ac:dyDescent="0.25">
      <c r="A170" s="310" t="s">
        <v>311</v>
      </c>
      <c r="B170" s="309" t="s">
        <v>256</v>
      </c>
      <c r="C170" s="359"/>
      <c r="D170" s="312"/>
      <c r="E170" s="312"/>
      <c r="F170" s="284"/>
      <c r="G170" s="284"/>
      <c r="H170" s="284"/>
      <c r="I170" s="284"/>
      <c r="J170" s="284"/>
      <c r="K170" s="284"/>
      <c r="L170" s="284"/>
      <c r="M170" s="284"/>
      <c r="N170" s="284"/>
      <c r="O170" s="284"/>
      <c r="P170" s="284"/>
      <c r="Q170" s="284"/>
      <c r="R170" s="284"/>
      <c r="S170" s="284"/>
      <c r="T170" s="284"/>
      <c r="U170" s="284"/>
      <c r="V170" s="284"/>
      <c r="W170" s="284"/>
      <c r="X170" s="284"/>
      <c r="Y170" s="284"/>
      <c r="Z170" s="284"/>
      <c r="AA170" s="284"/>
      <c r="AB170" s="284"/>
      <c r="AC170" s="284"/>
      <c r="AD170" s="284"/>
      <c r="AE170" s="284"/>
      <c r="AF170" s="284"/>
      <c r="AG170" s="284"/>
      <c r="AH170" s="284"/>
      <c r="AI170" s="284"/>
      <c r="AJ170" s="284"/>
      <c r="AK170" s="284"/>
      <c r="AL170" s="284"/>
      <c r="AM170" s="284"/>
      <c r="AN170" s="284"/>
      <c r="AO170" s="284"/>
      <c r="AP170" s="284"/>
      <c r="AQ170" s="284"/>
      <c r="AR170" s="284"/>
      <c r="AS170" s="284"/>
      <c r="AT170" s="284"/>
      <c r="AU170" s="284"/>
      <c r="AV170" s="284"/>
      <c r="AW170" s="284"/>
      <c r="AX170" s="284"/>
      <c r="AY170" s="284"/>
      <c r="AZ170" s="284"/>
      <c r="BA170" s="284"/>
      <c r="BB170" s="284"/>
      <c r="BC170" s="284"/>
      <c r="BD170" s="284"/>
      <c r="BE170" s="284"/>
      <c r="BF170" s="284"/>
      <c r="BG170" s="284"/>
      <c r="BH170" s="284"/>
      <c r="BI170" s="284"/>
      <c r="BJ170" s="284"/>
      <c r="BK170" s="284"/>
      <c r="BL170" s="284"/>
      <c r="BM170" s="284"/>
      <c r="BN170" s="284"/>
      <c r="BO170" s="284"/>
      <c r="BP170" s="284"/>
      <c r="BQ170" s="284"/>
      <c r="BR170" s="284"/>
      <c r="BS170" s="284"/>
      <c r="BT170" s="284"/>
      <c r="BU170" s="284"/>
      <c r="BV170" s="284"/>
      <c r="BW170" s="284"/>
      <c r="BX170" s="284"/>
      <c r="BY170" s="284"/>
      <c r="BZ170" s="284"/>
      <c r="CA170" s="284"/>
      <c r="CB170" s="284"/>
      <c r="CC170" s="284"/>
      <c r="CD170" s="284"/>
      <c r="CE170" s="284"/>
      <c r="CF170" s="284"/>
    </row>
    <row r="171" spans="1:84" ht="11.4" customHeight="1" x14ac:dyDescent="0.25">
      <c r="A171" s="310" t="s">
        <v>312</v>
      </c>
      <c r="B171" s="309" t="s">
        <v>256</v>
      </c>
      <c r="C171" s="359">
        <v>636282</v>
      </c>
      <c r="D171" s="312"/>
      <c r="E171" s="312"/>
      <c r="F171" s="284"/>
      <c r="G171" s="284"/>
      <c r="H171" s="284"/>
      <c r="I171" s="284"/>
      <c r="J171" s="284"/>
      <c r="K171" s="284"/>
      <c r="L171" s="284"/>
      <c r="M171" s="284"/>
      <c r="N171" s="284"/>
      <c r="O171" s="284"/>
      <c r="P171" s="284"/>
      <c r="Q171" s="284"/>
      <c r="R171" s="284"/>
      <c r="S171" s="284"/>
      <c r="T171" s="284"/>
      <c r="U171" s="284"/>
      <c r="V171" s="284"/>
      <c r="W171" s="284"/>
      <c r="X171" s="284"/>
      <c r="Y171" s="284"/>
      <c r="Z171" s="284"/>
      <c r="AA171" s="284"/>
      <c r="AB171" s="284"/>
      <c r="AC171" s="284"/>
      <c r="AD171" s="284"/>
      <c r="AE171" s="284"/>
      <c r="AF171" s="284"/>
      <c r="AG171" s="284"/>
      <c r="AH171" s="284"/>
      <c r="AI171" s="284"/>
      <c r="AJ171" s="284"/>
      <c r="AK171" s="284"/>
      <c r="AL171" s="284"/>
      <c r="AM171" s="284"/>
      <c r="AN171" s="284"/>
      <c r="AO171" s="284"/>
      <c r="AP171" s="284"/>
      <c r="AQ171" s="284"/>
      <c r="AR171" s="284"/>
      <c r="AS171" s="284"/>
      <c r="AT171" s="284"/>
      <c r="AU171" s="284"/>
      <c r="AV171" s="284"/>
      <c r="AW171" s="284"/>
      <c r="AX171" s="284"/>
      <c r="AY171" s="284"/>
      <c r="AZ171" s="284"/>
      <c r="BA171" s="284"/>
      <c r="BB171" s="284"/>
      <c r="BC171" s="284"/>
      <c r="BD171" s="284"/>
      <c r="BE171" s="284"/>
      <c r="BF171" s="284"/>
      <c r="BG171" s="284"/>
      <c r="BH171" s="284"/>
      <c r="BI171" s="284"/>
      <c r="BJ171" s="284"/>
      <c r="BK171" s="284"/>
      <c r="BL171" s="284"/>
      <c r="BM171" s="284"/>
      <c r="BN171" s="284"/>
      <c r="BO171" s="284"/>
      <c r="BP171" s="284"/>
      <c r="BQ171" s="284"/>
      <c r="BR171" s="284"/>
      <c r="BS171" s="284"/>
      <c r="BT171" s="284"/>
      <c r="BU171" s="284"/>
      <c r="BV171" s="284"/>
      <c r="BW171" s="284"/>
      <c r="BX171" s="284"/>
      <c r="BY171" s="284"/>
      <c r="BZ171" s="284"/>
      <c r="CA171" s="284"/>
      <c r="CB171" s="284"/>
      <c r="CC171" s="284"/>
      <c r="CD171" s="284"/>
      <c r="CE171" s="284"/>
      <c r="CF171" s="284"/>
    </row>
    <row r="172" spans="1:84" ht="11.4" customHeight="1" x14ac:dyDescent="0.25">
      <c r="A172" s="310" t="s">
        <v>313</v>
      </c>
      <c r="B172" s="309" t="s">
        <v>256</v>
      </c>
      <c r="C172" s="359">
        <v>53328</v>
      </c>
      <c r="D172" s="312"/>
      <c r="E172" s="312"/>
      <c r="F172" s="284"/>
      <c r="G172" s="284"/>
      <c r="H172" s="284"/>
      <c r="I172" s="284"/>
      <c r="J172" s="284"/>
      <c r="K172" s="284"/>
      <c r="L172" s="284"/>
      <c r="M172" s="284"/>
      <c r="N172" s="284"/>
      <c r="O172" s="284"/>
      <c r="P172" s="284"/>
      <c r="Q172" s="284"/>
      <c r="R172" s="284"/>
      <c r="S172" s="284"/>
      <c r="T172" s="284"/>
      <c r="U172" s="284"/>
      <c r="V172" s="284"/>
      <c r="W172" s="284"/>
      <c r="X172" s="284"/>
      <c r="Y172" s="284"/>
      <c r="Z172" s="284"/>
      <c r="AA172" s="284"/>
      <c r="AB172" s="284"/>
      <c r="AC172" s="284"/>
      <c r="AD172" s="284"/>
      <c r="AE172" s="284"/>
      <c r="AF172" s="284"/>
      <c r="AG172" s="284"/>
      <c r="AH172" s="284"/>
      <c r="AI172" s="284"/>
      <c r="AJ172" s="284"/>
      <c r="AK172" s="284"/>
      <c r="AL172" s="284"/>
      <c r="AM172" s="284"/>
      <c r="AN172" s="284"/>
      <c r="AO172" s="284"/>
      <c r="AP172" s="284"/>
      <c r="AQ172" s="284"/>
      <c r="AR172" s="284"/>
      <c r="AS172" s="284"/>
      <c r="AT172" s="284"/>
      <c r="AU172" s="284"/>
      <c r="AV172" s="284"/>
      <c r="AW172" s="284"/>
      <c r="AX172" s="284"/>
      <c r="AY172" s="284"/>
      <c r="AZ172" s="284"/>
      <c r="BA172" s="284"/>
      <c r="BB172" s="284"/>
      <c r="BC172" s="284"/>
      <c r="BD172" s="284"/>
      <c r="BE172" s="284"/>
      <c r="BF172" s="284"/>
      <c r="BG172" s="284"/>
      <c r="BH172" s="284"/>
      <c r="BI172" s="284"/>
      <c r="BJ172" s="284"/>
      <c r="BK172" s="284"/>
      <c r="BL172" s="284"/>
      <c r="BM172" s="284"/>
      <c r="BN172" s="284"/>
      <c r="BO172" s="284"/>
      <c r="BP172" s="284"/>
      <c r="BQ172" s="284"/>
      <c r="BR172" s="284"/>
      <c r="BS172" s="284"/>
      <c r="BT172" s="284"/>
      <c r="BU172" s="284"/>
      <c r="BV172" s="284"/>
      <c r="BW172" s="284"/>
      <c r="BX172" s="284"/>
      <c r="BY172" s="284"/>
      <c r="BZ172" s="284"/>
      <c r="CA172" s="284"/>
      <c r="CB172" s="284"/>
      <c r="CC172" s="284"/>
      <c r="CD172" s="284"/>
      <c r="CE172" s="284"/>
      <c r="CF172" s="284"/>
    </row>
    <row r="173" spans="1:84" ht="11.4" customHeight="1" x14ac:dyDescent="0.25">
      <c r="A173" s="310" t="s">
        <v>313</v>
      </c>
      <c r="B173" s="309" t="s">
        <v>256</v>
      </c>
      <c r="C173" s="359">
        <v>0</v>
      </c>
      <c r="D173" s="312"/>
      <c r="E173" s="312"/>
      <c r="F173" s="284"/>
      <c r="G173" s="284"/>
      <c r="H173" s="284"/>
      <c r="I173" s="284"/>
      <c r="J173" s="284"/>
      <c r="K173" s="284"/>
      <c r="L173" s="284"/>
      <c r="M173" s="284"/>
      <c r="N173" s="284"/>
      <c r="O173" s="284"/>
      <c r="P173" s="284"/>
      <c r="Q173" s="284"/>
      <c r="R173" s="284"/>
      <c r="S173" s="284"/>
      <c r="T173" s="284"/>
      <c r="U173" s="284"/>
      <c r="V173" s="284"/>
      <c r="W173" s="284"/>
      <c r="X173" s="284"/>
      <c r="Y173" s="284"/>
      <c r="Z173" s="284"/>
      <c r="AA173" s="284"/>
      <c r="AB173" s="284"/>
      <c r="AC173" s="284"/>
      <c r="AD173" s="284"/>
      <c r="AE173" s="284"/>
      <c r="AF173" s="284"/>
      <c r="AG173" s="284"/>
      <c r="AH173" s="284"/>
      <c r="AI173" s="284"/>
      <c r="AJ173" s="284"/>
      <c r="AK173" s="284"/>
      <c r="AL173" s="284"/>
      <c r="AM173" s="284"/>
      <c r="AN173" s="284"/>
      <c r="AO173" s="284"/>
      <c r="AP173" s="284"/>
      <c r="AQ173" s="284"/>
      <c r="AR173" s="284"/>
      <c r="AS173" s="284"/>
      <c r="AT173" s="284"/>
      <c r="AU173" s="284"/>
      <c r="AV173" s="284"/>
      <c r="AW173" s="284"/>
      <c r="AX173" s="284"/>
      <c r="AY173" s="284"/>
      <c r="AZ173" s="284"/>
      <c r="BA173" s="284"/>
      <c r="BB173" s="284"/>
      <c r="BC173" s="284"/>
      <c r="BD173" s="284"/>
      <c r="BE173" s="284"/>
      <c r="BF173" s="284"/>
      <c r="BG173" s="284"/>
      <c r="BH173" s="284"/>
      <c r="BI173" s="284"/>
      <c r="BJ173" s="284"/>
      <c r="BK173" s="284"/>
      <c r="BL173" s="284"/>
      <c r="BM173" s="284"/>
      <c r="BN173" s="284"/>
      <c r="BO173" s="284"/>
      <c r="BP173" s="284"/>
      <c r="BQ173" s="284"/>
      <c r="BR173" s="284"/>
      <c r="BS173" s="284"/>
      <c r="BT173" s="284"/>
      <c r="BU173" s="284"/>
      <c r="BV173" s="284"/>
      <c r="BW173" s="284"/>
      <c r="BX173" s="284"/>
      <c r="BY173" s="284"/>
      <c r="BZ173" s="284"/>
      <c r="CA173" s="284"/>
      <c r="CB173" s="284"/>
      <c r="CC173" s="284"/>
      <c r="CD173" s="284"/>
      <c r="CE173" s="284"/>
      <c r="CF173" s="284"/>
    </row>
    <row r="174" spans="1:84" ht="11.4" customHeight="1" x14ac:dyDescent="0.25">
      <c r="A174" s="310" t="s">
        <v>203</v>
      </c>
      <c r="B174" s="312"/>
      <c r="C174" s="322"/>
      <c r="D174" s="312">
        <v>3382628</v>
      </c>
      <c r="E174" s="312"/>
      <c r="F174" s="284"/>
      <c r="G174" s="284"/>
      <c r="H174" s="284"/>
      <c r="I174" s="284"/>
      <c r="J174" s="284"/>
      <c r="K174" s="284"/>
      <c r="L174" s="284"/>
      <c r="M174" s="284"/>
      <c r="N174" s="284"/>
      <c r="O174" s="284"/>
      <c r="P174" s="284"/>
      <c r="Q174" s="284"/>
      <c r="R174" s="284"/>
      <c r="S174" s="284"/>
      <c r="T174" s="284"/>
      <c r="U174" s="284"/>
      <c r="V174" s="284"/>
      <c r="W174" s="284"/>
      <c r="X174" s="284"/>
      <c r="Y174" s="284"/>
      <c r="Z174" s="284"/>
      <c r="AA174" s="284"/>
      <c r="AB174" s="284"/>
      <c r="AC174" s="284"/>
      <c r="AD174" s="284"/>
      <c r="AE174" s="284"/>
      <c r="AF174" s="284"/>
      <c r="AG174" s="284"/>
      <c r="AH174" s="284"/>
      <c r="AI174" s="284"/>
      <c r="AJ174" s="284"/>
      <c r="AK174" s="284"/>
      <c r="AL174" s="284"/>
      <c r="AM174" s="284"/>
      <c r="AN174" s="284"/>
      <c r="AO174" s="284"/>
      <c r="AP174" s="284"/>
      <c r="AQ174" s="284"/>
      <c r="AR174" s="284"/>
      <c r="AS174" s="284"/>
      <c r="AT174" s="284"/>
      <c r="AU174" s="284"/>
      <c r="AV174" s="284"/>
      <c r="AW174" s="284"/>
      <c r="AX174" s="284"/>
      <c r="AY174" s="284"/>
      <c r="AZ174" s="284"/>
      <c r="BA174" s="284"/>
      <c r="BB174" s="284"/>
      <c r="BC174" s="284"/>
      <c r="BD174" s="284"/>
      <c r="BE174" s="284"/>
      <c r="BF174" s="284"/>
      <c r="BG174" s="284"/>
      <c r="BH174" s="284"/>
      <c r="BI174" s="284"/>
      <c r="BJ174" s="284"/>
      <c r="BK174" s="284"/>
      <c r="BL174" s="284"/>
      <c r="BM174" s="284"/>
      <c r="BN174" s="284"/>
      <c r="BO174" s="284"/>
      <c r="BP174" s="284"/>
      <c r="BQ174" s="284"/>
      <c r="BR174" s="284"/>
      <c r="BS174" s="284"/>
      <c r="BT174" s="284"/>
      <c r="BU174" s="284"/>
      <c r="BV174" s="284"/>
      <c r="BW174" s="284"/>
      <c r="BX174" s="284"/>
      <c r="BY174" s="284"/>
      <c r="BZ174" s="284"/>
      <c r="CA174" s="284"/>
      <c r="CB174" s="284"/>
      <c r="CC174" s="284"/>
      <c r="CD174" s="284"/>
      <c r="CE174" s="284"/>
      <c r="CF174" s="284"/>
    </row>
    <row r="175" spans="1:84" ht="11.4" customHeight="1" x14ac:dyDescent="0.25">
      <c r="A175" s="339" t="s">
        <v>314</v>
      </c>
      <c r="B175" s="339"/>
      <c r="C175" s="339"/>
      <c r="D175" s="339"/>
      <c r="E175" s="339"/>
      <c r="F175" s="284"/>
      <c r="G175" s="284"/>
      <c r="H175" s="284"/>
      <c r="I175" s="284"/>
      <c r="J175" s="284"/>
      <c r="K175" s="284"/>
      <c r="L175" s="284"/>
      <c r="M175" s="284"/>
      <c r="N175" s="284"/>
      <c r="O175" s="284"/>
      <c r="P175" s="284"/>
      <c r="Q175" s="284"/>
      <c r="R175" s="284"/>
      <c r="S175" s="284"/>
      <c r="T175" s="284"/>
      <c r="U175" s="284"/>
      <c r="V175" s="284"/>
      <c r="W175" s="284"/>
      <c r="X175" s="284"/>
      <c r="Y175" s="284"/>
      <c r="Z175" s="284"/>
      <c r="AA175" s="284"/>
      <c r="AB175" s="284"/>
      <c r="AC175" s="284"/>
      <c r="AD175" s="284"/>
      <c r="AE175" s="284"/>
      <c r="AF175" s="284"/>
      <c r="AG175" s="284"/>
      <c r="AH175" s="284"/>
      <c r="AI175" s="284"/>
      <c r="AJ175" s="284"/>
      <c r="AK175" s="284"/>
      <c r="AL175" s="284"/>
      <c r="AM175" s="284"/>
      <c r="AN175" s="284"/>
      <c r="AO175" s="284"/>
      <c r="AP175" s="284"/>
      <c r="AQ175" s="284"/>
      <c r="AR175" s="284"/>
      <c r="AS175" s="284"/>
      <c r="AT175" s="284"/>
      <c r="AU175" s="284"/>
      <c r="AV175" s="284"/>
      <c r="AW175" s="284"/>
      <c r="AX175" s="284"/>
      <c r="AY175" s="284"/>
      <c r="AZ175" s="284"/>
      <c r="BA175" s="284"/>
      <c r="BB175" s="284"/>
      <c r="BC175" s="284"/>
      <c r="BD175" s="284"/>
      <c r="BE175" s="284"/>
      <c r="BF175" s="284"/>
      <c r="BG175" s="284"/>
      <c r="BH175" s="284"/>
      <c r="BI175" s="284"/>
      <c r="BJ175" s="284"/>
      <c r="BK175" s="284"/>
      <c r="BL175" s="284"/>
      <c r="BM175" s="284"/>
      <c r="BN175" s="284"/>
      <c r="BO175" s="284"/>
      <c r="BP175" s="284"/>
      <c r="BQ175" s="284"/>
      <c r="BR175" s="284"/>
      <c r="BS175" s="284"/>
      <c r="BT175" s="284"/>
      <c r="BU175" s="284"/>
      <c r="BV175" s="284"/>
      <c r="BW175" s="284"/>
      <c r="BX175" s="284"/>
      <c r="BY175" s="284"/>
      <c r="BZ175" s="284"/>
      <c r="CA175" s="284"/>
      <c r="CB175" s="284"/>
      <c r="CC175" s="284"/>
      <c r="CD175" s="284"/>
      <c r="CE175" s="284"/>
      <c r="CF175" s="284"/>
    </row>
    <row r="176" spans="1:84" ht="11.4" customHeight="1" x14ac:dyDescent="0.3">
      <c r="A176" s="310" t="s">
        <v>315</v>
      </c>
      <c r="B176" s="309" t="s">
        <v>256</v>
      </c>
      <c r="C176" s="360">
        <v>208506</v>
      </c>
      <c r="D176" s="312"/>
      <c r="E176" s="312"/>
      <c r="F176" s="284"/>
      <c r="G176" s="284"/>
      <c r="H176" s="284"/>
      <c r="I176" s="284"/>
      <c r="J176" s="284"/>
      <c r="K176" s="284"/>
      <c r="L176" s="284"/>
      <c r="M176" s="284"/>
      <c r="N176" s="284"/>
      <c r="O176" s="284"/>
      <c r="P176" s="284"/>
      <c r="Q176" s="284"/>
      <c r="R176" s="284"/>
      <c r="S176" s="284"/>
      <c r="T176" s="284"/>
      <c r="U176" s="284"/>
      <c r="V176" s="284"/>
      <c r="W176" s="284"/>
      <c r="X176" s="284"/>
      <c r="Y176" s="284"/>
      <c r="Z176" s="284"/>
      <c r="AA176" s="284"/>
      <c r="AB176" s="284"/>
      <c r="AC176" s="284"/>
      <c r="AD176" s="284"/>
      <c r="AE176" s="284"/>
      <c r="AF176" s="284"/>
      <c r="AG176" s="284"/>
      <c r="AH176" s="284"/>
      <c r="AI176" s="284"/>
      <c r="AJ176" s="284"/>
      <c r="AK176" s="284"/>
      <c r="AL176" s="284"/>
      <c r="AM176" s="284"/>
      <c r="AN176" s="284"/>
      <c r="AO176" s="284"/>
      <c r="AP176" s="284"/>
      <c r="AQ176" s="284"/>
      <c r="AR176" s="284"/>
      <c r="AS176" s="284"/>
      <c r="AT176" s="284"/>
      <c r="AU176" s="284"/>
      <c r="AV176" s="284"/>
      <c r="AW176" s="284"/>
      <c r="AX176" s="284"/>
      <c r="AY176" s="284"/>
      <c r="AZ176" s="284"/>
      <c r="BA176" s="284"/>
      <c r="BB176" s="284"/>
      <c r="BC176" s="284"/>
      <c r="BD176" s="284"/>
      <c r="BE176" s="284"/>
      <c r="BF176" s="284"/>
      <c r="BG176" s="284"/>
      <c r="BH176" s="284"/>
      <c r="BI176" s="284"/>
      <c r="BJ176" s="284"/>
      <c r="BK176" s="284"/>
      <c r="BL176" s="284"/>
      <c r="BM176" s="284"/>
      <c r="BN176" s="284"/>
      <c r="BO176" s="284"/>
      <c r="BP176" s="284"/>
      <c r="BQ176" s="284"/>
      <c r="BR176" s="284"/>
      <c r="BS176" s="284"/>
      <c r="BT176" s="284"/>
      <c r="BU176" s="284"/>
      <c r="BV176" s="284"/>
      <c r="BW176" s="284"/>
      <c r="BX176" s="284"/>
      <c r="BY176" s="284"/>
      <c r="BZ176" s="284"/>
      <c r="CA176" s="284"/>
      <c r="CB176" s="284"/>
      <c r="CC176" s="284"/>
      <c r="CD176" s="284"/>
      <c r="CE176" s="284"/>
      <c r="CF176" s="284"/>
    </row>
    <row r="177" spans="1:84" ht="11.4" customHeight="1" x14ac:dyDescent="0.3">
      <c r="A177" s="310" t="s">
        <v>316</v>
      </c>
      <c r="B177" s="309" t="s">
        <v>256</v>
      </c>
      <c r="C177" s="361">
        <v>204028</v>
      </c>
      <c r="D177" s="312"/>
      <c r="E177" s="312"/>
      <c r="F177" s="284"/>
      <c r="G177" s="284"/>
      <c r="H177" s="284"/>
      <c r="I177" s="284"/>
      <c r="J177" s="284"/>
      <c r="K177" s="284"/>
      <c r="L177" s="284"/>
      <c r="M177" s="284"/>
      <c r="N177" s="284"/>
      <c r="O177" s="284"/>
      <c r="P177" s="284"/>
      <c r="Q177" s="284"/>
      <c r="R177" s="284"/>
      <c r="S177" s="284"/>
      <c r="T177" s="284"/>
      <c r="U177" s="284"/>
      <c r="V177" s="284"/>
      <c r="W177" s="284"/>
      <c r="X177" s="284"/>
      <c r="Y177" s="284"/>
      <c r="Z177" s="284"/>
      <c r="AA177" s="284"/>
      <c r="AB177" s="284"/>
      <c r="AC177" s="284"/>
      <c r="AD177" s="284"/>
      <c r="AE177" s="284"/>
      <c r="AF177" s="284"/>
      <c r="AG177" s="284"/>
      <c r="AH177" s="284"/>
      <c r="AI177" s="284"/>
      <c r="AJ177" s="284"/>
      <c r="AK177" s="284"/>
      <c r="AL177" s="284"/>
      <c r="AM177" s="284"/>
      <c r="AN177" s="284"/>
      <c r="AO177" s="284"/>
      <c r="AP177" s="284"/>
      <c r="AQ177" s="284"/>
      <c r="AR177" s="284"/>
      <c r="AS177" s="284"/>
      <c r="AT177" s="284"/>
      <c r="AU177" s="284"/>
      <c r="AV177" s="284"/>
      <c r="AW177" s="284"/>
      <c r="AX177" s="284"/>
      <c r="AY177" s="284"/>
      <c r="AZ177" s="284"/>
      <c r="BA177" s="284"/>
      <c r="BB177" s="284"/>
      <c r="BC177" s="284"/>
      <c r="BD177" s="284"/>
      <c r="BE177" s="284"/>
      <c r="BF177" s="284"/>
      <c r="BG177" s="284"/>
      <c r="BH177" s="284"/>
      <c r="BI177" s="284"/>
      <c r="BJ177" s="284"/>
      <c r="BK177" s="284"/>
      <c r="BL177" s="284"/>
      <c r="BM177" s="284"/>
      <c r="BN177" s="284"/>
      <c r="BO177" s="284"/>
      <c r="BP177" s="284"/>
      <c r="BQ177" s="284"/>
      <c r="BR177" s="284"/>
      <c r="BS177" s="284"/>
      <c r="BT177" s="284"/>
      <c r="BU177" s="284"/>
      <c r="BV177" s="284"/>
      <c r="BW177" s="284"/>
      <c r="BX177" s="284"/>
      <c r="BY177" s="284"/>
      <c r="BZ177" s="284"/>
      <c r="CA177" s="284"/>
      <c r="CB177" s="284"/>
      <c r="CC177" s="284"/>
      <c r="CD177" s="284"/>
      <c r="CE177" s="284"/>
      <c r="CF177" s="284"/>
    </row>
    <row r="178" spans="1:84" ht="11.4" customHeight="1" x14ac:dyDescent="0.25">
      <c r="A178" s="310" t="s">
        <v>203</v>
      </c>
      <c r="B178" s="312"/>
      <c r="C178" s="322"/>
      <c r="D178" s="312">
        <v>412534</v>
      </c>
      <c r="E178" s="312"/>
      <c r="F178" s="284"/>
      <c r="G178" s="284"/>
      <c r="H178" s="284"/>
      <c r="I178" s="284"/>
      <c r="J178" s="284"/>
      <c r="K178" s="284"/>
      <c r="L178" s="284"/>
      <c r="M178" s="284"/>
      <c r="N178" s="284"/>
      <c r="O178" s="284"/>
      <c r="P178" s="284"/>
      <c r="Q178" s="284"/>
      <c r="R178" s="284"/>
      <c r="S178" s="284"/>
      <c r="T178" s="284"/>
      <c r="U178" s="284"/>
      <c r="V178" s="284"/>
      <c r="W178" s="284"/>
      <c r="X178" s="284"/>
      <c r="Y178" s="284"/>
      <c r="Z178" s="284"/>
      <c r="AA178" s="284"/>
      <c r="AB178" s="284"/>
      <c r="AC178" s="284"/>
      <c r="AD178" s="284"/>
      <c r="AE178" s="284"/>
      <c r="AF178" s="284"/>
      <c r="AG178" s="284"/>
      <c r="AH178" s="284"/>
      <c r="AI178" s="284"/>
      <c r="AJ178" s="284"/>
      <c r="AK178" s="284"/>
      <c r="AL178" s="284"/>
      <c r="AM178" s="284"/>
      <c r="AN178" s="284"/>
      <c r="AO178" s="284"/>
      <c r="AP178" s="284"/>
      <c r="AQ178" s="284"/>
      <c r="AR178" s="284"/>
      <c r="AS178" s="284"/>
      <c r="AT178" s="284"/>
      <c r="AU178" s="284"/>
      <c r="AV178" s="284"/>
      <c r="AW178" s="284"/>
      <c r="AX178" s="284"/>
      <c r="AY178" s="284"/>
      <c r="AZ178" s="284"/>
      <c r="BA178" s="284"/>
      <c r="BB178" s="284"/>
      <c r="BC178" s="284"/>
      <c r="BD178" s="284"/>
      <c r="BE178" s="284"/>
      <c r="BF178" s="284"/>
      <c r="BG178" s="284"/>
      <c r="BH178" s="284"/>
      <c r="BI178" s="284"/>
      <c r="BJ178" s="284"/>
      <c r="BK178" s="284"/>
      <c r="BL178" s="284"/>
      <c r="BM178" s="284"/>
      <c r="BN178" s="284"/>
      <c r="BO178" s="284"/>
      <c r="BP178" s="284"/>
      <c r="BQ178" s="284"/>
      <c r="BR178" s="284"/>
      <c r="BS178" s="284"/>
      <c r="BT178" s="284"/>
      <c r="BU178" s="284"/>
      <c r="BV178" s="284"/>
      <c r="BW178" s="284"/>
      <c r="BX178" s="284"/>
      <c r="BY178" s="284"/>
      <c r="BZ178" s="284"/>
      <c r="CA178" s="284"/>
      <c r="CB178" s="284"/>
      <c r="CC178" s="284"/>
      <c r="CD178" s="284"/>
      <c r="CE178" s="284"/>
      <c r="CF178" s="284"/>
    </row>
    <row r="179" spans="1:84" ht="11.4" customHeight="1" x14ac:dyDescent="0.25">
      <c r="A179" s="339" t="s">
        <v>317</v>
      </c>
      <c r="B179" s="339"/>
      <c r="C179" s="339"/>
      <c r="D179" s="339"/>
      <c r="E179" s="339"/>
      <c r="F179" s="284"/>
      <c r="G179" s="284"/>
      <c r="H179" s="284"/>
      <c r="I179" s="284"/>
      <c r="J179" s="284"/>
      <c r="K179" s="284"/>
      <c r="L179" s="284"/>
      <c r="M179" s="284"/>
      <c r="N179" s="284"/>
      <c r="O179" s="284"/>
      <c r="P179" s="284"/>
      <c r="Q179" s="284"/>
      <c r="R179" s="284"/>
      <c r="S179" s="284"/>
      <c r="T179" s="284"/>
      <c r="U179" s="284"/>
      <c r="V179" s="284"/>
      <c r="W179" s="284"/>
      <c r="X179" s="284"/>
      <c r="Y179" s="284"/>
      <c r="Z179" s="284"/>
      <c r="AA179" s="284"/>
      <c r="AB179" s="284"/>
      <c r="AC179" s="284"/>
      <c r="AD179" s="284"/>
      <c r="AE179" s="284"/>
      <c r="AF179" s="284"/>
      <c r="AG179" s="284"/>
      <c r="AH179" s="284"/>
      <c r="AI179" s="284"/>
      <c r="AJ179" s="284"/>
      <c r="AK179" s="284"/>
      <c r="AL179" s="284"/>
      <c r="AM179" s="284"/>
      <c r="AN179" s="284"/>
      <c r="AO179" s="284"/>
      <c r="AP179" s="284"/>
      <c r="AQ179" s="284"/>
      <c r="AR179" s="284"/>
      <c r="AS179" s="284"/>
      <c r="AT179" s="284"/>
      <c r="AU179" s="284"/>
      <c r="AV179" s="284"/>
      <c r="AW179" s="284"/>
      <c r="AX179" s="284"/>
      <c r="AY179" s="284"/>
      <c r="AZ179" s="284"/>
      <c r="BA179" s="284"/>
      <c r="BB179" s="284"/>
      <c r="BC179" s="284"/>
      <c r="BD179" s="284"/>
      <c r="BE179" s="284"/>
      <c r="BF179" s="284"/>
      <c r="BG179" s="284"/>
      <c r="BH179" s="284"/>
      <c r="BI179" s="284"/>
      <c r="BJ179" s="284"/>
      <c r="BK179" s="284"/>
      <c r="BL179" s="284"/>
      <c r="BM179" s="284"/>
      <c r="BN179" s="284"/>
      <c r="BO179" s="284"/>
      <c r="BP179" s="284"/>
      <c r="BQ179" s="284"/>
      <c r="BR179" s="284"/>
      <c r="BS179" s="284"/>
      <c r="BT179" s="284"/>
      <c r="BU179" s="284"/>
      <c r="BV179" s="284"/>
      <c r="BW179" s="284"/>
      <c r="BX179" s="284"/>
      <c r="BY179" s="284"/>
      <c r="BZ179" s="284"/>
      <c r="CA179" s="284"/>
      <c r="CB179" s="284"/>
      <c r="CC179" s="284"/>
      <c r="CD179" s="284"/>
      <c r="CE179" s="284"/>
      <c r="CF179" s="284"/>
    </row>
    <row r="180" spans="1:84" ht="11.4" customHeight="1" x14ac:dyDescent="0.25">
      <c r="A180" s="310" t="s">
        <v>318</v>
      </c>
      <c r="B180" s="309" t="s">
        <v>256</v>
      </c>
      <c r="C180" s="359">
        <v>243851</v>
      </c>
      <c r="D180" s="312"/>
      <c r="E180" s="312"/>
      <c r="F180" s="284"/>
      <c r="G180" s="284"/>
      <c r="H180" s="284"/>
      <c r="I180" s="284"/>
      <c r="J180" s="284"/>
      <c r="K180" s="284"/>
      <c r="L180" s="284"/>
      <c r="M180" s="284"/>
      <c r="N180" s="284"/>
      <c r="O180" s="284"/>
      <c r="P180" s="284"/>
      <c r="Q180" s="284"/>
      <c r="R180" s="284"/>
      <c r="S180" s="284"/>
      <c r="T180" s="284"/>
      <c r="U180" s="284"/>
      <c r="V180" s="284"/>
      <c r="W180" s="284"/>
      <c r="X180" s="284"/>
      <c r="Y180" s="284"/>
      <c r="Z180" s="284"/>
      <c r="AA180" s="284"/>
      <c r="AB180" s="284"/>
      <c r="AC180" s="284"/>
      <c r="AD180" s="284"/>
      <c r="AE180" s="284"/>
      <c r="AF180" s="284"/>
      <c r="AG180" s="284"/>
      <c r="AH180" s="284"/>
      <c r="AI180" s="284"/>
      <c r="AJ180" s="284"/>
      <c r="AK180" s="284"/>
      <c r="AL180" s="284"/>
      <c r="AM180" s="284"/>
      <c r="AN180" s="284"/>
      <c r="AO180" s="284"/>
      <c r="AP180" s="284"/>
      <c r="AQ180" s="284"/>
      <c r="AR180" s="284"/>
      <c r="AS180" s="284"/>
      <c r="AT180" s="284"/>
      <c r="AU180" s="284"/>
      <c r="AV180" s="284"/>
      <c r="AW180" s="284"/>
      <c r="AX180" s="284"/>
      <c r="AY180" s="284"/>
      <c r="AZ180" s="284"/>
      <c r="BA180" s="284"/>
      <c r="BB180" s="284"/>
      <c r="BC180" s="284"/>
      <c r="BD180" s="284"/>
      <c r="BE180" s="284"/>
      <c r="BF180" s="284"/>
      <c r="BG180" s="284"/>
      <c r="BH180" s="284"/>
      <c r="BI180" s="284"/>
      <c r="BJ180" s="284"/>
      <c r="BK180" s="284"/>
      <c r="BL180" s="284"/>
      <c r="BM180" s="284"/>
      <c r="BN180" s="284"/>
      <c r="BO180" s="284"/>
      <c r="BP180" s="284"/>
      <c r="BQ180" s="284"/>
      <c r="BR180" s="284"/>
      <c r="BS180" s="284"/>
      <c r="BT180" s="284"/>
      <c r="BU180" s="284"/>
      <c r="BV180" s="284"/>
      <c r="BW180" s="284"/>
      <c r="BX180" s="284"/>
      <c r="BY180" s="284"/>
      <c r="BZ180" s="284"/>
      <c r="CA180" s="284"/>
      <c r="CB180" s="284"/>
      <c r="CC180" s="284"/>
      <c r="CD180" s="284"/>
      <c r="CE180" s="284"/>
      <c r="CF180" s="284"/>
    </row>
    <row r="181" spans="1:84" ht="11.4" customHeight="1" x14ac:dyDescent="0.25">
      <c r="A181" s="310" t="s">
        <v>319</v>
      </c>
      <c r="B181" s="309" t="s">
        <v>256</v>
      </c>
      <c r="C181" s="359">
        <v>38164</v>
      </c>
      <c r="D181" s="312"/>
      <c r="E181" s="312"/>
      <c r="F181" s="284"/>
      <c r="G181" s="284"/>
      <c r="H181" s="284"/>
      <c r="I181" s="284"/>
      <c r="J181" s="284"/>
      <c r="K181" s="284"/>
      <c r="L181" s="284"/>
      <c r="M181" s="284"/>
      <c r="N181" s="284"/>
      <c r="O181" s="284"/>
      <c r="P181" s="284"/>
      <c r="Q181" s="284"/>
      <c r="R181" s="284"/>
      <c r="S181" s="284"/>
      <c r="T181" s="284"/>
      <c r="U181" s="284"/>
      <c r="V181" s="284"/>
      <c r="W181" s="284"/>
      <c r="X181" s="284"/>
      <c r="Y181" s="284"/>
      <c r="Z181" s="284"/>
      <c r="AA181" s="284"/>
      <c r="AB181" s="284"/>
      <c r="AC181" s="284"/>
      <c r="AD181" s="284"/>
      <c r="AE181" s="284"/>
      <c r="AF181" s="284"/>
      <c r="AG181" s="284"/>
      <c r="AH181" s="284"/>
      <c r="AI181" s="284"/>
      <c r="AJ181" s="284"/>
      <c r="AK181" s="284"/>
      <c r="AL181" s="284"/>
      <c r="AM181" s="284"/>
      <c r="AN181" s="284"/>
      <c r="AO181" s="284"/>
      <c r="AP181" s="284"/>
      <c r="AQ181" s="284"/>
      <c r="AR181" s="284"/>
      <c r="AS181" s="284"/>
      <c r="AT181" s="284"/>
      <c r="AU181" s="284"/>
      <c r="AV181" s="284"/>
      <c r="AW181" s="284"/>
      <c r="AX181" s="284"/>
      <c r="AY181" s="284"/>
      <c r="AZ181" s="284"/>
      <c r="BA181" s="284"/>
      <c r="BB181" s="284"/>
      <c r="BC181" s="284"/>
      <c r="BD181" s="284"/>
      <c r="BE181" s="284"/>
      <c r="BF181" s="284"/>
      <c r="BG181" s="284"/>
      <c r="BH181" s="284"/>
      <c r="BI181" s="284"/>
      <c r="BJ181" s="284"/>
      <c r="BK181" s="284"/>
      <c r="BL181" s="284"/>
      <c r="BM181" s="284"/>
      <c r="BN181" s="284"/>
      <c r="BO181" s="284"/>
      <c r="BP181" s="284"/>
      <c r="BQ181" s="284"/>
      <c r="BR181" s="284"/>
      <c r="BS181" s="284"/>
      <c r="BT181" s="284"/>
      <c r="BU181" s="284"/>
      <c r="BV181" s="284"/>
      <c r="BW181" s="284"/>
      <c r="BX181" s="284"/>
      <c r="BY181" s="284"/>
      <c r="BZ181" s="284"/>
      <c r="CA181" s="284"/>
      <c r="CB181" s="284"/>
      <c r="CC181" s="284"/>
      <c r="CD181" s="284"/>
      <c r="CE181" s="284"/>
      <c r="CF181" s="284"/>
    </row>
    <row r="182" spans="1:84" ht="11.4" customHeight="1" x14ac:dyDescent="0.25">
      <c r="A182" s="310" t="s">
        <v>203</v>
      </c>
      <c r="B182" s="312"/>
      <c r="C182" s="322"/>
      <c r="D182" s="312">
        <v>282015</v>
      </c>
      <c r="E182" s="312"/>
      <c r="F182" s="284"/>
      <c r="G182" s="284"/>
      <c r="H182" s="284"/>
      <c r="I182" s="284"/>
      <c r="J182" s="284"/>
      <c r="K182" s="284"/>
      <c r="L182" s="284"/>
      <c r="M182" s="284"/>
      <c r="N182" s="284"/>
      <c r="O182" s="284"/>
      <c r="P182" s="284"/>
      <c r="Q182" s="284"/>
      <c r="R182" s="284"/>
      <c r="S182" s="284"/>
      <c r="T182" s="284"/>
      <c r="U182" s="284"/>
      <c r="V182" s="284"/>
      <c r="W182" s="284"/>
      <c r="X182" s="284"/>
      <c r="Y182" s="284"/>
      <c r="Z182" s="284"/>
      <c r="AA182" s="284"/>
      <c r="AB182" s="284"/>
      <c r="AC182" s="284"/>
      <c r="AD182" s="284"/>
      <c r="AE182" s="284"/>
      <c r="AF182" s="284"/>
      <c r="AG182" s="284"/>
      <c r="AH182" s="284"/>
      <c r="AI182" s="284"/>
      <c r="AJ182" s="284"/>
      <c r="AK182" s="284"/>
      <c r="AL182" s="284"/>
      <c r="AM182" s="284"/>
      <c r="AN182" s="284"/>
      <c r="AO182" s="284"/>
      <c r="AP182" s="284"/>
      <c r="AQ182" s="284"/>
      <c r="AR182" s="284"/>
      <c r="AS182" s="284"/>
      <c r="AT182" s="284"/>
      <c r="AU182" s="284"/>
      <c r="AV182" s="284"/>
      <c r="AW182" s="284"/>
      <c r="AX182" s="284"/>
      <c r="AY182" s="284"/>
      <c r="AZ182" s="284"/>
      <c r="BA182" s="284"/>
      <c r="BB182" s="284"/>
      <c r="BC182" s="284"/>
      <c r="BD182" s="284"/>
      <c r="BE182" s="284"/>
      <c r="BF182" s="284"/>
      <c r="BG182" s="284"/>
      <c r="BH182" s="284"/>
      <c r="BI182" s="284"/>
      <c r="BJ182" s="284"/>
      <c r="BK182" s="284"/>
      <c r="BL182" s="284"/>
      <c r="BM182" s="284"/>
      <c r="BN182" s="284"/>
      <c r="BO182" s="284"/>
      <c r="BP182" s="284"/>
      <c r="BQ182" s="284"/>
      <c r="BR182" s="284"/>
      <c r="BS182" s="284"/>
      <c r="BT182" s="284"/>
      <c r="BU182" s="284"/>
      <c r="BV182" s="284"/>
      <c r="BW182" s="284"/>
      <c r="BX182" s="284"/>
      <c r="BY182" s="284"/>
      <c r="BZ182" s="284"/>
      <c r="CA182" s="284"/>
      <c r="CB182" s="284"/>
      <c r="CC182" s="284"/>
      <c r="CD182" s="284"/>
      <c r="CE182" s="284"/>
      <c r="CF182" s="284"/>
    </row>
    <row r="183" spans="1:84" ht="11.4" customHeight="1" x14ac:dyDescent="0.25">
      <c r="A183" s="339" t="s">
        <v>320</v>
      </c>
      <c r="B183" s="339"/>
      <c r="C183" s="339"/>
      <c r="D183" s="339"/>
      <c r="E183" s="339"/>
      <c r="F183" s="284"/>
      <c r="G183" s="284"/>
      <c r="H183" s="284"/>
      <c r="I183" s="284"/>
      <c r="J183" s="284"/>
      <c r="K183" s="284"/>
      <c r="L183" s="284"/>
      <c r="M183" s="284"/>
      <c r="N183" s="284"/>
      <c r="O183" s="284"/>
      <c r="P183" s="284"/>
      <c r="Q183" s="284"/>
      <c r="R183" s="284"/>
      <c r="S183" s="284"/>
      <c r="T183" s="284"/>
      <c r="U183" s="284"/>
      <c r="V183" s="284"/>
      <c r="W183" s="284"/>
      <c r="X183" s="284"/>
      <c r="Y183" s="284"/>
      <c r="Z183" s="284"/>
      <c r="AA183" s="284"/>
      <c r="AB183" s="284"/>
      <c r="AC183" s="284"/>
      <c r="AD183" s="284"/>
      <c r="AE183" s="284"/>
      <c r="AF183" s="284"/>
      <c r="AG183" s="284"/>
      <c r="AH183" s="284"/>
      <c r="AI183" s="284"/>
      <c r="AJ183" s="284"/>
      <c r="AK183" s="284"/>
      <c r="AL183" s="284"/>
      <c r="AM183" s="284"/>
      <c r="AN183" s="284"/>
      <c r="AO183" s="284"/>
      <c r="AP183" s="284"/>
      <c r="AQ183" s="284"/>
      <c r="AR183" s="284"/>
      <c r="AS183" s="284"/>
      <c r="AT183" s="284"/>
      <c r="AU183" s="284"/>
      <c r="AV183" s="284"/>
      <c r="AW183" s="284"/>
      <c r="AX183" s="284"/>
      <c r="AY183" s="284"/>
      <c r="AZ183" s="284"/>
      <c r="BA183" s="284"/>
      <c r="BB183" s="284"/>
      <c r="BC183" s="284"/>
      <c r="BD183" s="284"/>
      <c r="BE183" s="284"/>
      <c r="BF183" s="284"/>
      <c r="BG183" s="284"/>
      <c r="BH183" s="284"/>
      <c r="BI183" s="284"/>
      <c r="BJ183" s="284"/>
      <c r="BK183" s="284"/>
      <c r="BL183" s="284"/>
      <c r="BM183" s="284"/>
      <c r="BN183" s="284"/>
      <c r="BO183" s="284"/>
      <c r="BP183" s="284"/>
      <c r="BQ183" s="284"/>
      <c r="BR183" s="284"/>
      <c r="BS183" s="284"/>
      <c r="BT183" s="284"/>
      <c r="BU183" s="284"/>
      <c r="BV183" s="284"/>
      <c r="BW183" s="284"/>
      <c r="BX183" s="284"/>
      <c r="BY183" s="284"/>
      <c r="BZ183" s="284"/>
      <c r="CA183" s="284"/>
      <c r="CB183" s="284"/>
      <c r="CC183" s="284"/>
      <c r="CD183" s="284"/>
      <c r="CE183" s="284"/>
      <c r="CF183" s="284"/>
    </row>
    <row r="184" spans="1:84" ht="11.4" customHeight="1" x14ac:dyDescent="0.25">
      <c r="A184" s="310" t="s">
        <v>321</v>
      </c>
      <c r="B184" s="309" t="s">
        <v>256</v>
      </c>
      <c r="C184" s="359">
        <v>19175</v>
      </c>
      <c r="D184" s="312"/>
      <c r="E184" s="312"/>
      <c r="F184" s="284"/>
      <c r="G184" s="284"/>
      <c r="H184" s="284"/>
      <c r="I184" s="284"/>
      <c r="J184" s="284"/>
      <c r="K184" s="284"/>
      <c r="L184" s="284"/>
      <c r="M184" s="284"/>
      <c r="N184" s="284"/>
      <c r="O184" s="284"/>
      <c r="P184" s="284"/>
      <c r="Q184" s="284"/>
      <c r="R184" s="284"/>
      <c r="S184" s="284"/>
      <c r="T184" s="284"/>
      <c r="U184" s="284"/>
      <c r="V184" s="284"/>
      <c r="W184" s="284"/>
      <c r="X184" s="284"/>
      <c r="Y184" s="284"/>
      <c r="Z184" s="284"/>
      <c r="AA184" s="284"/>
      <c r="AB184" s="284"/>
      <c r="AC184" s="284"/>
      <c r="AD184" s="284"/>
      <c r="AE184" s="284"/>
      <c r="AF184" s="284"/>
      <c r="AG184" s="284"/>
      <c r="AH184" s="284"/>
      <c r="AI184" s="284"/>
      <c r="AJ184" s="284"/>
      <c r="AK184" s="284"/>
      <c r="AL184" s="284"/>
      <c r="AM184" s="284"/>
      <c r="AN184" s="284"/>
      <c r="AO184" s="284"/>
      <c r="AP184" s="284"/>
      <c r="AQ184" s="284"/>
      <c r="AR184" s="284"/>
      <c r="AS184" s="284"/>
      <c r="AT184" s="284"/>
      <c r="AU184" s="284"/>
      <c r="AV184" s="284"/>
      <c r="AW184" s="284"/>
      <c r="AX184" s="284"/>
      <c r="AY184" s="284"/>
      <c r="AZ184" s="284"/>
      <c r="BA184" s="284"/>
      <c r="BB184" s="284"/>
      <c r="BC184" s="284"/>
      <c r="BD184" s="284"/>
      <c r="BE184" s="284"/>
      <c r="BF184" s="284"/>
      <c r="BG184" s="284"/>
      <c r="BH184" s="284"/>
      <c r="BI184" s="284"/>
      <c r="BJ184" s="284"/>
      <c r="BK184" s="284"/>
      <c r="BL184" s="284"/>
      <c r="BM184" s="284"/>
      <c r="BN184" s="284"/>
      <c r="BO184" s="284"/>
      <c r="BP184" s="284"/>
      <c r="BQ184" s="284"/>
      <c r="BR184" s="284"/>
      <c r="BS184" s="284"/>
      <c r="BT184" s="284"/>
      <c r="BU184" s="284"/>
      <c r="BV184" s="284"/>
      <c r="BW184" s="284"/>
      <c r="BX184" s="284"/>
      <c r="BY184" s="284"/>
      <c r="BZ184" s="284"/>
      <c r="CA184" s="284"/>
      <c r="CB184" s="284"/>
      <c r="CC184" s="284"/>
      <c r="CD184" s="284"/>
      <c r="CE184" s="284"/>
      <c r="CF184" s="284"/>
    </row>
    <row r="185" spans="1:84" ht="11.4" customHeight="1" x14ac:dyDescent="0.25">
      <c r="A185" s="310" t="s">
        <v>322</v>
      </c>
      <c r="B185" s="309" t="s">
        <v>256</v>
      </c>
      <c r="C185" s="359">
        <v>150815</v>
      </c>
      <c r="D185" s="312"/>
      <c r="E185" s="312"/>
      <c r="F185" s="284"/>
      <c r="G185" s="284"/>
      <c r="H185" s="284"/>
      <c r="I185" s="284"/>
      <c r="J185" s="284"/>
      <c r="K185" s="284"/>
      <c r="L185" s="284"/>
      <c r="M185" s="284"/>
      <c r="N185" s="284"/>
      <c r="O185" s="284"/>
      <c r="P185" s="284"/>
      <c r="Q185" s="284"/>
      <c r="R185" s="284"/>
      <c r="S185" s="284"/>
      <c r="T185" s="284"/>
      <c r="U185" s="284"/>
      <c r="V185" s="284"/>
      <c r="W185" s="284"/>
      <c r="X185" s="284"/>
      <c r="Y185" s="284"/>
      <c r="Z185" s="284"/>
      <c r="AA185" s="284"/>
      <c r="AB185" s="284"/>
      <c r="AC185" s="284"/>
      <c r="AD185" s="284"/>
      <c r="AE185" s="284"/>
      <c r="AF185" s="284"/>
      <c r="AG185" s="284"/>
      <c r="AH185" s="284"/>
      <c r="AI185" s="284"/>
      <c r="AJ185" s="284"/>
      <c r="AK185" s="284"/>
      <c r="AL185" s="284"/>
      <c r="AM185" s="284"/>
      <c r="AN185" s="284"/>
      <c r="AO185" s="284"/>
      <c r="AP185" s="284"/>
      <c r="AQ185" s="284"/>
      <c r="AR185" s="284"/>
      <c r="AS185" s="284"/>
      <c r="AT185" s="284"/>
      <c r="AU185" s="284"/>
      <c r="AV185" s="284"/>
      <c r="AW185" s="284"/>
      <c r="AX185" s="284"/>
      <c r="AY185" s="284"/>
      <c r="AZ185" s="284"/>
      <c r="BA185" s="284"/>
      <c r="BB185" s="284"/>
      <c r="BC185" s="284"/>
      <c r="BD185" s="284"/>
      <c r="BE185" s="284"/>
      <c r="BF185" s="284"/>
      <c r="BG185" s="284"/>
      <c r="BH185" s="284"/>
      <c r="BI185" s="284"/>
      <c r="BJ185" s="284"/>
      <c r="BK185" s="284"/>
      <c r="BL185" s="284"/>
      <c r="BM185" s="284"/>
      <c r="BN185" s="284"/>
      <c r="BO185" s="284"/>
      <c r="BP185" s="284"/>
      <c r="BQ185" s="284"/>
      <c r="BR185" s="284"/>
      <c r="BS185" s="284"/>
      <c r="BT185" s="284"/>
      <c r="BU185" s="284"/>
      <c r="BV185" s="284"/>
      <c r="BW185" s="284"/>
      <c r="BX185" s="284"/>
      <c r="BY185" s="284"/>
      <c r="BZ185" s="284"/>
      <c r="CA185" s="284"/>
      <c r="CB185" s="284"/>
      <c r="CC185" s="284"/>
      <c r="CD185" s="284"/>
      <c r="CE185" s="284"/>
      <c r="CF185" s="284"/>
    </row>
    <row r="186" spans="1:84" ht="11.4" customHeight="1" x14ac:dyDescent="0.25">
      <c r="A186" s="310" t="s">
        <v>132</v>
      </c>
      <c r="B186" s="309" t="s">
        <v>256</v>
      </c>
      <c r="C186" s="320"/>
      <c r="D186" s="312"/>
      <c r="E186" s="312"/>
      <c r="F186" s="284"/>
      <c r="G186" s="284"/>
      <c r="H186" s="284"/>
      <c r="I186" s="284"/>
      <c r="J186" s="284"/>
      <c r="K186" s="284"/>
      <c r="L186" s="284"/>
      <c r="M186" s="284"/>
      <c r="N186" s="284"/>
      <c r="O186" s="284"/>
      <c r="P186" s="284"/>
      <c r="Q186" s="284"/>
      <c r="R186" s="284"/>
      <c r="S186" s="284"/>
      <c r="T186" s="284"/>
      <c r="U186" s="284"/>
      <c r="V186" s="284"/>
      <c r="W186" s="284"/>
      <c r="X186" s="284"/>
      <c r="Y186" s="284"/>
      <c r="Z186" s="284"/>
      <c r="AA186" s="284"/>
      <c r="AB186" s="284"/>
      <c r="AC186" s="284"/>
      <c r="AD186" s="284"/>
      <c r="AE186" s="284"/>
      <c r="AF186" s="284"/>
      <c r="AG186" s="284"/>
      <c r="AH186" s="284"/>
      <c r="AI186" s="284"/>
      <c r="AJ186" s="284"/>
      <c r="AK186" s="284"/>
      <c r="AL186" s="284"/>
      <c r="AM186" s="284"/>
      <c r="AN186" s="284"/>
      <c r="AO186" s="284"/>
      <c r="AP186" s="284"/>
      <c r="AQ186" s="284"/>
      <c r="AR186" s="284"/>
      <c r="AS186" s="284"/>
      <c r="AT186" s="284"/>
      <c r="AU186" s="284"/>
      <c r="AV186" s="284"/>
      <c r="AW186" s="284"/>
      <c r="AX186" s="284"/>
      <c r="AY186" s="284"/>
      <c r="AZ186" s="284"/>
      <c r="BA186" s="284"/>
      <c r="BB186" s="284"/>
      <c r="BC186" s="284"/>
      <c r="BD186" s="284"/>
      <c r="BE186" s="284"/>
      <c r="BF186" s="284"/>
      <c r="BG186" s="284"/>
      <c r="BH186" s="284"/>
      <c r="BI186" s="284"/>
      <c r="BJ186" s="284"/>
      <c r="BK186" s="284"/>
      <c r="BL186" s="284"/>
      <c r="BM186" s="284"/>
      <c r="BN186" s="284"/>
      <c r="BO186" s="284"/>
      <c r="BP186" s="284"/>
      <c r="BQ186" s="284"/>
      <c r="BR186" s="284"/>
      <c r="BS186" s="284"/>
      <c r="BT186" s="284"/>
      <c r="BU186" s="284"/>
      <c r="BV186" s="284"/>
      <c r="BW186" s="284"/>
      <c r="BX186" s="284"/>
      <c r="BY186" s="284"/>
      <c r="BZ186" s="284"/>
      <c r="CA186" s="284"/>
      <c r="CB186" s="284"/>
      <c r="CC186" s="284"/>
      <c r="CD186" s="284"/>
      <c r="CE186" s="284"/>
      <c r="CF186" s="284"/>
    </row>
    <row r="187" spans="1:84" ht="11.4" customHeight="1" x14ac:dyDescent="0.25">
      <c r="A187" s="310" t="s">
        <v>203</v>
      </c>
      <c r="B187" s="312"/>
      <c r="C187" s="322"/>
      <c r="D187" s="312">
        <v>169990</v>
      </c>
      <c r="E187" s="312"/>
      <c r="F187" s="284"/>
      <c r="G187" s="284"/>
      <c r="H187" s="284"/>
      <c r="I187" s="284"/>
      <c r="J187" s="284"/>
      <c r="K187" s="284"/>
      <c r="L187" s="284"/>
      <c r="M187" s="284"/>
      <c r="N187" s="284"/>
      <c r="O187" s="284"/>
      <c r="P187" s="284"/>
      <c r="Q187" s="284"/>
      <c r="R187" s="284"/>
      <c r="S187" s="284"/>
      <c r="T187" s="284"/>
      <c r="U187" s="284"/>
      <c r="V187" s="284"/>
      <c r="W187" s="284"/>
      <c r="X187" s="284"/>
      <c r="Y187" s="284"/>
      <c r="Z187" s="284"/>
      <c r="AA187" s="284"/>
      <c r="AB187" s="284"/>
      <c r="AC187" s="284"/>
      <c r="AD187" s="284"/>
      <c r="AE187" s="284"/>
      <c r="AF187" s="284"/>
      <c r="AG187" s="284"/>
      <c r="AH187" s="284"/>
      <c r="AI187" s="284"/>
      <c r="AJ187" s="284"/>
      <c r="AK187" s="284"/>
      <c r="AL187" s="284"/>
      <c r="AM187" s="284"/>
      <c r="AN187" s="284"/>
      <c r="AO187" s="284"/>
      <c r="AP187" s="284"/>
      <c r="AQ187" s="284"/>
      <c r="AR187" s="284"/>
      <c r="AS187" s="284"/>
      <c r="AT187" s="284"/>
      <c r="AU187" s="284"/>
      <c r="AV187" s="284"/>
      <c r="AW187" s="284"/>
      <c r="AX187" s="284"/>
      <c r="AY187" s="284"/>
      <c r="AZ187" s="284"/>
      <c r="BA187" s="284"/>
      <c r="BB187" s="284"/>
      <c r="BC187" s="284"/>
      <c r="BD187" s="284"/>
      <c r="BE187" s="284"/>
      <c r="BF187" s="284"/>
      <c r="BG187" s="284"/>
      <c r="BH187" s="284"/>
      <c r="BI187" s="284"/>
      <c r="BJ187" s="284"/>
      <c r="BK187" s="284"/>
      <c r="BL187" s="284"/>
      <c r="BM187" s="284"/>
      <c r="BN187" s="284"/>
      <c r="BO187" s="284"/>
      <c r="BP187" s="284"/>
      <c r="BQ187" s="284"/>
      <c r="BR187" s="284"/>
      <c r="BS187" s="284"/>
      <c r="BT187" s="284"/>
      <c r="BU187" s="284"/>
      <c r="BV187" s="284"/>
      <c r="BW187" s="284"/>
      <c r="BX187" s="284"/>
      <c r="BY187" s="284"/>
      <c r="BZ187" s="284"/>
      <c r="CA187" s="284"/>
      <c r="CB187" s="284"/>
      <c r="CC187" s="284"/>
      <c r="CD187" s="284"/>
      <c r="CE187" s="284"/>
      <c r="CF187" s="284"/>
    </row>
    <row r="188" spans="1:84" ht="11.4" customHeight="1" x14ac:dyDescent="0.25">
      <c r="A188" s="339" t="s">
        <v>323</v>
      </c>
      <c r="B188" s="339"/>
      <c r="C188" s="339"/>
      <c r="D188" s="339"/>
      <c r="E188" s="339"/>
      <c r="F188" s="284"/>
      <c r="G188" s="284"/>
      <c r="H188" s="284"/>
      <c r="I188" s="284"/>
      <c r="J188" s="284"/>
      <c r="K188" s="284"/>
      <c r="L188" s="284"/>
      <c r="M188" s="284"/>
      <c r="N188" s="284"/>
      <c r="O188" s="284"/>
      <c r="P188" s="284"/>
      <c r="Q188" s="284"/>
      <c r="R188" s="284"/>
      <c r="S188" s="284"/>
      <c r="T188" s="284"/>
      <c r="U188" s="284"/>
      <c r="V188" s="284"/>
      <c r="W188" s="284"/>
      <c r="X188" s="284"/>
      <c r="Y188" s="284"/>
      <c r="Z188" s="284"/>
      <c r="AA188" s="284"/>
      <c r="AB188" s="284"/>
      <c r="AC188" s="284"/>
      <c r="AD188" s="284"/>
      <c r="AE188" s="284"/>
      <c r="AF188" s="284"/>
      <c r="AG188" s="284"/>
      <c r="AH188" s="284"/>
      <c r="AI188" s="284"/>
      <c r="AJ188" s="284"/>
      <c r="AK188" s="284"/>
      <c r="AL188" s="284"/>
      <c r="AM188" s="284"/>
      <c r="AN188" s="284"/>
      <c r="AO188" s="284"/>
      <c r="AP188" s="284"/>
      <c r="AQ188" s="284"/>
      <c r="AR188" s="284"/>
      <c r="AS188" s="284"/>
      <c r="AT188" s="284"/>
      <c r="AU188" s="284"/>
      <c r="AV188" s="284"/>
      <c r="AW188" s="284"/>
      <c r="AX188" s="284"/>
      <c r="AY188" s="284"/>
      <c r="AZ188" s="284"/>
      <c r="BA188" s="284"/>
      <c r="BB188" s="284"/>
      <c r="BC188" s="284"/>
      <c r="BD188" s="284"/>
      <c r="BE188" s="284"/>
      <c r="BF188" s="284"/>
      <c r="BG188" s="284"/>
      <c r="BH188" s="284"/>
      <c r="BI188" s="284"/>
      <c r="BJ188" s="284"/>
      <c r="BK188" s="284"/>
      <c r="BL188" s="284"/>
      <c r="BM188" s="284"/>
      <c r="BN188" s="284"/>
      <c r="BO188" s="284"/>
      <c r="BP188" s="284"/>
      <c r="BQ188" s="284"/>
      <c r="BR188" s="284"/>
      <c r="BS188" s="284"/>
      <c r="BT188" s="284"/>
      <c r="BU188" s="284"/>
      <c r="BV188" s="284"/>
      <c r="BW188" s="284"/>
      <c r="BX188" s="284"/>
      <c r="BY188" s="284"/>
      <c r="BZ188" s="284"/>
      <c r="CA188" s="284"/>
      <c r="CB188" s="284"/>
      <c r="CC188" s="284"/>
      <c r="CD188" s="284"/>
      <c r="CE188" s="284"/>
      <c r="CF188" s="284"/>
    </row>
    <row r="189" spans="1:84" ht="11.4" customHeight="1" x14ac:dyDescent="0.25">
      <c r="A189" s="310" t="s">
        <v>324</v>
      </c>
      <c r="B189" s="309" t="s">
        <v>256</v>
      </c>
      <c r="C189" s="359">
        <v>301552.03999999998</v>
      </c>
      <c r="D189" s="312"/>
      <c r="E189" s="312"/>
      <c r="F189" s="284"/>
      <c r="G189" s="284"/>
      <c r="H189" s="284"/>
      <c r="I189" s="284"/>
      <c r="J189" s="284"/>
      <c r="K189" s="284"/>
      <c r="L189" s="284"/>
      <c r="M189" s="284"/>
      <c r="N189" s="284"/>
      <c r="O189" s="284"/>
      <c r="P189" s="284"/>
      <c r="Q189" s="284"/>
      <c r="R189" s="284"/>
      <c r="S189" s="284"/>
      <c r="T189" s="284"/>
      <c r="U189" s="284"/>
      <c r="V189" s="284"/>
      <c r="W189" s="284"/>
      <c r="X189" s="284"/>
      <c r="Y189" s="284"/>
      <c r="Z189" s="284"/>
      <c r="AA189" s="284"/>
      <c r="AB189" s="284"/>
      <c r="AC189" s="284"/>
      <c r="AD189" s="284"/>
      <c r="AE189" s="284"/>
      <c r="AF189" s="284"/>
      <c r="AG189" s="284"/>
      <c r="AH189" s="284"/>
      <c r="AI189" s="284"/>
      <c r="AJ189" s="284"/>
      <c r="AK189" s="284"/>
      <c r="AL189" s="284"/>
      <c r="AM189" s="284"/>
      <c r="AN189" s="284"/>
      <c r="AO189" s="284"/>
      <c r="AP189" s="284"/>
      <c r="AQ189" s="284"/>
      <c r="AR189" s="284"/>
      <c r="AS189" s="284"/>
      <c r="AT189" s="284"/>
      <c r="AU189" s="284"/>
      <c r="AV189" s="284"/>
      <c r="AW189" s="284"/>
      <c r="AX189" s="284"/>
      <c r="AY189" s="284"/>
      <c r="AZ189" s="284"/>
      <c r="BA189" s="284"/>
      <c r="BB189" s="284"/>
      <c r="BC189" s="284"/>
      <c r="BD189" s="284"/>
      <c r="BE189" s="284"/>
      <c r="BF189" s="284"/>
      <c r="BG189" s="284"/>
      <c r="BH189" s="284"/>
      <c r="BI189" s="284"/>
      <c r="BJ189" s="284"/>
      <c r="BK189" s="284"/>
      <c r="BL189" s="284"/>
      <c r="BM189" s="284"/>
      <c r="BN189" s="284"/>
      <c r="BO189" s="284"/>
      <c r="BP189" s="284"/>
      <c r="BQ189" s="284"/>
      <c r="BR189" s="284"/>
      <c r="BS189" s="284"/>
      <c r="BT189" s="284"/>
      <c r="BU189" s="284"/>
      <c r="BV189" s="284"/>
      <c r="BW189" s="284"/>
      <c r="BX189" s="284"/>
      <c r="BY189" s="284"/>
      <c r="BZ189" s="284"/>
      <c r="CA189" s="284"/>
      <c r="CB189" s="284"/>
      <c r="CC189" s="284"/>
      <c r="CD189" s="284"/>
      <c r="CE189" s="284"/>
      <c r="CF189" s="284"/>
    </row>
    <row r="190" spans="1:84" ht="11.4" customHeight="1" x14ac:dyDescent="0.25">
      <c r="A190" s="310" t="s">
        <v>325</v>
      </c>
      <c r="B190" s="309" t="s">
        <v>256</v>
      </c>
      <c r="C190" s="359">
        <v>12066</v>
      </c>
      <c r="D190" s="312"/>
      <c r="E190" s="312"/>
      <c r="F190" s="284"/>
      <c r="G190" s="284"/>
      <c r="H190" s="284"/>
      <c r="I190" s="284"/>
      <c r="J190" s="284"/>
      <c r="K190" s="284"/>
      <c r="L190" s="284"/>
      <c r="M190" s="284"/>
      <c r="N190" s="284"/>
      <c r="O190" s="284"/>
      <c r="P190" s="284"/>
      <c r="Q190" s="284"/>
      <c r="R190" s="284"/>
      <c r="S190" s="284"/>
      <c r="T190" s="284"/>
      <c r="U190" s="284"/>
      <c r="V190" s="284"/>
      <c r="W190" s="284"/>
      <c r="X190" s="284"/>
      <c r="Y190" s="284"/>
      <c r="Z190" s="284"/>
      <c r="AA190" s="284"/>
      <c r="AB190" s="284"/>
      <c r="AC190" s="284"/>
      <c r="AD190" s="284"/>
      <c r="AE190" s="284"/>
      <c r="AF190" s="284"/>
      <c r="AG190" s="284"/>
      <c r="AH190" s="284"/>
      <c r="AI190" s="284"/>
      <c r="AJ190" s="284"/>
      <c r="AK190" s="284"/>
      <c r="AL190" s="284"/>
      <c r="AM190" s="284"/>
      <c r="AN190" s="284"/>
      <c r="AO190" s="284"/>
      <c r="AP190" s="284"/>
      <c r="AQ190" s="284"/>
      <c r="AR190" s="284"/>
      <c r="AS190" s="284"/>
      <c r="AT190" s="284"/>
      <c r="AU190" s="284"/>
      <c r="AV190" s="284"/>
      <c r="AW190" s="284"/>
      <c r="AX190" s="284"/>
      <c r="AY190" s="284"/>
      <c r="AZ190" s="284"/>
      <c r="BA190" s="284"/>
      <c r="BB190" s="284"/>
      <c r="BC190" s="284"/>
      <c r="BD190" s="284"/>
      <c r="BE190" s="284"/>
      <c r="BF190" s="284"/>
      <c r="BG190" s="284"/>
      <c r="BH190" s="284"/>
      <c r="BI190" s="284"/>
      <c r="BJ190" s="284"/>
      <c r="BK190" s="284"/>
      <c r="BL190" s="284"/>
      <c r="BM190" s="284"/>
      <c r="BN190" s="284"/>
      <c r="BO190" s="284"/>
      <c r="BP190" s="284"/>
      <c r="BQ190" s="284"/>
      <c r="BR190" s="284"/>
      <c r="BS190" s="284"/>
      <c r="BT190" s="284"/>
      <c r="BU190" s="284"/>
      <c r="BV190" s="284"/>
      <c r="BW190" s="284"/>
      <c r="BX190" s="284"/>
      <c r="BY190" s="284"/>
      <c r="BZ190" s="284"/>
      <c r="CA190" s="284"/>
      <c r="CB190" s="284"/>
      <c r="CC190" s="284"/>
      <c r="CD190" s="284"/>
      <c r="CE190" s="284"/>
      <c r="CF190" s="284"/>
    </row>
    <row r="191" spans="1:84" ht="11.4" customHeight="1" x14ac:dyDescent="0.25">
      <c r="A191" s="310" t="s">
        <v>203</v>
      </c>
      <c r="B191" s="312"/>
      <c r="C191" s="322"/>
      <c r="D191" s="312">
        <v>313618.03999999998</v>
      </c>
      <c r="E191" s="312"/>
      <c r="F191" s="284"/>
      <c r="G191" s="284"/>
      <c r="H191" s="284"/>
      <c r="I191" s="284"/>
      <c r="J191" s="284"/>
      <c r="K191" s="284"/>
      <c r="L191" s="284"/>
      <c r="M191" s="284"/>
      <c r="N191" s="284"/>
      <c r="O191" s="284"/>
      <c r="P191" s="284"/>
      <c r="Q191" s="284"/>
      <c r="R191" s="284"/>
      <c r="S191" s="284"/>
      <c r="T191" s="284"/>
      <c r="U191" s="284"/>
      <c r="V191" s="284"/>
      <c r="W191" s="284"/>
      <c r="X191" s="284"/>
      <c r="Y191" s="284"/>
      <c r="Z191" s="284"/>
      <c r="AA191" s="284"/>
      <c r="AB191" s="284"/>
      <c r="AC191" s="284"/>
      <c r="AD191" s="284"/>
      <c r="AE191" s="284"/>
      <c r="AF191" s="284"/>
      <c r="AG191" s="284"/>
      <c r="AH191" s="284"/>
      <c r="AI191" s="284"/>
      <c r="AJ191" s="284"/>
      <c r="AK191" s="284"/>
      <c r="AL191" s="284"/>
      <c r="AM191" s="284"/>
      <c r="AN191" s="284"/>
      <c r="AO191" s="284"/>
      <c r="AP191" s="284"/>
      <c r="AQ191" s="284"/>
      <c r="AR191" s="284"/>
      <c r="AS191" s="284"/>
      <c r="AT191" s="284"/>
      <c r="AU191" s="284"/>
      <c r="AV191" s="284"/>
      <c r="AW191" s="284"/>
      <c r="AX191" s="284"/>
      <c r="AY191" s="284"/>
      <c r="AZ191" s="284"/>
      <c r="BA191" s="284"/>
      <c r="BB191" s="284"/>
      <c r="BC191" s="284"/>
      <c r="BD191" s="284"/>
      <c r="BE191" s="284"/>
      <c r="BF191" s="284"/>
      <c r="BG191" s="284"/>
      <c r="BH191" s="284"/>
      <c r="BI191" s="284"/>
      <c r="BJ191" s="284"/>
      <c r="BK191" s="284"/>
      <c r="BL191" s="284"/>
      <c r="BM191" s="284"/>
      <c r="BN191" s="284"/>
      <c r="BO191" s="284"/>
      <c r="BP191" s="284"/>
      <c r="BQ191" s="284"/>
      <c r="BR191" s="284"/>
      <c r="BS191" s="284"/>
      <c r="BT191" s="284"/>
      <c r="BU191" s="284"/>
      <c r="BV191" s="284"/>
      <c r="BW191" s="284"/>
      <c r="BX191" s="284"/>
      <c r="BY191" s="284"/>
      <c r="BZ191" s="284"/>
      <c r="CA191" s="284"/>
      <c r="CB191" s="284"/>
      <c r="CC191" s="284"/>
      <c r="CD191" s="284"/>
      <c r="CE191" s="284"/>
      <c r="CF191" s="284"/>
    </row>
    <row r="192" spans="1:84" ht="18" customHeight="1" x14ac:dyDescent="0.25">
      <c r="A192" s="310"/>
      <c r="B192" s="312"/>
      <c r="C192" s="322"/>
      <c r="D192" s="312"/>
      <c r="E192" s="312"/>
      <c r="F192" s="284"/>
      <c r="G192" s="284"/>
      <c r="H192" s="284"/>
      <c r="I192" s="284"/>
      <c r="J192" s="284"/>
      <c r="K192" s="284"/>
      <c r="L192" s="284"/>
      <c r="M192" s="284"/>
      <c r="N192" s="284"/>
      <c r="O192" s="284"/>
      <c r="P192" s="284"/>
      <c r="Q192" s="284"/>
      <c r="R192" s="284"/>
      <c r="S192" s="284"/>
      <c r="T192" s="284"/>
      <c r="U192" s="284"/>
      <c r="V192" s="284"/>
      <c r="W192" s="284"/>
      <c r="X192" s="284"/>
      <c r="Y192" s="284"/>
      <c r="Z192" s="284"/>
      <c r="AA192" s="284"/>
      <c r="AB192" s="284"/>
      <c r="AC192" s="284"/>
      <c r="AD192" s="284"/>
      <c r="AE192" s="284"/>
      <c r="AF192" s="284"/>
      <c r="AG192" s="284"/>
      <c r="AH192" s="284"/>
      <c r="AI192" s="284"/>
      <c r="AJ192" s="284"/>
      <c r="AK192" s="284"/>
      <c r="AL192" s="284"/>
      <c r="AM192" s="284"/>
      <c r="AN192" s="284"/>
      <c r="AO192" s="284"/>
      <c r="AP192" s="284"/>
      <c r="AQ192" s="284"/>
      <c r="AR192" s="284"/>
      <c r="AS192" s="284"/>
      <c r="AT192" s="284"/>
      <c r="AU192" s="284"/>
      <c r="AV192" s="284"/>
      <c r="AW192" s="284"/>
      <c r="AX192" s="284"/>
      <c r="AY192" s="284"/>
      <c r="AZ192" s="284"/>
      <c r="BA192" s="284"/>
      <c r="BB192" s="284"/>
      <c r="BC192" s="284"/>
      <c r="BD192" s="284"/>
      <c r="BE192" s="284"/>
      <c r="BF192" s="284"/>
      <c r="BG192" s="284"/>
      <c r="BH192" s="284"/>
      <c r="BI192" s="284"/>
      <c r="BJ192" s="284"/>
      <c r="BK192" s="284"/>
      <c r="BL192" s="284"/>
      <c r="BM192" s="284"/>
      <c r="BN192" s="284"/>
      <c r="BO192" s="284"/>
      <c r="BP192" s="284"/>
      <c r="BQ192" s="284"/>
      <c r="BR192" s="284"/>
      <c r="BS192" s="284"/>
      <c r="BT192" s="284"/>
      <c r="BU192" s="284"/>
      <c r="BV192" s="284"/>
      <c r="BW192" s="284"/>
      <c r="BX192" s="284"/>
      <c r="BY192" s="284"/>
      <c r="BZ192" s="284"/>
      <c r="CA192" s="284"/>
      <c r="CB192" s="284"/>
      <c r="CC192" s="284"/>
      <c r="CD192" s="284"/>
      <c r="CE192" s="284"/>
      <c r="CF192" s="284"/>
    </row>
    <row r="193" spans="1:84" ht="12.6" customHeight="1" x14ac:dyDescent="0.25">
      <c r="A193" s="330" t="s">
        <v>326</v>
      </c>
      <c r="B193" s="330"/>
      <c r="C193" s="330"/>
      <c r="D193" s="330"/>
      <c r="E193" s="330"/>
      <c r="F193" s="284"/>
      <c r="G193" s="284"/>
      <c r="H193" s="284"/>
      <c r="I193" s="284"/>
      <c r="J193" s="284"/>
      <c r="K193" s="284"/>
      <c r="L193" s="284"/>
      <c r="M193" s="284"/>
      <c r="N193" s="284"/>
      <c r="O193" s="284"/>
      <c r="P193" s="284"/>
      <c r="Q193" s="284"/>
      <c r="R193" s="284"/>
      <c r="S193" s="284"/>
      <c r="T193" s="284"/>
      <c r="U193" s="284"/>
      <c r="V193" s="284"/>
      <c r="W193" s="284"/>
      <c r="X193" s="284"/>
      <c r="Y193" s="284"/>
      <c r="Z193" s="284"/>
      <c r="AA193" s="284"/>
      <c r="AB193" s="284"/>
      <c r="AC193" s="284"/>
      <c r="AD193" s="284"/>
      <c r="AE193" s="284"/>
      <c r="AF193" s="284"/>
      <c r="AG193" s="284"/>
      <c r="AH193" s="284"/>
      <c r="AI193" s="284"/>
      <c r="AJ193" s="284"/>
      <c r="AK193" s="284"/>
      <c r="AL193" s="284"/>
      <c r="AM193" s="284"/>
      <c r="AN193" s="284"/>
      <c r="AO193" s="284"/>
      <c r="AP193" s="284"/>
      <c r="AQ193" s="284"/>
      <c r="AR193" s="284"/>
      <c r="AS193" s="284"/>
      <c r="AT193" s="284"/>
      <c r="AU193" s="284"/>
      <c r="AV193" s="284"/>
      <c r="AW193" s="284"/>
      <c r="AX193" s="284"/>
      <c r="AY193" s="284"/>
      <c r="AZ193" s="284"/>
      <c r="BA193" s="284"/>
      <c r="BB193" s="284"/>
      <c r="BC193" s="284"/>
      <c r="BD193" s="284"/>
      <c r="BE193" s="284"/>
      <c r="BF193" s="284"/>
      <c r="BG193" s="284"/>
      <c r="BH193" s="284"/>
      <c r="BI193" s="284"/>
      <c r="BJ193" s="284"/>
      <c r="BK193" s="284"/>
      <c r="BL193" s="284"/>
      <c r="BM193" s="284"/>
      <c r="BN193" s="284"/>
      <c r="BO193" s="284"/>
      <c r="BP193" s="284"/>
      <c r="BQ193" s="284"/>
      <c r="BR193" s="284"/>
      <c r="BS193" s="284"/>
      <c r="BT193" s="284"/>
      <c r="BU193" s="284"/>
      <c r="BV193" s="284"/>
      <c r="BW193" s="284"/>
      <c r="BX193" s="284"/>
      <c r="BY193" s="284"/>
      <c r="BZ193" s="284"/>
      <c r="CA193" s="284"/>
      <c r="CB193" s="284"/>
      <c r="CC193" s="284"/>
      <c r="CD193" s="284"/>
      <c r="CE193" s="284"/>
      <c r="CF193" s="284"/>
    </row>
    <row r="194" spans="1:84" ht="12.6" customHeight="1" x14ac:dyDescent="0.25">
      <c r="A194" s="329" t="s">
        <v>327</v>
      </c>
      <c r="B194" s="330"/>
      <c r="C194" s="330"/>
      <c r="D194" s="330"/>
      <c r="E194" s="330"/>
      <c r="F194" s="306"/>
      <c r="G194" s="306"/>
      <c r="H194" s="306"/>
      <c r="I194" s="284"/>
      <c r="J194" s="284"/>
      <c r="K194" s="284"/>
      <c r="L194" s="284"/>
      <c r="M194" s="284"/>
      <c r="N194" s="284"/>
      <c r="O194" s="284"/>
      <c r="P194" s="284"/>
      <c r="Q194" s="284"/>
      <c r="R194" s="284"/>
      <c r="S194" s="284"/>
      <c r="T194" s="284"/>
      <c r="U194" s="284"/>
      <c r="V194" s="284"/>
      <c r="W194" s="284"/>
      <c r="X194" s="284"/>
      <c r="Y194" s="284"/>
      <c r="Z194" s="284"/>
      <c r="AA194" s="284"/>
      <c r="AB194" s="284"/>
      <c r="AC194" s="284"/>
      <c r="AD194" s="284"/>
      <c r="AE194" s="284"/>
      <c r="AF194" s="284"/>
      <c r="AG194" s="284"/>
      <c r="AH194" s="284"/>
      <c r="AI194" s="284"/>
      <c r="AJ194" s="284"/>
      <c r="AK194" s="284"/>
      <c r="AL194" s="284"/>
      <c r="AM194" s="284"/>
      <c r="AN194" s="284"/>
      <c r="AO194" s="284"/>
      <c r="AP194" s="284"/>
      <c r="AQ194" s="284"/>
      <c r="AR194" s="284"/>
      <c r="AS194" s="284"/>
      <c r="AT194" s="284"/>
      <c r="AU194" s="284"/>
      <c r="AV194" s="284"/>
      <c r="AW194" s="284"/>
      <c r="AX194" s="284"/>
      <c r="AY194" s="284"/>
      <c r="AZ194" s="284"/>
      <c r="BA194" s="284"/>
      <c r="BB194" s="284"/>
      <c r="BC194" s="284"/>
      <c r="BD194" s="284"/>
      <c r="BE194" s="284"/>
      <c r="BF194" s="284"/>
      <c r="BG194" s="284"/>
      <c r="BH194" s="284"/>
      <c r="BI194" s="284"/>
      <c r="BJ194" s="284"/>
      <c r="BK194" s="284"/>
      <c r="BL194" s="284"/>
      <c r="BM194" s="284"/>
      <c r="BN194" s="284"/>
      <c r="BO194" s="284"/>
      <c r="BP194" s="284"/>
      <c r="BQ194" s="284"/>
      <c r="BR194" s="284"/>
      <c r="BS194" s="284"/>
      <c r="BT194" s="284"/>
      <c r="BU194" s="284"/>
      <c r="BV194" s="284"/>
      <c r="BW194" s="284"/>
      <c r="BX194" s="284"/>
      <c r="BY194" s="284"/>
      <c r="BZ194" s="284"/>
      <c r="CA194" s="284"/>
      <c r="CB194" s="284"/>
      <c r="CC194" s="284"/>
      <c r="CD194" s="284"/>
      <c r="CE194" s="284"/>
      <c r="CF194" s="284"/>
    </row>
    <row r="195" spans="1:84" ht="12.6" customHeight="1" x14ac:dyDescent="0.25">
      <c r="A195" s="308"/>
      <c r="B195" s="307" t="s">
        <v>328</v>
      </c>
      <c r="C195" s="316" t="s">
        <v>329</v>
      </c>
      <c r="D195" s="307" t="s">
        <v>330</v>
      </c>
      <c r="E195" s="307" t="s">
        <v>331</v>
      </c>
      <c r="F195" s="306"/>
      <c r="G195" s="306"/>
      <c r="H195" s="306"/>
      <c r="I195" s="284"/>
      <c r="J195" s="284"/>
      <c r="K195" s="284"/>
      <c r="L195" s="284"/>
      <c r="M195" s="284"/>
      <c r="N195" s="284"/>
      <c r="O195" s="284"/>
      <c r="P195" s="284"/>
      <c r="Q195" s="284"/>
      <c r="R195" s="284"/>
      <c r="S195" s="284"/>
      <c r="T195" s="284"/>
      <c r="U195" s="284"/>
      <c r="V195" s="284"/>
      <c r="W195" s="284"/>
      <c r="X195" s="284"/>
      <c r="Y195" s="284"/>
      <c r="Z195" s="284"/>
      <c r="AA195" s="284"/>
      <c r="AB195" s="284"/>
      <c r="AC195" s="284"/>
      <c r="AD195" s="284"/>
      <c r="AE195" s="284"/>
      <c r="AF195" s="284"/>
      <c r="AG195" s="284"/>
      <c r="AH195" s="284"/>
      <c r="AI195" s="284"/>
      <c r="AJ195" s="284"/>
      <c r="AK195" s="284"/>
      <c r="AL195" s="284"/>
      <c r="AM195" s="284"/>
      <c r="AN195" s="284"/>
      <c r="AO195" s="284"/>
      <c r="AP195" s="284"/>
      <c r="AQ195" s="284"/>
      <c r="AR195" s="284"/>
      <c r="AS195" s="284"/>
      <c r="AT195" s="284"/>
      <c r="AU195" s="284"/>
      <c r="AV195" s="284"/>
      <c r="AW195" s="284"/>
      <c r="AX195" s="284"/>
      <c r="AY195" s="284"/>
      <c r="AZ195" s="284"/>
      <c r="BA195" s="284"/>
      <c r="BB195" s="284"/>
      <c r="BC195" s="284"/>
      <c r="BD195" s="284"/>
      <c r="BE195" s="284"/>
      <c r="BF195" s="284"/>
      <c r="BG195" s="284"/>
      <c r="BH195" s="284"/>
      <c r="BI195" s="284"/>
      <c r="BJ195" s="284"/>
      <c r="BK195" s="284"/>
      <c r="BL195" s="284"/>
      <c r="BM195" s="284"/>
      <c r="BN195" s="284"/>
      <c r="BO195" s="284"/>
      <c r="BP195" s="284"/>
      <c r="BQ195" s="284"/>
      <c r="BR195" s="284"/>
      <c r="BS195" s="284"/>
      <c r="BT195" s="284"/>
      <c r="BU195" s="284"/>
      <c r="BV195" s="284"/>
      <c r="BW195" s="284"/>
      <c r="BX195" s="284"/>
      <c r="BY195" s="284"/>
      <c r="BZ195" s="284"/>
      <c r="CA195" s="284"/>
      <c r="CB195" s="284"/>
      <c r="CC195" s="284"/>
      <c r="CD195" s="284"/>
      <c r="CE195" s="284"/>
      <c r="CF195" s="284"/>
    </row>
    <row r="196" spans="1:84" ht="12.6" customHeight="1" x14ac:dyDescent="0.25">
      <c r="A196" s="310" t="s">
        <v>332</v>
      </c>
      <c r="B196" s="311">
        <v>4168630</v>
      </c>
      <c r="C196" s="320"/>
      <c r="D196" s="311"/>
      <c r="E196" s="312">
        <v>4168630</v>
      </c>
      <c r="F196" s="306"/>
      <c r="G196" s="306"/>
      <c r="H196" s="306"/>
      <c r="I196" s="284"/>
      <c r="J196" s="284"/>
      <c r="K196" s="284"/>
      <c r="L196" s="284"/>
      <c r="M196" s="284"/>
      <c r="N196" s="284"/>
      <c r="O196" s="284"/>
      <c r="P196" s="284"/>
      <c r="Q196" s="284"/>
      <c r="R196" s="284"/>
      <c r="S196" s="284"/>
      <c r="T196" s="284"/>
      <c r="U196" s="284"/>
      <c r="V196" s="284"/>
      <c r="W196" s="284"/>
      <c r="X196" s="284"/>
      <c r="Y196" s="284"/>
      <c r="Z196" s="284"/>
      <c r="AA196" s="284"/>
      <c r="AB196" s="284"/>
      <c r="AC196" s="284"/>
      <c r="AD196" s="284"/>
      <c r="AE196" s="284"/>
      <c r="AF196" s="284"/>
      <c r="AG196" s="284"/>
      <c r="AH196" s="284"/>
      <c r="AI196" s="284"/>
      <c r="AJ196" s="284"/>
      <c r="AK196" s="284"/>
      <c r="AL196" s="284"/>
      <c r="AM196" s="284"/>
      <c r="AN196" s="284"/>
      <c r="AO196" s="284"/>
      <c r="AP196" s="284"/>
      <c r="AQ196" s="284"/>
      <c r="AR196" s="284"/>
      <c r="AS196" s="284"/>
      <c r="AT196" s="284"/>
      <c r="AU196" s="284"/>
      <c r="AV196" s="284"/>
      <c r="AW196" s="284"/>
      <c r="AX196" s="284"/>
      <c r="AY196" s="284"/>
      <c r="AZ196" s="284"/>
      <c r="BA196" s="284"/>
      <c r="BB196" s="284"/>
      <c r="BC196" s="284"/>
      <c r="BD196" s="284"/>
      <c r="BE196" s="284"/>
      <c r="BF196" s="284"/>
      <c r="BG196" s="284"/>
      <c r="BH196" s="284"/>
      <c r="BI196" s="284"/>
      <c r="BJ196" s="284"/>
      <c r="BK196" s="284"/>
      <c r="BL196" s="284"/>
      <c r="BM196" s="284"/>
      <c r="BN196" s="284"/>
      <c r="BO196" s="284"/>
      <c r="BP196" s="284"/>
      <c r="BQ196" s="284"/>
      <c r="BR196" s="284"/>
      <c r="BS196" s="284"/>
      <c r="BT196" s="284"/>
      <c r="BU196" s="284"/>
      <c r="BV196" s="284"/>
      <c r="BW196" s="284"/>
      <c r="BX196" s="284"/>
      <c r="BY196" s="284"/>
      <c r="BZ196" s="284"/>
      <c r="CA196" s="284"/>
      <c r="CB196" s="284"/>
      <c r="CC196" s="284"/>
      <c r="CD196" s="284"/>
      <c r="CE196" s="284"/>
      <c r="CF196" s="284"/>
    </row>
    <row r="197" spans="1:84" ht="12.6" customHeight="1" x14ac:dyDescent="0.25">
      <c r="A197" s="310" t="s">
        <v>333</v>
      </c>
      <c r="B197" s="311">
        <v>619271</v>
      </c>
      <c r="C197" s="320"/>
      <c r="D197" s="311"/>
      <c r="E197" s="312">
        <v>619271</v>
      </c>
      <c r="F197" s="306"/>
      <c r="G197" s="306"/>
      <c r="H197" s="306"/>
      <c r="I197" s="284"/>
      <c r="J197" s="284"/>
      <c r="K197" s="284"/>
      <c r="L197" s="284"/>
      <c r="M197" s="284"/>
      <c r="N197" s="284"/>
      <c r="O197" s="284"/>
      <c r="P197" s="284"/>
      <c r="Q197" s="284"/>
      <c r="R197" s="284"/>
      <c r="S197" s="284"/>
      <c r="T197" s="284"/>
      <c r="U197" s="284"/>
      <c r="V197" s="284"/>
      <c r="W197" s="284"/>
      <c r="X197" s="284"/>
      <c r="Y197" s="284"/>
      <c r="Z197" s="284"/>
      <c r="AA197" s="284"/>
      <c r="AB197" s="284"/>
      <c r="AC197" s="284"/>
      <c r="AD197" s="284"/>
      <c r="AE197" s="284"/>
      <c r="AF197" s="284"/>
      <c r="AG197" s="284"/>
      <c r="AH197" s="284"/>
      <c r="AI197" s="284"/>
      <c r="AJ197" s="284"/>
      <c r="AK197" s="284"/>
      <c r="AL197" s="284"/>
      <c r="AM197" s="284"/>
      <c r="AN197" s="284"/>
      <c r="AO197" s="284"/>
      <c r="AP197" s="284"/>
      <c r="AQ197" s="284"/>
      <c r="AR197" s="284"/>
      <c r="AS197" s="284"/>
      <c r="AT197" s="284"/>
      <c r="AU197" s="284"/>
      <c r="AV197" s="284"/>
      <c r="AW197" s="284"/>
      <c r="AX197" s="284"/>
      <c r="AY197" s="284"/>
      <c r="AZ197" s="284"/>
      <c r="BA197" s="284"/>
      <c r="BB197" s="284"/>
      <c r="BC197" s="284"/>
      <c r="BD197" s="284"/>
      <c r="BE197" s="284"/>
      <c r="BF197" s="284"/>
      <c r="BG197" s="284"/>
      <c r="BH197" s="284"/>
      <c r="BI197" s="284"/>
      <c r="BJ197" s="284"/>
      <c r="BK197" s="284"/>
      <c r="BL197" s="284"/>
      <c r="BM197" s="284"/>
      <c r="BN197" s="284"/>
      <c r="BO197" s="284"/>
      <c r="BP197" s="284"/>
      <c r="BQ197" s="284"/>
      <c r="BR197" s="284"/>
      <c r="BS197" s="284"/>
      <c r="BT197" s="284"/>
      <c r="BU197" s="284"/>
      <c r="BV197" s="284"/>
      <c r="BW197" s="284"/>
      <c r="BX197" s="284"/>
      <c r="BY197" s="284"/>
      <c r="BZ197" s="284"/>
      <c r="CA197" s="284"/>
      <c r="CB197" s="284"/>
      <c r="CC197" s="284"/>
      <c r="CD197" s="284"/>
      <c r="CE197" s="284"/>
      <c r="CF197" s="284"/>
    </row>
    <row r="198" spans="1:84" ht="12.6" customHeight="1" x14ac:dyDescent="0.25">
      <c r="A198" s="310" t="s">
        <v>334</v>
      </c>
      <c r="B198" s="311">
        <v>5141340</v>
      </c>
      <c r="C198" s="320"/>
      <c r="D198" s="311"/>
      <c r="E198" s="312">
        <v>5141340</v>
      </c>
      <c r="F198" s="306"/>
      <c r="G198" s="306"/>
      <c r="H198" s="306"/>
      <c r="I198" s="284"/>
      <c r="J198" s="284"/>
      <c r="K198" s="284"/>
      <c r="L198" s="284"/>
      <c r="M198" s="284"/>
      <c r="N198" s="284"/>
      <c r="O198" s="284"/>
      <c r="P198" s="284"/>
      <c r="Q198" s="284"/>
      <c r="R198" s="284"/>
      <c r="S198" s="284"/>
      <c r="T198" s="284"/>
      <c r="U198" s="284"/>
      <c r="V198" s="284"/>
      <c r="W198" s="284"/>
      <c r="X198" s="284"/>
      <c r="Y198" s="284"/>
      <c r="Z198" s="284"/>
      <c r="AA198" s="284"/>
      <c r="AB198" s="284"/>
      <c r="AC198" s="284"/>
      <c r="AD198" s="284"/>
      <c r="AE198" s="284"/>
      <c r="AF198" s="284"/>
      <c r="AG198" s="284"/>
      <c r="AH198" s="284"/>
      <c r="AI198" s="284"/>
      <c r="AJ198" s="284"/>
      <c r="AK198" s="284"/>
      <c r="AL198" s="284"/>
      <c r="AM198" s="284"/>
      <c r="AN198" s="284"/>
      <c r="AO198" s="284"/>
      <c r="AP198" s="284"/>
      <c r="AQ198" s="284"/>
      <c r="AR198" s="284"/>
      <c r="AS198" s="284"/>
      <c r="AT198" s="284"/>
      <c r="AU198" s="284"/>
      <c r="AV198" s="284"/>
      <c r="AW198" s="284"/>
      <c r="AX198" s="284"/>
      <c r="AY198" s="284"/>
      <c r="AZ198" s="284"/>
      <c r="BA198" s="284"/>
      <c r="BB198" s="284"/>
      <c r="BC198" s="284"/>
      <c r="BD198" s="284"/>
      <c r="BE198" s="284"/>
      <c r="BF198" s="284"/>
      <c r="BG198" s="284"/>
      <c r="BH198" s="284"/>
      <c r="BI198" s="284"/>
      <c r="BJ198" s="284"/>
      <c r="BK198" s="284"/>
      <c r="BL198" s="284"/>
      <c r="BM198" s="284"/>
      <c r="BN198" s="284"/>
      <c r="BO198" s="284"/>
      <c r="BP198" s="284"/>
      <c r="BQ198" s="284"/>
      <c r="BR198" s="284"/>
      <c r="BS198" s="284"/>
      <c r="BT198" s="284"/>
      <c r="BU198" s="284"/>
      <c r="BV198" s="284"/>
      <c r="BW198" s="284"/>
      <c r="BX198" s="284"/>
      <c r="BY198" s="284"/>
      <c r="BZ198" s="284"/>
      <c r="CA198" s="284"/>
      <c r="CB198" s="284"/>
      <c r="CC198" s="284"/>
      <c r="CD198" s="284"/>
      <c r="CE198" s="284"/>
      <c r="CF198" s="284"/>
    </row>
    <row r="199" spans="1:84" ht="12.6" customHeight="1" x14ac:dyDescent="0.25">
      <c r="A199" s="310" t="s">
        <v>335</v>
      </c>
      <c r="B199" s="311">
        <v>948945</v>
      </c>
      <c r="C199" s="320"/>
      <c r="D199" s="311"/>
      <c r="E199" s="312">
        <v>948945</v>
      </c>
      <c r="F199" s="306"/>
      <c r="G199" s="306"/>
      <c r="H199" s="306"/>
      <c r="I199" s="284"/>
      <c r="J199" s="284"/>
      <c r="K199" s="284"/>
      <c r="L199" s="284"/>
      <c r="M199" s="284"/>
      <c r="N199" s="284"/>
      <c r="O199" s="284"/>
      <c r="P199" s="284"/>
      <c r="Q199" s="284"/>
      <c r="R199" s="284"/>
      <c r="S199" s="284"/>
      <c r="T199" s="284"/>
      <c r="U199" s="284"/>
      <c r="V199" s="284"/>
      <c r="W199" s="284"/>
      <c r="X199" s="284"/>
      <c r="Y199" s="284"/>
      <c r="Z199" s="284"/>
      <c r="AA199" s="284"/>
      <c r="AB199" s="284"/>
      <c r="AC199" s="284"/>
      <c r="AD199" s="284"/>
      <c r="AE199" s="284"/>
      <c r="AF199" s="284"/>
      <c r="AG199" s="284"/>
      <c r="AH199" s="284"/>
      <c r="AI199" s="284"/>
      <c r="AJ199" s="284"/>
      <c r="AK199" s="284"/>
      <c r="AL199" s="284"/>
      <c r="AM199" s="284"/>
      <c r="AN199" s="284"/>
      <c r="AO199" s="284"/>
      <c r="AP199" s="284"/>
      <c r="AQ199" s="284"/>
      <c r="AR199" s="284"/>
      <c r="AS199" s="284"/>
      <c r="AT199" s="284"/>
      <c r="AU199" s="284"/>
      <c r="AV199" s="284"/>
      <c r="AW199" s="284"/>
      <c r="AX199" s="284"/>
      <c r="AY199" s="284"/>
      <c r="AZ199" s="284"/>
      <c r="BA199" s="284"/>
      <c r="BB199" s="284"/>
      <c r="BC199" s="284"/>
      <c r="BD199" s="284"/>
      <c r="BE199" s="284"/>
      <c r="BF199" s="284"/>
      <c r="BG199" s="284"/>
      <c r="BH199" s="284"/>
      <c r="BI199" s="284"/>
      <c r="BJ199" s="284"/>
      <c r="BK199" s="284"/>
      <c r="BL199" s="284"/>
      <c r="BM199" s="284"/>
      <c r="BN199" s="284"/>
      <c r="BO199" s="284"/>
      <c r="BP199" s="284"/>
      <c r="BQ199" s="284"/>
      <c r="BR199" s="284"/>
      <c r="BS199" s="284"/>
      <c r="BT199" s="284"/>
      <c r="BU199" s="284"/>
      <c r="BV199" s="284"/>
      <c r="BW199" s="284"/>
      <c r="BX199" s="284"/>
      <c r="BY199" s="284"/>
      <c r="BZ199" s="284"/>
      <c r="CA199" s="284"/>
      <c r="CB199" s="284"/>
      <c r="CC199" s="284"/>
      <c r="CD199" s="284"/>
      <c r="CE199" s="284"/>
      <c r="CF199" s="284"/>
    </row>
    <row r="200" spans="1:84" ht="12.6" customHeight="1" x14ac:dyDescent="0.25">
      <c r="A200" s="310" t="s">
        <v>336</v>
      </c>
      <c r="B200" s="311"/>
      <c r="C200" s="320"/>
      <c r="D200" s="311"/>
      <c r="E200" s="312">
        <v>0</v>
      </c>
      <c r="F200" s="306"/>
      <c r="G200" s="306"/>
      <c r="H200" s="306"/>
      <c r="I200" s="284"/>
      <c r="J200" s="284"/>
      <c r="K200" s="284"/>
      <c r="L200" s="284"/>
      <c r="M200" s="284"/>
      <c r="N200" s="284"/>
      <c r="O200" s="284"/>
      <c r="P200" s="284"/>
      <c r="Q200" s="284"/>
      <c r="R200" s="284"/>
      <c r="S200" s="284"/>
      <c r="T200" s="284"/>
      <c r="U200" s="284"/>
      <c r="V200" s="284"/>
      <c r="W200" s="284"/>
      <c r="X200" s="284"/>
      <c r="Y200" s="284"/>
      <c r="Z200" s="284"/>
      <c r="AA200" s="284"/>
      <c r="AB200" s="284"/>
      <c r="AC200" s="284"/>
      <c r="AD200" s="284"/>
      <c r="AE200" s="284"/>
      <c r="AF200" s="284"/>
      <c r="AG200" s="284"/>
      <c r="AH200" s="284"/>
      <c r="AI200" s="284"/>
      <c r="AJ200" s="284"/>
      <c r="AK200" s="284"/>
      <c r="AL200" s="284"/>
      <c r="AM200" s="284"/>
      <c r="AN200" s="284"/>
      <c r="AO200" s="284"/>
      <c r="AP200" s="284"/>
      <c r="AQ200" s="284"/>
      <c r="AR200" s="284"/>
      <c r="AS200" s="284"/>
      <c r="AT200" s="284"/>
      <c r="AU200" s="284"/>
      <c r="AV200" s="284"/>
      <c r="AW200" s="284"/>
      <c r="AX200" s="284"/>
      <c r="AY200" s="284"/>
      <c r="AZ200" s="284"/>
      <c r="BA200" s="284"/>
      <c r="BB200" s="284"/>
      <c r="BC200" s="284"/>
      <c r="BD200" s="284"/>
      <c r="BE200" s="284"/>
      <c r="BF200" s="284"/>
      <c r="BG200" s="284"/>
      <c r="BH200" s="284"/>
      <c r="BI200" s="284"/>
      <c r="BJ200" s="284"/>
      <c r="BK200" s="284"/>
      <c r="BL200" s="284"/>
      <c r="BM200" s="284"/>
      <c r="BN200" s="284"/>
      <c r="BO200" s="284"/>
      <c r="BP200" s="284"/>
      <c r="BQ200" s="284"/>
      <c r="BR200" s="284"/>
      <c r="BS200" s="284"/>
      <c r="BT200" s="284"/>
      <c r="BU200" s="284"/>
      <c r="BV200" s="284"/>
      <c r="BW200" s="284"/>
      <c r="BX200" s="284"/>
      <c r="BY200" s="284"/>
      <c r="BZ200" s="284"/>
      <c r="CA200" s="284"/>
      <c r="CB200" s="284"/>
      <c r="CC200" s="284"/>
      <c r="CD200" s="284"/>
      <c r="CE200" s="284"/>
      <c r="CF200" s="284"/>
    </row>
    <row r="201" spans="1:84" ht="12.6" customHeight="1" x14ac:dyDescent="0.25">
      <c r="A201" s="310" t="s">
        <v>337</v>
      </c>
      <c r="B201" s="311">
        <v>8040470</v>
      </c>
      <c r="C201" s="320">
        <v>391621</v>
      </c>
      <c r="D201" s="311">
        <v>272140</v>
      </c>
      <c r="E201" s="312">
        <v>8159951</v>
      </c>
      <c r="F201" s="306"/>
      <c r="G201" s="306"/>
      <c r="H201" s="306"/>
      <c r="I201" s="284"/>
      <c r="J201" s="284"/>
      <c r="K201" s="284"/>
      <c r="L201" s="284"/>
      <c r="M201" s="284"/>
      <c r="N201" s="284"/>
      <c r="O201" s="284"/>
      <c r="P201" s="284"/>
      <c r="Q201" s="284"/>
      <c r="R201" s="284"/>
      <c r="S201" s="284"/>
      <c r="T201" s="284"/>
      <c r="U201" s="284"/>
      <c r="V201" s="284"/>
      <c r="W201" s="284"/>
      <c r="X201" s="284"/>
      <c r="Y201" s="284"/>
      <c r="Z201" s="284"/>
      <c r="AA201" s="284"/>
      <c r="AB201" s="284"/>
      <c r="AC201" s="284"/>
      <c r="AD201" s="284"/>
      <c r="AE201" s="284"/>
      <c r="AF201" s="284"/>
      <c r="AG201" s="284"/>
      <c r="AH201" s="284"/>
      <c r="AI201" s="284"/>
      <c r="AJ201" s="284"/>
      <c r="AK201" s="284"/>
      <c r="AL201" s="284"/>
      <c r="AM201" s="284"/>
      <c r="AN201" s="284"/>
      <c r="AO201" s="284"/>
      <c r="AP201" s="284"/>
      <c r="AQ201" s="284"/>
      <c r="AR201" s="284"/>
      <c r="AS201" s="284"/>
      <c r="AT201" s="284"/>
      <c r="AU201" s="284"/>
      <c r="AV201" s="284"/>
      <c r="AW201" s="284"/>
      <c r="AX201" s="284"/>
      <c r="AY201" s="284"/>
      <c r="AZ201" s="284"/>
      <c r="BA201" s="284"/>
      <c r="BB201" s="284"/>
      <c r="BC201" s="284"/>
      <c r="BD201" s="284"/>
      <c r="BE201" s="284"/>
      <c r="BF201" s="284"/>
      <c r="BG201" s="284"/>
      <c r="BH201" s="284"/>
      <c r="BI201" s="284"/>
      <c r="BJ201" s="284"/>
      <c r="BK201" s="284"/>
      <c r="BL201" s="284"/>
      <c r="BM201" s="284"/>
      <c r="BN201" s="284"/>
      <c r="BO201" s="284"/>
      <c r="BP201" s="284"/>
      <c r="BQ201" s="284"/>
      <c r="BR201" s="284"/>
      <c r="BS201" s="284"/>
      <c r="BT201" s="284"/>
      <c r="BU201" s="284"/>
      <c r="BV201" s="284"/>
      <c r="BW201" s="284"/>
      <c r="BX201" s="284"/>
      <c r="BY201" s="284"/>
      <c r="BZ201" s="284"/>
      <c r="CA201" s="284"/>
      <c r="CB201" s="284"/>
      <c r="CC201" s="284"/>
      <c r="CD201" s="284"/>
      <c r="CE201" s="284"/>
      <c r="CF201" s="284"/>
    </row>
    <row r="202" spans="1:84" ht="12.6" customHeight="1" x14ac:dyDescent="0.25">
      <c r="A202" s="310" t="s">
        <v>338</v>
      </c>
      <c r="B202" s="311"/>
      <c r="C202" s="320"/>
      <c r="D202" s="311"/>
      <c r="E202" s="312">
        <v>0</v>
      </c>
      <c r="F202" s="306"/>
      <c r="G202" s="306"/>
      <c r="H202" s="306"/>
      <c r="I202" s="284"/>
      <c r="J202" s="284"/>
      <c r="K202" s="284"/>
      <c r="L202" s="284"/>
      <c r="M202" s="284"/>
      <c r="N202" s="284"/>
      <c r="O202" s="284"/>
      <c r="P202" s="284"/>
      <c r="Q202" s="284"/>
      <c r="R202" s="284"/>
      <c r="S202" s="284"/>
      <c r="T202" s="284"/>
      <c r="U202" s="284"/>
      <c r="V202" s="284"/>
      <c r="W202" s="284"/>
      <c r="X202" s="284"/>
      <c r="Y202" s="284"/>
      <c r="Z202" s="284"/>
      <c r="AA202" s="284"/>
      <c r="AB202" s="284"/>
      <c r="AC202" s="284"/>
      <c r="AD202" s="284"/>
      <c r="AE202" s="284"/>
      <c r="AF202" s="284"/>
      <c r="AG202" s="284"/>
      <c r="AH202" s="284"/>
      <c r="AI202" s="284"/>
      <c r="AJ202" s="284"/>
      <c r="AK202" s="284"/>
      <c r="AL202" s="284"/>
      <c r="AM202" s="284"/>
      <c r="AN202" s="284"/>
      <c r="AO202" s="284"/>
      <c r="AP202" s="284"/>
      <c r="AQ202" s="284"/>
      <c r="AR202" s="284"/>
      <c r="AS202" s="284"/>
      <c r="AT202" s="284"/>
      <c r="AU202" s="284"/>
      <c r="AV202" s="284"/>
      <c r="AW202" s="284"/>
      <c r="AX202" s="284"/>
      <c r="AY202" s="284"/>
      <c r="AZ202" s="284"/>
      <c r="BA202" s="284"/>
      <c r="BB202" s="284"/>
      <c r="BC202" s="284"/>
      <c r="BD202" s="284"/>
      <c r="BE202" s="284"/>
      <c r="BF202" s="284"/>
      <c r="BG202" s="284"/>
      <c r="BH202" s="284"/>
      <c r="BI202" s="284"/>
      <c r="BJ202" s="284"/>
      <c r="BK202" s="284"/>
      <c r="BL202" s="284"/>
      <c r="BM202" s="284"/>
      <c r="BN202" s="284"/>
      <c r="BO202" s="284"/>
      <c r="BP202" s="284"/>
      <c r="BQ202" s="284"/>
      <c r="BR202" s="284"/>
      <c r="BS202" s="284"/>
      <c r="BT202" s="284"/>
      <c r="BU202" s="284"/>
      <c r="BV202" s="284"/>
      <c r="BW202" s="284"/>
      <c r="BX202" s="284"/>
      <c r="BY202" s="284"/>
      <c r="BZ202" s="284"/>
      <c r="CA202" s="284"/>
      <c r="CB202" s="284"/>
      <c r="CC202" s="284"/>
      <c r="CD202" s="284"/>
      <c r="CE202" s="284"/>
      <c r="CF202" s="284"/>
    </row>
    <row r="203" spans="1:84" ht="12.6" customHeight="1" x14ac:dyDescent="0.25">
      <c r="A203" s="310" t="s">
        <v>339</v>
      </c>
      <c r="B203" s="311"/>
      <c r="C203" s="320"/>
      <c r="D203" s="311"/>
      <c r="E203" s="312">
        <v>0</v>
      </c>
      <c r="F203" s="306"/>
      <c r="G203" s="306"/>
      <c r="H203" s="306"/>
      <c r="I203" s="284"/>
      <c r="J203" s="284"/>
      <c r="K203" s="284"/>
      <c r="L203" s="284"/>
      <c r="M203" s="284"/>
      <c r="N203" s="284"/>
      <c r="O203" s="284"/>
      <c r="P203" s="284"/>
      <c r="Q203" s="284"/>
      <c r="R203" s="284"/>
      <c r="S203" s="284"/>
      <c r="T203" s="284"/>
      <c r="U203" s="284"/>
      <c r="V203" s="284"/>
      <c r="W203" s="284"/>
      <c r="X203" s="284"/>
      <c r="Y203" s="284"/>
      <c r="Z203" s="284"/>
      <c r="AA203" s="284"/>
      <c r="AB203" s="284"/>
      <c r="AC203" s="284"/>
      <c r="AD203" s="284"/>
      <c r="AE203" s="284"/>
      <c r="AF203" s="284"/>
      <c r="AG203" s="284"/>
      <c r="AH203" s="284"/>
      <c r="AI203" s="284"/>
      <c r="AJ203" s="284"/>
      <c r="AK203" s="284"/>
      <c r="AL203" s="284"/>
      <c r="AM203" s="284"/>
      <c r="AN203" s="284"/>
      <c r="AO203" s="284"/>
      <c r="AP203" s="284"/>
      <c r="AQ203" s="284"/>
      <c r="AR203" s="284"/>
      <c r="AS203" s="284"/>
      <c r="AT203" s="284"/>
      <c r="AU203" s="284"/>
      <c r="AV203" s="284"/>
      <c r="AW203" s="284"/>
      <c r="AX203" s="284"/>
      <c r="AY203" s="284"/>
      <c r="AZ203" s="284"/>
      <c r="BA203" s="284"/>
      <c r="BB203" s="284"/>
      <c r="BC203" s="284"/>
      <c r="BD203" s="284"/>
      <c r="BE203" s="284"/>
      <c r="BF203" s="284"/>
      <c r="BG203" s="284"/>
      <c r="BH203" s="284"/>
      <c r="BI203" s="284"/>
      <c r="BJ203" s="284"/>
      <c r="BK203" s="284"/>
      <c r="BL203" s="284"/>
      <c r="BM203" s="284"/>
      <c r="BN203" s="284"/>
      <c r="BO203" s="284"/>
      <c r="BP203" s="284"/>
      <c r="BQ203" s="284"/>
      <c r="BR203" s="284"/>
      <c r="BS203" s="284"/>
      <c r="BT203" s="284"/>
      <c r="BU203" s="284"/>
      <c r="BV203" s="284"/>
      <c r="BW203" s="284"/>
      <c r="BX203" s="284"/>
      <c r="BY203" s="284"/>
      <c r="BZ203" s="284"/>
      <c r="CA203" s="284"/>
      <c r="CB203" s="284"/>
      <c r="CC203" s="284"/>
      <c r="CD203" s="284"/>
      <c r="CE203" s="284"/>
      <c r="CF203" s="284"/>
    </row>
    <row r="204" spans="1:84" ht="12.6" customHeight="1" x14ac:dyDescent="0.25">
      <c r="A204" s="310" t="s">
        <v>340</v>
      </c>
      <c r="B204" s="311">
        <v>954417</v>
      </c>
      <c r="C204" s="320">
        <v>266470</v>
      </c>
      <c r="D204" s="311"/>
      <c r="E204" s="312">
        <v>1220887</v>
      </c>
      <c r="F204" s="306"/>
      <c r="G204" s="306"/>
      <c r="H204" s="306"/>
      <c r="I204" s="284"/>
      <c r="J204" s="284"/>
      <c r="K204" s="284"/>
      <c r="L204" s="284"/>
      <c r="M204" s="284"/>
      <c r="N204" s="284"/>
      <c r="O204" s="284"/>
      <c r="P204" s="284"/>
      <c r="Q204" s="284"/>
      <c r="R204" s="284"/>
      <c r="S204" s="284"/>
      <c r="T204" s="284"/>
      <c r="U204" s="284"/>
      <c r="V204" s="284"/>
      <c r="W204" s="284"/>
      <c r="X204" s="284"/>
      <c r="Y204" s="284"/>
      <c r="Z204" s="284"/>
      <c r="AA204" s="284"/>
      <c r="AB204" s="284"/>
      <c r="AC204" s="284"/>
      <c r="AD204" s="284"/>
      <c r="AE204" s="284"/>
      <c r="AF204" s="284"/>
      <c r="AG204" s="284"/>
      <c r="AH204" s="284"/>
      <c r="AI204" s="284"/>
      <c r="AJ204" s="284"/>
      <c r="AK204" s="284"/>
      <c r="AL204" s="284"/>
      <c r="AM204" s="284"/>
      <c r="AN204" s="284"/>
      <c r="AO204" s="284"/>
      <c r="AP204" s="284"/>
      <c r="AQ204" s="284"/>
      <c r="AR204" s="284"/>
      <c r="AS204" s="284"/>
      <c r="AT204" s="284"/>
      <c r="AU204" s="284"/>
      <c r="AV204" s="284"/>
      <c r="AW204" s="284"/>
      <c r="AX204" s="284"/>
      <c r="AY204" s="284"/>
      <c r="AZ204" s="284"/>
      <c r="BA204" s="284"/>
      <c r="BB204" s="284"/>
      <c r="BC204" s="284"/>
      <c r="BD204" s="284"/>
      <c r="BE204" s="284"/>
      <c r="BF204" s="284"/>
      <c r="BG204" s="284"/>
      <c r="BH204" s="284"/>
      <c r="BI204" s="284"/>
      <c r="BJ204" s="284"/>
      <c r="BK204" s="284"/>
      <c r="BL204" s="284"/>
      <c r="BM204" s="284"/>
      <c r="BN204" s="284"/>
      <c r="BO204" s="284"/>
      <c r="BP204" s="284"/>
      <c r="BQ204" s="284"/>
      <c r="BR204" s="284"/>
      <c r="BS204" s="284"/>
      <c r="BT204" s="284"/>
      <c r="BU204" s="284"/>
      <c r="BV204" s="284"/>
      <c r="BW204" s="284"/>
      <c r="BX204" s="284"/>
      <c r="BY204" s="284"/>
      <c r="BZ204" s="284"/>
      <c r="CA204" s="284"/>
      <c r="CB204" s="284"/>
      <c r="CC204" s="284"/>
      <c r="CD204" s="284"/>
      <c r="CE204" s="284"/>
      <c r="CF204" s="284"/>
    </row>
    <row r="205" spans="1:84" ht="12.6" customHeight="1" x14ac:dyDescent="0.25">
      <c r="A205" s="310" t="s">
        <v>203</v>
      </c>
      <c r="B205" s="312">
        <v>19873073</v>
      </c>
      <c r="C205" s="322">
        <v>658091</v>
      </c>
      <c r="D205" s="312">
        <v>272140</v>
      </c>
      <c r="E205" s="312">
        <v>20259024</v>
      </c>
      <c r="F205" s="306"/>
      <c r="G205" s="306"/>
      <c r="H205" s="306"/>
      <c r="I205" s="284"/>
      <c r="J205" s="284"/>
      <c r="K205" s="284"/>
      <c r="L205" s="284"/>
      <c r="M205" s="284"/>
      <c r="N205" s="284"/>
      <c r="O205" s="284"/>
      <c r="P205" s="284"/>
      <c r="Q205" s="284"/>
      <c r="R205" s="284"/>
      <c r="S205" s="284"/>
      <c r="T205" s="284"/>
      <c r="U205" s="284"/>
      <c r="V205" s="284"/>
      <c r="W205" s="284"/>
      <c r="X205" s="284"/>
      <c r="Y205" s="284"/>
      <c r="Z205" s="284"/>
      <c r="AA205" s="284"/>
      <c r="AB205" s="284"/>
      <c r="AC205" s="284"/>
      <c r="AD205" s="284"/>
      <c r="AE205" s="284"/>
      <c r="AF205" s="284"/>
      <c r="AG205" s="284"/>
      <c r="AH205" s="284"/>
      <c r="AI205" s="284"/>
      <c r="AJ205" s="284"/>
      <c r="AK205" s="284"/>
      <c r="AL205" s="284"/>
      <c r="AM205" s="284"/>
      <c r="AN205" s="284"/>
      <c r="AO205" s="284"/>
      <c r="AP205" s="284"/>
      <c r="AQ205" s="284"/>
      <c r="AR205" s="284"/>
      <c r="AS205" s="284"/>
      <c r="AT205" s="284"/>
      <c r="AU205" s="284"/>
      <c r="AV205" s="284"/>
      <c r="AW205" s="284"/>
      <c r="AX205" s="284"/>
      <c r="AY205" s="284"/>
      <c r="AZ205" s="284"/>
      <c r="BA205" s="284"/>
      <c r="BB205" s="284"/>
      <c r="BC205" s="284"/>
      <c r="BD205" s="284"/>
      <c r="BE205" s="284"/>
      <c r="BF205" s="284"/>
      <c r="BG205" s="284"/>
      <c r="BH205" s="284"/>
      <c r="BI205" s="284"/>
      <c r="BJ205" s="284"/>
      <c r="BK205" s="284"/>
      <c r="BL205" s="284"/>
      <c r="BM205" s="284"/>
      <c r="BN205" s="284"/>
      <c r="BO205" s="284"/>
      <c r="BP205" s="284"/>
      <c r="BQ205" s="284"/>
      <c r="BR205" s="284"/>
      <c r="BS205" s="284"/>
      <c r="BT205" s="284"/>
      <c r="BU205" s="284"/>
      <c r="BV205" s="284"/>
      <c r="BW205" s="284"/>
      <c r="BX205" s="284"/>
      <c r="BY205" s="284"/>
      <c r="BZ205" s="284"/>
      <c r="CA205" s="284"/>
      <c r="CB205" s="284"/>
      <c r="CC205" s="284"/>
      <c r="CD205" s="284"/>
      <c r="CE205" s="284"/>
      <c r="CF205" s="284"/>
    </row>
    <row r="206" spans="1:84" ht="12.6" customHeight="1" x14ac:dyDescent="0.25">
      <c r="A206" s="310"/>
      <c r="B206" s="310"/>
      <c r="C206" s="322"/>
      <c r="D206" s="312"/>
      <c r="E206" s="312"/>
      <c r="F206" s="306"/>
      <c r="G206" s="306"/>
      <c r="H206" s="306"/>
      <c r="I206" s="284"/>
      <c r="J206" s="284"/>
      <c r="K206" s="284"/>
      <c r="L206" s="284"/>
      <c r="M206" s="284"/>
      <c r="N206" s="284"/>
      <c r="O206" s="284"/>
      <c r="P206" s="284"/>
      <c r="Q206" s="284"/>
      <c r="R206" s="284"/>
      <c r="S206" s="284"/>
      <c r="T206" s="284"/>
      <c r="U206" s="284"/>
      <c r="V206" s="284"/>
      <c r="W206" s="284"/>
      <c r="X206" s="284"/>
      <c r="Y206" s="284"/>
      <c r="Z206" s="284"/>
      <c r="AA206" s="284"/>
      <c r="AB206" s="284"/>
      <c r="AC206" s="284"/>
      <c r="AD206" s="284"/>
      <c r="AE206" s="284"/>
      <c r="AF206" s="284"/>
      <c r="AG206" s="284"/>
      <c r="AH206" s="284"/>
      <c r="AI206" s="284"/>
      <c r="AJ206" s="284"/>
      <c r="AK206" s="284"/>
      <c r="AL206" s="284"/>
      <c r="AM206" s="284"/>
      <c r="AN206" s="284"/>
      <c r="AO206" s="284"/>
      <c r="AP206" s="284"/>
      <c r="AQ206" s="284"/>
      <c r="AR206" s="284"/>
      <c r="AS206" s="284"/>
      <c r="AT206" s="284"/>
      <c r="AU206" s="284"/>
      <c r="AV206" s="284"/>
      <c r="AW206" s="284"/>
      <c r="AX206" s="284"/>
      <c r="AY206" s="284"/>
      <c r="AZ206" s="284"/>
      <c r="BA206" s="284"/>
      <c r="BB206" s="284"/>
      <c r="BC206" s="284"/>
      <c r="BD206" s="284"/>
      <c r="BE206" s="284"/>
      <c r="BF206" s="284"/>
      <c r="BG206" s="284"/>
      <c r="BH206" s="284"/>
      <c r="BI206" s="284"/>
      <c r="BJ206" s="284"/>
      <c r="BK206" s="284"/>
      <c r="BL206" s="284"/>
      <c r="BM206" s="284"/>
      <c r="BN206" s="284"/>
      <c r="BO206" s="284"/>
      <c r="BP206" s="284"/>
      <c r="BQ206" s="284"/>
      <c r="BR206" s="284"/>
      <c r="BS206" s="284"/>
      <c r="BT206" s="284"/>
      <c r="BU206" s="284"/>
      <c r="BV206" s="284"/>
      <c r="BW206" s="284"/>
      <c r="BX206" s="284"/>
      <c r="BY206" s="284"/>
      <c r="BZ206" s="284"/>
      <c r="CA206" s="284"/>
      <c r="CB206" s="284"/>
      <c r="CC206" s="284"/>
      <c r="CD206" s="284"/>
      <c r="CE206" s="284"/>
      <c r="CF206" s="284"/>
    </row>
    <row r="207" spans="1:84" ht="12.6" customHeight="1" x14ac:dyDescent="0.25">
      <c r="A207" s="329" t="s">
        <v>341</v>
      </c>
      <c r="B207" s="329"/>
      <c r="C207" s="329"/>
      <c r="D207" s="329"/>
      <c r="E207" s="329"/>
      <c r="F207" s="306"/>
      <c r="G207" s="306"/>
      <c r="H207" s="306"/>
      <c r="I207" s="284"/>
      <c r="J207" s="284"/>
      <c r="K207" s="284"/>
      <c r="L207" s="284"/>
      <c r="M207" s="284"/>
      <c r="N207" s="284"/>
      <c r="O207" s="284"/>
      <c r="P207" s="284"/>
      <c r="Q207" s="284"/>
      <c r="R207" s="284"/>
      <c r="S207" s="284"/>
      <c r="T207" s="284"/>
      <c r="U207" s="284"/>
      <c r="V207" s="284"/>
      <c r="W207" s="284"/>
      <c r="X207" s="284"/>
      <c r="Y207" s="284"/>
      <c r="Z207" s="284"/>
      <c r="AA207" s="284"/>
      <c r="AB207" s="284"/>
      <c r="AC207" s="284"/>
      <c r="AD207" s="284"/>
      <c r="AE207" s="284"/>
      <c r="AF207" s="284"/>
      <c r="AG207" s="284"/>
      <c r="AH207" s="284"/>
      <c r="AI207" s="284"/>
      <c r="AJ207" s="284"/>
      <c r="AK207" s="284"/>
      <c r="AL207" s="284"/>
      <c r="AM207" s="284"/>
      <c r="AN207" s="284"/>
      <c r="AO207" s="284"/>
      <c r="AP207" s="284"/>
      <c r="AQ207" s="284"/>
      <c r="AR207" s="284"/>
      <c r="AS207" s="284"/>
      <c r="AT207" s="284"/>
      <c r="AU207" s="284"/>
      <c r="AV207" s="284"/>
      <c r="AW207" s="284"/>
      <c r="AX207" s="284"/>
      <c r="AY207" s="284"/>
      <c r="AZ207" s="284"/>
      <c r="BA207" s="284"/>
      <c r="BB207" s="284"/>
      <c r="BC207" s="284"/>
      <c r="BD207" s="284"/>
      <c r="BE207" s="284"/>
      <c r="BF207" s="284"/>
      <c r="BG207" s="284"/>
      <c r="BH207" s="284"/>
      <c r="BI207" s="284"/>
      <c r="BJ207" s="284"/>
      <c r="BK207" s="284"/>
      <c r="BL207" s="284"/>
      <c r="BM207" s="284"/>
      <c r="BN207" s="284"/>
      <c r="BO207" s="284"/>
      <c r="BP207" s="284"/>
      <c r="BQ207" s="284"/>
      <c r="BR207" s="284"/>
      <c r="BS207" s="284"/>
      <c r="BT207" s="284"/>
      <c r="BU207" s="284"/>
      <c r="BV207" s="284"/>
      <c r="BW207" s="284"/>
      <c r="BX207" s="284"/>
      <c r="BY207" s="284"/>
      <c r="BZ207" s="284"/>
      <c r="CA207" s="284"/>
      <c r="CB207" s="284"/>
      <c r="CC207" s="284"/>
      <c r="CD207" s="284"/>
      <c r="CE207" s="284"/>
      <c r="CF207" s="284"/>
    </row>
    <row r="208" spans="1:84" ht="12.6" customHeight="1" x14ac:dyDescent="0.25">
      <c r="A208" s="308"/>
      <c r="B208" s="307" t="s">
        <v>328</v>
      </c>
      <c r="C208" s="316" t="s">
        <v>329</v>
      </c>
      <c r="D208" s="307" t="s">
        <v>330</v>
      </c>
      <c r="E208" s="307" t="s">
        <v>331</v>
      </c>
      <c r="F208" s="306"/>
      <c r="G208" s="306"/>
      <c r="H208" s="341"/>
      <c r="I208" s="284"/>
      <c r="J208" s="284"/>
      <c r="K208" s="284"/>
      <c r="L208" s="284"/>
      <c r="M208" s="284"/>
      <c r="N208" s="284"/>
      <c r="O208" s="284"/>
      <c r="P208" s="284"/>
      <c r="Q208" s="284"/>
      <c r="R208" s="284"/>
      <c r="S208" s="284"/>
      <c r="T208" s="284"/>
      <c r="U208" s="284"/>
      <c r="V208" s="284"/>
      <c r="W208" s="284"/>
      <c r="X208" s="284"/>
      <c r="Y208" s="284"/>
      <c r="Z208" s="284"/>
      <c r="AA208" s="284"/>
      <c r="AB208" s="284"/>
      <c r="AC208" s="284"/>
      <c r="AD208" s="284"/>
      <c r="AE208" s="284"/>
      <c r="AF208" s="284"/>
      <c r="AG208" s="284"/>
      <c r="AH208" s="284"/>
      <c r="AI208" s="284"/>
      <c r="AJ208" s="284"/>
      <c r="AK208" s="284"/>
      <c r="AL208" s="284"/>
      <c r="AM208" s="284"/>
      <c r="AN208" s="284"/>
      <c r="AO208" s="284"/>
      <c r="AP208" s="284"/>
      <c r="AQ208" s="284"/>
      <c r="AR208" s="284"/>
      <c r="AS208" s="284"/>
      <c r="AT208" s="284"/>
      <c r="AU208" s="284"/>
      <c r="AV208" s="284"/>
      <c r="AW208" s="284"/>
      <c r="AX208" s="284"/>
      <c r="AY208" s="284"/>
      <c r="AZ208" s="284"/>
      <c r="BA208" s="284"/>
      <c r="BB208" s="284"/>
      <c r="BC208" s="284"/>
      <c r="BD208" s="284"/>
      <c r="BE208" s="284"/>
      <c r="BF208" s="284"/>
      <c r="BG208" s="284"/>
      <c r="BH208" s="284"/>
      <c r="BI208" s="284"/>
      <c r="BJ208" s="284"/>
      <c r="BK208" s="284"/>
      <c r="BL208" s="284"/>
      <c r="BM208" s="284"/>
      <c r="BN208" s="284"/>
      <c r="BO208" s="284"/>
      <c r="BP208" s="284"/>
      <c r="BQ208" s="284"/>
      <c r="BR208" s="284"/>
      <c r="BS208" s="284"/>
      <c r="BT208" s="284"/>
      <c r="BU208" s="284"/>
      <c r="BV208" s="284"/>
      <c r="BW208" s="284"/>
      <c r="BX208" s="284"/>
      <c r="BY208" s="284"/>
      <c r="BZ208" s="284"/>
      <c r="CA208" s="284"/>
      <c r="CB208" s="284"/>
      <c r="CC208" s="284"/>
      <c r="CD208" s="284"/>
      <c r="CE208" s="284"/>
      <c r="CF208" s="284"/>
    </row>
    <row r="209" spans="1:84" ht="12.6" customHeight="1" x14ac:dyDescent="0.25">
      <c r="A209" s="310" t="s">
        <v>332</v>
      </c>
      <c r="B209" s="315"/>
      <c r="C209" s="324"/>
      <c r="D209" s="315"/>
      <c r="E209" s="312"/>
      <c r="F209" s="306"/>
      <c r="G209" s="306"/>
      <c r="H209" s="341"/>
      <c r="I209" s="284"/>
      <c r="J209" s="284"/>
      <c r="K209" s="284"/>
      <c r="L209" s="284"/>
      <c r="M209" s="284"/>
      <c r="N209" s="284"/>
      <c r="O209" s="284"/>
      <c r="P209" s="284"/>
      <c r="Q209" s="284"/>
      <c r="R209" s="284"/>
      <c r="S209" s="284"/>
      <c r="T209" s="284"/>
      <c r="U209" s="284"/>
      <c r="V209" s="284"/>
      <c r="W209" s="284"/>
      <c r="X209" s="284"/>
      <c r="Y209" s="284"/>
      <c r="Z209" s="284"/>
      <c r="AA209" s="284"/>
      <c r="AB209" s="284"/>
      <c r="AC209" s="284"/>
      <c r="AD209" s="284"/>
      <c r="AE209" s="284"/>
      <c r="AF209" s="284"/>
      <c r="AG209" s="284"/>
      <c r="AH209" s="284"/>
      <c r="AI209" s="284"/>
      <c r="AJ209" s="284"/>
      <c r="AK209" s="284"/>
      <c r="AL209" s="284"/>
      <c r="AM209" s="284"/>
      <c r="AN209" s="284"/>
      <c r="AO209" s="284"/>
      <c r="AP209" s="284"/>
      <c r="AQ209" s="284"/>
      <c r="AR209" s="284"/>
      <c r="AS209" s="284"/>
      <c r="AT209" s="284"/>
      <c r="AU209" s="284"/>
      <c r="AV209" s="284"/>
      <c r="AW209" s="284"/>
      <c r="AX209" s="284"/>
      <c r="AY209" s="284"/>
      <c r="AZ209" s="284"/>
      <c r="BA209" s="284"/>
      <c r="BB209" s="284"/>
      <c r="BC209" s="284"/>
      <c r="BD209" s="284"/>
      <c r="BE209" s="284"/>
      <c r="BF209" s="284"/>
      <c r="BG209" s="284"/>
      <c r="BH209" s="284"/>
      <c r="BI209" s="284"/>
      <c r="BJ209" s="284"/>
      <c r="BK209" s="284"/>
      <c r="BL209" s="284"/>
      <c r="BM209" s="284"/>
      <c r="BN209" s="284"/>
      <c r="BO209" s="284"/>
      <c r="BP209" s="284"/>
      <c r="BQ209" s="284"/>
      <c r="BR209" s="284"/>
      <c r="BS209" s="284"/>
      <c r="BT209" s="284"/>
      <c r="BU209" s="284"/>
      <c r="BV209" s="284"/>
      <c r="BW209" s="284"/>
      <c r="BX209" s="284"/>
      <c r="BY209" s="284"/>
      <c r="BZ209" s="284"/>
      <c r="CA209" s="284"/>
      <c r="CB209" s="284"/>
      <c r="CC209" s="284"/>
      <c r="CD209" s="284"/>
      <c r="CE209" s="284"/>
      <c r="CF209" s="284"/>
    </row>
    <row r="210" spans="1:84" ht="12.6" customHeight="1" x14ac:dyDescent="0.25">
      <c r="A210" s="310" t="s">
        <v>333</v>
      </c>
      <c r="B210" s="363">
        <v>392232</v>
      </c>
      <c r="C210" s="362">
        <v>43247</v>
      </c>
      <c r="D210" s="363"/>
      <c r="E210" s="312">
        <v>435479</v>
      </c>
      <c r="F210" s="306"/>
      <c r="G210" s="306"/>
      <c r="H210" s="341"/>
      <c r="I210" s="284"/>
      <c r="J210" s="284"/>
      <c r="K210" s="284"/>
      <c r="L210" s="284"/>
      <c r="M210" s="284"/>
      <c r="N210" s="284"/>
      <c r="O210" s="284"/>
      <c r="P210" s="284"/>
      <c r="Q210" s="284"/>
      <c r="R210" s="284"/>
      <c r="S210" s="284"/>
      <c r="T210" s="284"/>
      <c r="U210" s="284"/>
      <c r="V210" s="284"/>
      <c r="W210" s="284"/>
      <c r="X210" s="284"/>
      <c r="Y210" s="284"/>
      <c r="Z210" s="284"/>
      <c r="AA210" s="284"/>
      <c r="AB210" s="284"/>
      <c r="AC210" s="284"/>
      <c r="AD210" s="284"/>
      <c r="AE210" s="284"/>
      <c r="AF210" s="284"/>
      <c r="AG210" s="284"/>
      <c r="AH210" s="284"/>
      <c r="AI210" s="284"/>
      <c r="AJ210" s="284"/>
      <c r="AK210" s="284"/>
      <c r="AL210" s="284"/>
      <c r="AM210" s="284"/>
      <c r="AN210" s="284"/>
      <c r="AO210" s="284"/>
      <c r="AP210" s="284"/>
      <c r="AQ210" s="284"/>
      <c r="AR210" s="284"/>
      <c r="AS210" s="284"/>
      <c r="AT210" s="284"/>
      <c r="AU210" s="284"/>
      <c r="AV210" s="284"/>
      <c r="AW210" s="284"/>
      <c r="AX210" s="284"/>
      <c r="AY210" s="284"/>
      <c r="AZ210" s="284"/>
      <c r="BA210" s="284"/>
      <c r="BB210" s="284"/>
      <c r="BC210" s="284"/>
      <c r="BD210" s="284"/>
      <c r="BE210" s="284"/>
      <c r="BF210" s="284"/>
      <c r="BG210" s="284"/>
      <c r="BH210" s="284"/>
      <c r="BI210" s="284"/>
      <c r="BJ210" s="284"/>
      <c r="BK210" s="284"/>
      <c r="BL210" s="284"/>
      <c r="BM210" s="284"/>
      <c r="BN210" s="284"/>
      <c r="BO210" s="284"/>
      <c r="BP210" s="284"/>
      <c r="BQ210" s="284"/>
      <c r="BR210" s="284"/>
      <c r="BS210" s="284"/>
      <c r="BT210" s="284"/>
      <c r="BU210" s="284"/>
      <c r="BV210" s="284"/>
      <c r="BW210" s="284"/>
      <c r="BX210" s="284"/>
      <c r="BY210" s="284"/>
      <c r="BZ210" s="284"/>
      <c r="CA210" s="284"/>
      <c r="CB210" s="284"/>
      <c r="CC210" s="284"/>
      <c r="CD210" s="284"/>
      <c r="CE210" s="284"/>
      <c r="CF210" s="284"/>
    </row>
    <row r="211" spans="1:84" ht="12.6" customHeight="1" x14ac:dyDescent="0.25">
      <c r="A211" s="310" t="s">
        <v>334</v>
      </c>
      <c r="B211" s="363">
        <v>4042799</v>
      </c>
      <c r="C211" s="362">
        <v>140917</v>
      </c>
      <c r="D211" s="363"/>
      <c r="E211" s="312">
        <v>4183716</v>
      </c>
      <c r="F211" s="306"/>
      <c r="G211" s="306"/>
      <c r="H211" s="341"/>
      <c r="I211" s="284"/>
      <c r="J211" s="284"/>
      <c r="K211" s="284"/>
      <c r="L211" s="284"/>
      <c r="M211" s="284"/>
      <c r="N211" s="284"/>
      <c r="O211" s="284"/>
      <c r="P211" s="284"/>
      <c r="Q211" s="284"/>
      <c r="R211" s="284"/>
      <c r="S211" s="284"/>
      <c r="T211" s="284"/>
      <c r="U211" s="284"/>
      <c r="V211" s="284"/>
      <c r="W211" s="284"/>
      <c r="X211" s="284"/>
      <c r="Y211" s="284"/>
      <c r="Z211" s="284"/>
      <c r="AA211" s="284"/>
      <c r="AB211" s="284"/>
      <c r="AC211" s="284"/>
      <c r="AD211" s="284"/>
      <c r="AE211" s="284"/>
      <c r="AF211" s="284"/>
      <c r="AG211" s="284"/>
      <c r="AH211" s="284"/>
      <c r="AI211" s="284"/>
      <c r="AJ211" s="284"/>
      <c r="AK211" s="284"/>
      <c r="AL211" s="284"/>
      <c r="AM211" s="284"/>
      <c r="AN211" s="284"/>
      <c r="AO211" s="284"/>
      <c r="AP211" s="284"/>
      <c r="AQ211" s="284"/>
      <c r="AR211" s="284"/>
      <c r="AS211" s="284"/>
      <c r="AT211" s="284"/>
      <c r="AU211" s="284"/>
      <c r="AV211" s="284"/>
      <c r="AW211" s="284"/>
      <c r="AX211" s="284"/>
      <c r="AY211" s="284"/>
      <c r="AZ211" s="284"/>
      <c r="BA211" s="284"/>
      <c r="BB211" s="284"/>
      <c r="BC211" s="284"/>
      <c r="BD211" s="284"/>
      <c r="BE211" s="284"/>
      <c r="BF211" s="284"/>
      <c r="BG211" s="284"/>
      <c r="BH211" s="284"/>
      <c r="BI211" s="284"/>
      <c r="BJ211" s="284"/>
      <c r="BK211" s="284"/>
      <c r="BL211" s="284"/>
      <c r="BM211" s="284"/>
      <c r="BN211" s="284"/>
      <c r="BO211" s="284"/>
      <c r="BP211" s="284"/>
      <c r="BQ211" s="284"/>
      <c r="BR211" s="284"/>
      <c r="BS211" s="284"/>
      <c r="BT211" s="284"/>
      <c r="BU211" s="284"/>
      <c r="BV211" s="284"/>
      <c r="BW211" s="284"/>
      <c r="BX211" s="284"/>
      <c r="BY211" s="284"/>
      <c r="BZ211" s="284"/>
      <c r="CA211" s="284"/>
      <c r="CB211" s="284"/>
      <c r="CC211" s="284"/>
      <c r="CD211" s="284"/>
      <c r="CE211" s="284"/>
      <c r="CF211" s="284"/>
    </row>
    <row r="212" spans="1:84" ht="12.6" customHeight="1" x14ac:dyDescent="0.25">
      <c r="A212" s="310" t="s">
        <v>335</v>
      </c>
      <c r="B212" s="363">
        <v>839169</v>
      </c>
      <c r="C212" s="362">
        <v>15705</v>
      </c>
      <c r="D212" s="311"/>
      <c r="E212" s="312">
        <v>854874</v>
      </c>
      <c r="F212" s="306"/>
      <c r="G212" s="306"/>
      <c r="H212" s="341"/>
      <c r="I212" s="284"/>
      <c r="J212" s="284"/>
      <c r="K212" s="284"/>
      <c r="L212" s="284"/>
      <c r="M212" s="284"/>
      <c r="N212" s="284"/>
      <c r="O212" s="284"/>
      <c r="P212" s="284"/>
      <c r="Q212" s="284"/>
      <c r="R212" s="284"/>
      <c r="S212" s="284"/>
      <c r="T212" s="284"/>
      <c r="U212" s="284"/>
      <c r="V212" s="284"/>
      <c r="W212" s="284"/>
      <c r="X212" s="284"/>
      <c r="Y212" s="284"/>
      <c r="Z212" s="284"/>
      <c r="AA212" s="284"/>
      <c r="AB212" s="284"/>
      <c r="AC212" s="284"/>
      <c r="AD212" s="284"/>
      <c r="AE212" s="284"/>
      <c r="AF212" s="284"/>
      <c r="AG212" s="284"/>
      <c r="AH212" s="284"/>
      <c r="AI212" s="284"/>
      <c r="AJ212" s="284"/>
      <c r="AK212" s="284"/>
      <c r="AL212" s="284"/>
      <c r="AM212" s="284"/>
      <c r="AN212" s="284"/>
      <c r="AO212" s="284"/>
      <c r="AP212" s="284"/>
      <c r="AQ212" s="284"/>
      <c r="AR212" s="284"/>
      <c r="AS212" s="284"/>
      <c r="AT212" s="284"/>
      <c r="AU212" s="284"/>
      <c r="AV212" s="284"/>
      <c r="AW212" s="284"/>
      <c r="AX212" s="284"/>
      <c r="AY212" s="284"/>
      <c r="AZ212" s="284"/>
      <c r="BA212" s="284"/>
      <c r="BB212" s="284"/>
      <c r="BC212" s="284"/>
      <c r="BD212" s="284"/>
      <c r="BE212" s="284"/>
      <c r="BF212" s="284"/>
      <c r="BG212" s="284"/>
      <c r="BH212" s="284"/>
      <c r="BI212" s="284"/>
      <c r="BJ212" s="284"/>
      <c r="BK212" s="284"/>
      <c r="BL212" s="284"/>
      <c r="BM212" s="284"/>
      <c r="BN212" s="284"/>
      <c r="BO212" s="284"/>
      <c r="BP212" s="284"/>
      <c r="BQ212" s="284"/>
      <c r="BR212" s="284"/>
      <c r="BS212" s="284"/>
      <c r="BT212" s="284"/>
      <c r="BU212" s="284"/>
      <c r="BV212" s="284"/>
      <c r="BW212" s="284"/>
      <c r="BX212" s="284"/>
      <c r="BY212" s="284"/>
      <c r="BZ212" s="284"/>
      <c r="CA212" s="284"/>
      <c r="CB212" s="284"/>
      <c r="CC212" s="284"/>
      <c r="CD212" s="284"/>
      <c r="CE212" s="284"/>
      <c r="CF212" s="284"/>
    </row>
    <row r="213" spans="1:84" ht="12.6" customHeight="1" x14ac:dyDescent="0.25">
      <c r="A213" s="310" t="s">
        <v>336</v>
      </c>
      <c r="B213" s="311"/>
      <c r="C213" s="320"/>
      <c r="D213" s="311"/>
      <c r="E213" s="312">
        <v>0</v>
      </c>
      <c r="F213" s="306"/>
      <c r="G213" s="306"/>
      <c r="H213" s="341"/>
      <c r="I213" s="284"/>
      <c r="J213" s="284"/>
      <c r="K213" s="284"/>
      <c r="L213" s="284"/>
      <c r="M213" s="284"/>
      <c r="N213" s="284"/>
      <c r="O213" s="284"/>
      <c r="P213" s="284"/>
      <c r="Q213" s="284"/>
      <c r="R213" s="284"/>
      <c r="S213" s="284"/>
      <c r="T213" s="284"/>
      <c r="U213" s="284"/>
      <c r="V213" s="284"/>
      <c r="W213" s="284"/>
      <c r="X213" s="284"/>
      <c r="Y213" s="284"/>
      <c r="Z213" s="284"/>
      <c r="AA213" s="284"/>
      <c r="AB213" s="284"/>
      <c r="AC213" s="284"/>
      <c r="AD213" s="284"/>
      <c r="AE213" s="284"/>
      <c r="AF213" s="284"/>
      <c r="AG213" s="284"/>
      <c r="AH213" s="284"/>
      <c r="AI213" s="284"/>
      <c r="AJ213" s="284"/>
      <c r="AK213" s="284"/>
      <c r="AL213" s="284"/>
      <c r="AM213" s="284"/>
      <c r="AN213" s="284"/>
      <c r="AO213" s="284"/>
      <c r="AP213" s="284"/>
      <c r="AQ213" s="284"/>
      <c r="AR213" s="284"/>
      <c r="AS213" s="284"/>
      <c r="AT213" s="284"/>
      <c r="AU213" s="284"/>
      <c r="AV213" s="284"/>
      <c r="AW213" s="284"/>
      <c r="AX213" s="284"/>
      <c r="AY213" s="284"/>
      <c r="AZ213" s="284"/>
      <c r="BA213" s="284"/>
      <c r="BB213" s="284"/>
      <c r="BC213" s="284"/>
      <c r="BD213" s="284"/>
      <c r="BE213" s="284"/>
      <c r="BF213" s="284"/>
      <c r="BG213" s="284"/>
      <c r="BH213" s="284"/>
      <c r="BI213" s="284"/>
      <c r="BJ213" s="284"/>
      <c r="BK213" s="284"/>
      <c r="BL213" s="284"/>
      <c r="BM213" s="284"/>
      <c r="BN213" s="284"/>
      <c r="BO213" s="284"/>
      <c r="BP213" s="284"/>
      <c r="BQ213" s="284"/>
      <c r="BR213" s="284"/>
      <c r="BS213" s="284"/>
      <c r="BT213" s="284"/>
      <c r="BU213" s="284"/>
      <c r="BV213" s="284"/>
      <c r="BW213" s="284"/>
      <c r="BX213" s="284"/>
      <c r="BY213" s="284"/>
      <c r="BZ213" s="284"/>
      <c r="CA213" s="284"/>
      <c r="CB213" s="284"/>
      <c r="CC213" s="284"/>
      <c r="CD213" s="284"/>
      <c r="CE213" s="284"/>
      <c r="CF213" s="284"/>
    </row>
    <row r="214" spans="1:84" ht="12.6" customHeight="1" x14ac:dyDescent="0.25">
      <c r="A214" s="310" t="s">
        <v>337</v>
      </c>
      <c r="B214" s="311">
        <v>6292021</v>
      </c>
      <c r="C214" s="320">
        <v>544020</v>
      </c>
      <c r="D214" s="311">
        <v>272140</v>
      </c>
      <c r="E214" s="312">
        <v>6563901</v>
      </c>
      <c r="F214" s="306"/>
      <c r="G214" s="306"/>
      <c r="H214" s="341"/>
      <c r="I214" s="284"/>
      <c r="J214" s="284"/>
      <c r="K214" s="284"/>
      <c r="L214" s="284"/>
      <c r="M214" s="284"/>
      <c r="N214" s="284"/>
      <c r="O214" s="284"/>
      <c r="P214" s="284"/>
      <c r="Q214" s="284"/>
      <c r="R214" s="284"/>
      <c r="S214" s="284"/>
      <c r="T214" s="284"/>
      <c r="U214" s="284"/>
      <c r="V214" s="284"/>
      <c r="W214" s="284"/>
      <c r="X214" s="284"/>
      <c r="Y214" s="284"/>
      <c r="Z214" s="284"/>
      <c r="AA214" s="284"/>
      <c r="AB214" s="284"/>
      <c r="AC214" s="284"/>
      <c r="AD214" s="284"/>
      <c r="AE214" s="284"/>
      <c r="AF214" s="284"/>
      <c r="AG214" s="284"/>
      <c r="AH214" s="284"/>
      <c r="AI214" s="284"/>
      <c r="AJ214" s="284"/>
      <c r="AK214" s="284"/>
      <c r="AL214" s="284"/>
      <c r="AM214" s="284"/>
      <c r="AN214" s="284"/>
      <c r="AO214" s="284"/>
      <c r="AP214" s="284"/>
      <c r="AQ214" s="284"/>
      <c r="AR214" s="284"/>
      <c r="AS214" s="284"/>
      <c r="AT214" s="284"/>
      <c r="AU214" s="284"/>
      <c r="AV214" s="284"/>
      <c r="AW214" s="284"/>
      <c r="AX214" s="284"/>
      <c r="AY214" s="284"/>
      <c r="AZ214" s="284"/>
      <c r="BA214" s="284"/>
      <c r="BB214" s="284"/>
      <c r="BC214" s="284"/>
      <c r="BD214" s="284"/>
      <c r="BE214" s="284"/>
      <c r="BF214" s="284"/>
      <c r="BG214" s="284"/>
      <c r="BH214" s="284"/>
      <c r="BI214" s="284"/>
      <c r="BJ214" s="284"/>
      <c r="BK214" s="284"/>
      <c r="BL214" s="284"/>
      <c r="BM214" s="284"/>
      <c r="BN214" s="284"/>
      <c r="BO214" s="284"/>
      <c r="BP214" s="284"/>
      <c r="BQ214" s="284"/>
      <c r="BR214" s="284"/>
      <c r="BS214" s="284"/>
      <c r="BT214" s="284"/>
      <c r="BU214" s="284"/>
      <c r="BV214" s="284"/>
      <c r="BW214" s="284"/>
      <c r="BX214" s="284"/>
      <c r="BY214" s="284"/>
      <c r="BZ214" s="284"/>
      <c r="CA214" s="284"/>
      <c r="CB214" s="284"/>
      <c r="CC214" s="284"/>
      <c r="CD214" s="284"/>
      <c r="CE214" s="284"/>
      <c r="CF214" s="284"/>
    </row>
    <row r="215" spans="1:84" ht="12.6" customHeight="1" x14ac:dyDescent="0.25">
      <c r="A215" s="310" t="s">
        <v>338</v>
      </c>
      <c r="B215" s="311"/>
      <c r="C215" s="320"/>
      <c r="D215" s="311"/>
      <c r="E215" s="312">
        <v>0</v>
      </c>
      <c r="F215" s="306"/>
      <c r="G215" s="306"/>
      <c r="H215" s="341"/>
      <c r="I215" s="284"/>
      <c r="J215" s="284"/>
      <c r="K215" s="284"/>
      <c r="L215" s="284"/>
      <c r="M215" s="284"/>
      <c r="N215" s="284"/>
      <c r="O215" s="284"/>
      <c r="P215" s="284"/>
      <c r="Q215" s="284"/>
      <c r="R215" s="284"/>
      <c r="S215" s="284"/>
      <c r="T215" s="284"/>
      <c r="U215" s="284"/>
      <c r="V215" s="284"/>
      <c r="W215" s="284"/>
      <c r="X215" s="284"/>
      <c r="Y215" s="284"/>
      <c r="Z215" s="284"/>
      <c r="AA215" s="284"/>
      <c r="AB215" s="284"/>
      <c r="AC215" s="284"/>
      <c r="AD215" s="284"/>
      <c r="AE215" s="284"/>
      <c r="AF215" s="284"/>
      <c r="AG215" s="284"/>
      <c r="AH215" s="284"/>
      <c r="AI215" s="284"/>
      <c r="AJ215" s="284"/>
      <c r="AK215" s="284"/>
      <c r="AL215" s="284"/>
      <c r="AM215" s="284"/>
      <c r="AN215" s="284"/>
      <c r="AO215" s="284"/>
      <c r="AP215" s="284"/>
      <c r="AQ215" s="284"/>
      <c r="AR215" s="284"/>
      <c r="AS215" s="284"/>
      <c r="AT215" s="284"/>
      <c r="AU215" s="284"/>
      <c r="AV215" s="284"/>
      <c r="AW215" s="284"/>
      <c r="AX215" s="284"/>
      <c r="AY215" s="284"/>
      <c r="AZ215" s="284"/>
      <c r="BA215" s="284"/>
      <c r="BB215" s="284"/>
      <c r="BC215" s="284"/>
      <c r="BD215" s="284"/>
      <c r="BE215" s="284"/>
      <c r="BF215" s="284"/>
      <c r="BG215" s="284"/>
      <c r="BH215" s="284"/>
      <c r="BI215" s="284"/>
      <c r="BJ215" s="284"/>
      <c r="BK215" s="284"/>
      <c r="BL215" s="284"/>
      <c r="BM215" s="284"/>
      <c r="BN215" s="284"/>
      <c r="BO215" s="284"/>
      <c r="BP215" s="284"/>
      <c r="BQ215" s="284"/>
      <c r="BR215" s="284"/>
      <c r="BS215" s="284"/>
      <c r="BT215" s="284"/>
      <c r="BU215" s="284"/>
      <c r="BV215" s="284"/>
      <c r="BW215" s="284"/>
      <c r="BX215" s="284"/>
      <c r="BY215" s="284"/>
      <c r="BZ215" s="284"/>
      <c r="CA215" s="284"/>
      <c r="CB215" s="284"/>
      <c r="CC215" s="284"/>
      <c r="CD215" s="284"/>
      <c r="CE215" s="284"/>
      <c r="CF215" s="284"/>
    </row>
    <row r="216" spans="1:84" ht="12.6" customHeight="1" x14ac:dyDescent="0.25">
      <c r="A216" s="310" t="s">
        <v>339</v>
      </c>
      <c r="B216" s="311"/>
      <c r="C216" s="320"/>
      <c r="D216" s="311"/>
      <c r="E216" s="312">
        <v>0</v>
      </c>
      <c r="F216" s="306"/>
      <c r="G216" s="306"/>
      <c r="H216" s="341"/>
      <c r="I216" s="284"/>
      <c r="J216" s="284"/>
      <c r="K216" s="284"/>
      <c r="L216" s="284"/>
      <c r="M216" s="284"/>
      <c r="N216" s="284"/>
      <c r="O216" s="284"/>
      <c r="P216" s="284"/>
      <c r="Q216" s="284"/>
      <c r="R216" s="284"/>
      <c r="S216" s="284"/>
      <c r="T216" s="284"/>
      <c r="U216" s="284"/>
      <c r="V216" s="284"/>
      <c r="W216" s="284"/>
      <c r="X216" s="284"/>
      <c r="Y216" s="284"/>
      <c r="Z216" s="284"/>
      <c r="AA216" s="284"/>
      <c r="AB216" s="284"/>
      <c r="AC216" s="284"/>
      <c r="AD216" s="284"/>
      <c r="AE216" s="284"/>
      <c r="AF216" s="284"/>
      <c r="AG216" s="284"/>
      <c r="AH216" s="284"/>
      <c r="AI216" s="284"/>
      <c r="AJ216" s="284"/>
      <c r="AK216" s="284"/>
      <c r="AL216" s="284"/>
      <c r="AM216" s="284"/>
      <c r="AN216" s="284"/>
      <c r="AO216" s="284"/>
      <c r="AP216" s="284"/>
      <c r="AQ216" s="284"/>
      <c r="AR216" s="284"/>
      <c r="AS216" s="284"/>
      <c r="AT216" s="284"/>
      <c r="AU216" s="284"/>
      <c r="AV216" s="284"/>
      <c r="AW216" s="284"/>
      <c r="AX216" s="284"/>
      <c r="AY216" s="284"/>
      <c r="AZ216" s="284"/>
      <c r="BA216" s="284"/>
      <c r="BB216" s="284"/>
      <c r="BC216" s="284"/>
      <c r="BD216" s="284"/>
      <c r="BE216" s="284"/>
      <c r="BF216" s="284"/>
      <c r="BG216" s="284"/>
      <c r="BH216" s="284"/>
      <c r="BI216" s="284"/>
      <c r="BJ216" s="284"/>
      <c r="BK216" s="284"/>
      <c r="BL216" s="284"/>
      <c r="BM216" s="284"/>
      <c r="BN216" s="284"/>
      <c r="BO216" s="284"/>
      <c r="BP216" s="284"/>
      <c r="BQ216" s="284"/>
      <c r="BR216" s="284"/>
      <c r="BS216" s="284"/>
      <c r="BT216" s="284"/>
      <c r="BU216" s="284"/>
      <c r="BV216" s="284"/>
      <c r="BW216" s="284"/>
      <c r="BX216" s="284"/>
      <c r="BY216" s="284"/>
      <c r="BZ216" s="284"/>
      <c r="CA216" s="284"/>
      <c r="CB216" s="284"/>
      <c r="CC216" s="284"/>
      <c r="CD216" s="284"/>
      <c r="CE216" s="284"/>
      <c r="CF216" s="284"/>
    </row>
    <row r="217" spans="1:84" ht="12.6" customHeight="1" x14ac:dyDescent="0.25">
      <c r="A217" s="310" t="s">
        <v>340</v>
      </c>
      <c r="B217" s="311"/>
      <c r="C217" s="320"/>
      <c r="D217" s="311"/>
      <c r="E217" s="312">
        <v>0</v>
      </c>
      <c r="F217" s="306"/>
      <c r="G217" s="306"/>
      <c r="H217" s="341"/>
      <c r="I217" s="284"/>
      <c r="J217" s="284"/>
      <c r="K217" s="284"/>
      <c r="L217" s="284"/>
      <c r="M217" s="284"/>
      <c r="N217" s="284"/>
      <c r="O217" s="284"/>
      <c r="P217" s="284"/>
      <c r="Q217" s="284"/>
      <c r="R217" s="284"/>
      <c r="S217" s="284"/>
      <c r="T217" s="284"/>
      <c r="U217" s="284"/>
      <c r="V217" s="284"/>
      <c r="W217" s="284"/>
      <c r="X217" s="284"/>
      <c r="Y217" s="284"/>
      <c r="Z217" s="284"/>
      <c r="AA217" s="284"/>
      <c r="AB217" s="284"/>
      <c r="AC217" s="284"/>
      <c r="AD217" s="284"/>
      <c r="AE217" s="284"/>
      <c r="AF217" s="284"/>
      <c r="AG217" s="284"/>
      <c r="AH217" s="284"/>
      <c r="AI217" s="284"/>
      <c r="AJ217" s="284"/>
      <c r="AK217" s="284"/>
      <c r="AL217" s="284"/>
      <c r="AM217" s="284"/>
      <c r="AN217" s="284"/>
      <c r="AO217" s="284"/>
      <c r="AP217" s="284"/>
      <c r="AQ217" s="284"/>
      <c r="AR217" s="284"/>
      <c r="AS217" s="284"/>
      <c r="AT217" s="284"/>
      <c r="AU217" s="284"/>
      <c r="AV217" s="284"/>
      <c r="AW217" s="284"/>
      <c r="AX217" s="284"/>
      <c r="AY217" s="284"/>
      <c r="AZ217" s="284"/>
      <c r="BA217" s="284"/>
      <c r="BB217" s="284"/>
      <c r="BC217" s="284"/>
      <c r="BD217" s="284"/>
      <c r="BE217" s="284"/>
      <c r="BF217" s="284"/>
      <c r="BG217" s="284"/>
      <c r="BH217" s="284"/>
      <c r="BI217" s="284"/>
      <c r="BJ217" s="284"/>
      <c r="BK217" s="284"/>
      <c r="BL217" s="284"/>
      <c r="BM217" s="284"/>
      <c r="BN217" s="284"/>
      <c r="BO217" s="284"/>
      <c r="BP217" s="284"/>
      <c r="BQ217" s="284"/>
      <c r="BR217" s="284"/>
      <c r="BS217" s="284"/>
      <c r="BT217" s="284"/>
      <c r="BU217" s="284"/>
      <c r="BV217" s="284"/>
      <c r="BW217" s="284"/>
      <c r="BX217" s="284"/>
      <c r="BY217" s="284"/>
      <c r="BZ217" s="284"/>
      <c r="CA217" s="284"/>
      <c r="CB217" s="284"/>
      <c r="CC217" s="284"/>
      <c r="CD217" s="284"/>
      <c r="CE217" s="284"/>
      <c r="CF217" s="284"/>
    </row>
    <row r="218" spans="1:84" ht="12.6" customHeight="1" x14ac:dyDescent="0.25">
      <c r="A218" s="310" t="s">
        <v>203</v>
      </c>
      <c r="B218" s="312">
        <v>11566221</v>
      </c>
      <c r="C218" s="322">
        <v>743889</v>
      </c>
      <c r="D218" s="312">
        <v>272140</v>
      </c>
      <c r="E218" s="312">
        <v>12037970</v>
      </c>
      <c r="F218" s="306"/>
      <c r="G218" s="306"/>
      <c r="H218" s="306"/>
      <c r="I218" s="284"/>
      <c r="J218" s="284"/>
      <c r="K218" s="284"/>
      <c r="L218" s="284"/>
      <c r="M218" s="284"/>
      <c r="N218" s="284"/>
      <c r="O218" s="284"/>
      <c r="P218" s="284"/>
      <c r="Q218" s="284"/>
      <c r="R218" s="284"/>
      <c r="S218" s="284"/>
      <c r="T218" s="284"/>
      <c r="U218" s="284"/>
      <c r="V218" s="284"/>
      <c r="W218" s="284"/>
      <c r="X218" s="284"/>
      <c r="Y218" s="284"/>
      <c r="Z218" s="284"/>
      <c r="AA218" s="284"/>
      <c r="AB218" s="284"/>
      <c r="AC218" s="284"/>
      <c r="AD218" s="284"/>
      <c r="AE218" s="284"/>
      <c r="AF218" s="284"/>
      <c r="AG218" s="284"/>
      <c r="AH218" s="284"/>
      <c r="AI218" s="284"/>
      <c r="AJ218" s="284"/>
      <c r="AK218" s="284"/>
      <c r="AL218" s="284"/>
      <c r="AM218" s="284"/>
      <c r="AN218" s="284"/>
      <c r="AO218" s="284"/>
      <c r="AP218" s="284"/>
      <c r="AQ218" s="284"/>
      <c r="AR218" s="284"/>
      <c r="AS218" s="284"/>
      <c r="AT218" s="284"/>
      <c r="AU218" s="284"/>
      <c r="AV218" s="284"/>
      <c r="AW218" s="284"/>
      <c r="AX218" s="284"/>
      <c r="AY218" s="284"/>
      <c r="AZ218" s="284"/>
      <c r="BA218" s="284"/>
      <c r="BB218" s="284"/>
      <c r="BC218" s="284"/>
      <c r="BD218" s="284"/>
      <c r="BE218" s="284"/>
      <c r="BF218" s="284"/>
      <c r="BG218" s="284"/>
      <c r="BH218" s="284"/>
      <c r="BI218" s="284"/>
      <c r="BJ218" s="284"/>
      <c r="BK218" s="284"/>
      <c r="BL218" s="284"/>
      <c r="BM218" s="284"/>
      <c r="BN218" s="284"/>
      <c r="BO218" s="284"/>
      <c r="BP218" s="284"/>
      <c r="BQ218" s="284"/>
      <c r="BR218" s="284"/>
      <c r="BS218" s="284"/>
      <c r="BT218" s="284"/>
      <c r="BU218" s="284"/>
      <c r="BV218" s="284"/>
      <c r="BW218" s="284"/>
      <c r="BX218" s="284"/>
      <c r="BY218" s="284"/>
      <c r="BZ218" s="284"/>
      <c r="CA218" s="284"/>
      <c r="CB218" s="284"/>
      <c r="CC218" s="284"/>
      <c r="CD218" s="284"/>
      <c r="CE218" s="284"/>
      <c r="CF218" s="284"/>
    </row>
    <row r="219" spans="1:84" ht="21.75" customHeight="1" x14ac:dyDescent="0.25">
      <c r="A219" s="173"/>
      <c r="B219" s="175"/>
      <c r="C219" s="189"/>
      <c r="D219" s="175"/>
      <c r="E219" s="175"/>
    </row>
    <row r="220" spans="1:84" ht="12.6" customHeight="1" x14ac:dyDescent="0.25">
      <c r="A220" s="206" t="s">
        <v>342</v>
      </c>
      <c r="B220" s="206"/>
      <c r="C220" s="206"/>
      <c r="D220" s="206"/>
      <c r="E220" s="206"/>
    </row>
    <row r="221" spans="1:84" ht="12.6" customHeight="1" x14ac:dyDescent="0.25">
      <c r="A221" s="253" t="s">
        <v>343</v>
      </c>
      <c r="B221" s="253"/>
      <c r="C221" s="253"/>
      <c r="D221" s="253"/>
      <c r="E221" s="253"/>
    </row>
    <row r="222" spans="1:84" ht="12.6" customHeight="1" x14ac:dyDescent="0.25">
      <c r="A222" s="366" t="s">
        <v>344</v>
      </c>
      <c r="B222" s="365" t="s">
        <v>256</v>
      </c>
      <c r="C222" s="375">
        <v>8854571</v>
      </c>
      <c r="D222" s="367"/>
      <c r="E222" s="367"/>
    </row>
    <row r="223" spans="1:84" ht="12.6" customHeight="1" x14ac:dyDescent="0.25">
      <c r="A223" s="366" t="s">
        <v>345</v>
      </c>
      <c r="B223" s="365" t="s">
        <v>256</v>
      </c>
      <c r="C223" s="375">
        <v>5878097</v>
      </c>
      <c r="D223" s="367"/>
      <c r="E223" s="367"/>
    </row>
    <row r="224" spans="1:84" ht="12.6" customHeight="1" x14ac:dyDescent="0.25">
      <c r="A224" s="366" t="s">
        <v>346</v>
      </c>
      <c r="B224" s="365" t="s">
        <v>256</v>
      </c>
      <c r="C224" s="375"/>
      <c r="D224" s="367"/>
      <c r="E224" s="367"/>
    </row>
    <row r="225" spans="1:5" ht="12.6" customHeight="1" x14ac:dyDescent="0.25">
      <c r="A225" s="366" t="s">
        <v>347</v>
      </c>
      <c r="B225" s="365" t="s">
        <v>256</v>
      </c>
      <c r="C225" s="375"/>
      <c r="D225" s="367"/>
      <c r="E225" s="367"/>
    </row>
    <row r="226" spans="1:5" ht="12.6" customHeight="1" x14ac:dyDescent="0.25">
      <c r="A226" s="366" t="s">
        <v>348</v>
      </c>
      <c r="B226" s="365" t="s">
        <v>256</v>
      </c>
      <c r="C226" s="375">
        <v>6309477</v>
      </c>
      <c r="D226" s="367"/>
      <c r="E226" s="367"/>
    </row>
    <row r="227" spans="1:5" ht="12.6" customHeight="1" x14ac:dyDescent="0.25">
      <c r="A227" s="366" t="s">
        <v>349</v>
      </c>
      <c r="B227" s="365" t="s">
        <v>256</v>
      </c>
      <c r="C227" s="368"/>
      <c r="D227" s="367"/>
      <c r="E227" s="367"/>
    </row>
    <row r="228" spans="1:5" ht="12.6" customHeight="1" x14ac:dyDescent="0.25">
      <c r="A228" s="366" t="s">
        <v>350</v>
      </c>
      <c r="B228" s="367"/>
      <c r="C228" s="369"/>
      <c r="D228" s="367">
        <v>21042145</v>
      </c>
      <c r="E228" s="367"/>
    </row>
    <row r="229" spans="1:5" ht="12.6" customHeight="1" x14ac:dyDescent="0.25">
      <c r="A229" s="374" t="s">
        <v>351</v>
      </c>
      <c r="B229" s="374"/>
      <c r="C229" s="374"/>
      <c r="D229" s="374"/>
      <c r="E229" s="374"/>
    </row>
    <row r="230" spans="1:5" ht="12.6" customHeight="1" x14ac:dyDescent="0.25">
      <c r="A230" s="364" t="s">
        <v>352</v>
      </c>
      <c r="B230" s="365" t="s">
        <v>256</v>
      </c>
      <c r="C230" s="375">
        <v>169.12484845138019</v>
      </c>
      <c r="D230" s="367"/>
      <c r="E230" s="367"/>
    </row>
    <row r="231" spans="1:5" ht="12.6" customHeight="1" x14ac:dyDescent="0.25">
      <c r="A231" s="364"/>
      <c r="B231" s="365"/>
      <c r="C231" s="369"/>
      <c r="D231" s="367"/>
      <c r="E231" s="367"/>
    </row>
    <row r="232" spans="1:5" ht="12.6" customHeight="1" x14ac:dyDescent="0.25">
      <c r="A232" s="364" t="s">
        <v>353</v>
      </c>
      <c r="B232" s="365" t="s">
        <v>256</v>
      </c>
      <c r="C232" s="368" t="s">
        <v>1281</v>
      </c>
      <c r="D232" s="367"/>
      <c r="E232" s="367"/>
    </row>
    <row r="233" spans="1:5" ht="12.6" customHeight="1" x14ac:dyDescent="0.25">
      <c r="A233" s="364" t="s">
        <v>354</v>
      </c>
      <c r="B233" s="365" t="s">
        <v>256</v>
      </c>
      <c r="C233" s="368" t="s">
        <v>1282</v>
      </c>
      <c r="D233" s="367"/>
      <c r="E233" s="367"/>
    </row>
    <row r="234" spans="1:5" ht="12.6" customHeight="1" x14ac:dyDescent="0.25">
      <c r="A234" s="366"/>
      <c r="B234" s="367"/>
      <c r="C234" s="369"/>
      <c r="D234" s="367"/>
      <c r="E234" s="367"/>
    </row>
    <row r="235" spans="1:5" ht="12.6" customHeight="1" x14ac:dyDescent="0.25">
      <c r="A235" s="364" t="s">
        <v>355</v>
      </c>
      <c r="B235" s="367"/>
      <c r="C235" s="369"/>
      <c r="D235" s="367">
        <v>0</v>
      </c>
      <c r="E235" s="367"/>
    </row>
    <row r="236" spans="1:5" ht="12.6" customHeight="1" x14ac:dyDescent="0.25">
      <c r="A236" s="374" t="s">
        <v>356</v>
      </c>
      <c r="B236" s="374"/>
      <c r="C236" s="374"/>
      <c r="D236" s="374"/>
      <c r="E236" s="374"/>
    </row>
    <row r="237" spans="1:5" ht="12.6" customHeight="1" x14ac:dyDescent="0.25">
      <c r="A237" s="366" t="s">
        <v>357</v>
      </c>
      <c r="B237" s="365" t="s">
        <v>256</v>
      </c>
      <c r="C237" s="376">
        <v>15785</v>
      </c>
      <c r="D237" s="367"/>
      <c r="E237" s="367"/>
    </row>
    <row r="238" spans="1:5" ht="12.6" customHeight="1" x14ac:dyDescent="0.25">
      <c r="A238" s="366" t="s">
        <v>356</v>
      </c>
      <c r="B238" s="365" t="s">
        <v>256</v>
      </c>
      <c r="C238" s="368"/>
      <c r="D238" s="367"/>
      <c r="E238" s="367"/>
    </row>
    <row r="239" spans="1:5" ht="12.6" customHeight="1" x14ac:dyDescent="0.25">
      <c r="A239" s="366" t="s">
        <v>358</v>
      </c>
      <c r="B239" s="367"/>
      <c r="C239" s="369"/>
      <c r="D239" s="367">
        <v>15785</v>
      </c>
      <c r="E239" s="367"/>
    </row>
    <row r="240" spans="1:5" ht="12.6" customHeight="1" x14ac:dyDescent="0.25">
      <c r="A240" s="366"/>
      <c r="B240" s="367"/>
      <c r="C240" s="369"/>
      <c r="D240" s="367"/>
      <c r="E240" s="367"/>
    </row>
    <row r="241" spans="1:5" ht="12.6" customHeight="1" x14ac:dyDescent="0.25">
      <c r="A241" s="366" t="s">
        <v>359</v>
      </c>
      <c r="B241" s="367"/>
      <c r="C241" s="369"/>
      <c r="D241" s="367">
        <v>21665725</v>
      </c>
      <c r="E241" s="367"/>
    </row>
    <row r="242" spans="1:5" ht="12.6" customHeight="1" x14ac:dyDescent="0.25">
      <c r="A242" s="366"/>
      <c r="B242" s="366"/>
      <c r="C242" s="369"/>
      <c r="D242" s="367"/>
      <c r="E242" s="367"/>
    </row>
    <row r="243" spans="1:5" ht="12.6" customHeight="1" x14ac:dyDescent="0.25">
      <c r="A243" s="366"/>
      <c r="B243" s="366"/>
      <c r="C243" s="369"/>
      <c r="D243" s="367"/>
      <c r="E243" s="367"/>
    </row>
    <row r="244" spans="1:5" ht="12.6" customHeight="1" x14ac:dyDescent="0.25">
      <c r="A244" s="366"/>
      <c r="B244" s="366"/>
      <c r="C244" s="369"/>
      <c r="D244" s="367"/>
      <c r="E244" s="367"/>
    </row>
    <row r="245" spans="1:5" ht="12.6" customHeight="1" x14ac:dyDescent="0.25">
      <c r="A245" s="366"/>
      <c r="B245" s="366"/>
      <c r="C245" s="369"/>
      <c r="D245" s="367"/>
      <c r="E245" s="367"/>
    </row>
    <row r="246" spans="1:5" ht="21.75" customHeight="1" x14ac:dyDescent="0.25">
      <c r="A246" s="366"/>
      <c r="B246" s="366"/>
      <c r="C246" s="369"/>
      <c r="D246" s="367"/>
      <c r="E246" s="367"/>
    </row>
    <row r="247" spans="1:5" ht="12.45" customHeight="1" x14ac:dyDescent="0.25">
      <c r="A247" s="371" t="s">
        <v>360</v>
      </c>
      <c r="B247" s="371"/>
      <c r="C247" s="371"/>
      <c r="D247" s="371"/>
      <c r="E247" s="371"/>
    </row>
    <row r="248" spans="1:5" ht="11.25" customHeight="1" x14ac:dyDescent="0.25">
      <c r="A248" s="374" t="s">
        <v>361</v>
      </c>
      <c r="B248" s="374"/>
      <c r="C248" s="374"/>
      <c r="D248" s="374"/>
      <c r="E248" s="374"/>
    </row>
    <row r="249" spans="1:5" ht="12.45" customHeight="1" x14ac:dyDescent="0.25">
      <c r="A249" s="366" t="s">
        <v>362</v>
      </c>
      <c r="B249" s="365" t="s">
        <v>256</v>
      </c>
      <c r="C249" s="368">
        <v>1073220</v>
      </c>
      <c r="D249" s="367"/>
      <c r="E249" s="367"/>
    </row>
    <row r="250" spans="1:5" ht="12.45" customHeight="1" x14ac:dyDescent="0.25">
      <c r="A250" s="366" t="s">
        <v>363</v>
      </c>
      <c r="B250" s="365" t="s">
        <v>256</v>
      </c>
      <c r="C250" s="376"/>
      <c r="D250" s="367"/>
      <c r="E250" s="367"/>
    </row>
    <row r="251" spans="1:5" ht="12.45" customHeight="1" x14ac:dyDescent="0.25">
      <c r="A251" s="366" t="s">
        <v>364</v>
      </c>
      <c r="B251" s="365" t="s">
        <v>256</v>
      </c>
      <c r="C251" s="376">
        <v>7194510</v>
      </c>
      <c r="D251" s="367"/>
      <c r="E251" s="367"/>
    </row>
    <row r="252" spans="1:5" ht="12.45" customHeight="1" x14ac:dyDescent="0.25">
      <c r="A252" s="366" t="s">
        <v>365</v>
      </c>
      <c r="B252" s="365" t="s">
        <v>256</v>
      </c>
      <c r="C252" s="376">
        <v>3367650</v>
      </c>
      <c r="D252" s="367"/>
      <c r="E252" s="367"/>
    </row>
    <row r="253" spans="1:5" ht="12.45" customHeight="1" x14ac:dyDescent="0.25">
      <c r="A253" s="366" t="s">
        <v>1241</v>
      </c>
      <c r="B253" s="365" t="s">
        <v>256</v>
      </c>
      <c r="C253" s="368"/>
      <c r="D253" s="367"/>
      <c r="E253" s="367"/>
    </row>
    <row r="254" spans="1:5" ht="12.45" customHeight="1" x14ac:dyDescent="0.25">
      <c r="A254" s="366" t="s">
        <v>366</v>
      </c>
      <c r="B254" s="365" t="s">
        <v>256</v>
      </c>
      <c r="C254" s="368">
        <v>339982</v>
      </c>
      <c r="D254" s="367"/>
      <c r="E254" s="367"/>
    </row>
    <row r="255" spans="1:5" ht="12.45" customHeight="1" x14ac:dyDescent="0.25">
      <c r="A255" s="366" t="s">
        <v>367</v>
      </c>
      <c r="B255" s="365" t="s">
        <v>256</v>
      </c>
      <c r="C255" s="368"/>
      <c r="D255" s="367"/>
      <c r="E255" s="367"/>
    </row>
    <row r="256" spans="1:5" ht="12.45" customHeight="1" x14ac:dyDescent="0.25">
      <c r="A256" s="366" t="s">
        <v>368</v>
      </c>
      <c r="B256" s="365" t="s">
        <v>256</v>
      </c>
      <c r="C256" s="368">
        <v>180147</v>
      </c>
      <c r="D256" s="367"/>
      <c r="E256" s="367"/>
    </row>
    <row r="257" spans="1:5" ht="12.45" customHeight="1" x14ac:dyDescent="0.25">
      <c r="A257" s="366" t="s">
        <v>369</v>
      </c>
      <c r="B257" s="365" t="s">
        <v>256</v>
      </c>
      <c r="C257" s="368">
        <v>198615</v>
      </c>
      <c r="D257" s="367"/>
      <c r="E257" s="367"/>
    </row>
    <row r="258" spans="1:5" ht="12.45" customHeight="1" x14ac:dyDescent="0.25">
      <c r="A258" s="366" t="s">
        <v>370</v>
      </c>
      <c r="B258" s="365" t="s">
        <v>256</v>
      </c>
      <c r="C258" s="368"/>
      <c r="D258" s="367"/>
      <c r="E258" s="367"/>
    </row>
    <row r="259" spans="1:5" ht="12.45" customHeight="1" x14ac:dyDescent="0.25">
      <c r="A259" s="366" t="s">
        <v>371</v>
      </c>
      <c r="B259" s="367"/>
      <c r="C259" s="369"/>
      <c r="D259" s="367">
        <v>5618824</v>
      </c>
      <c r="E259" s="367"/>
    </row>
    <row r="260" spans="1:5" ht="11.25" customHeight="1" x14ac:dyDescent="0.25">
      <c r="A260" s="374" t="s">
        <v>372</v>
      </c>
      <c r="B260" s="374"/>
      <c r="C260" s="374"/>
      <c r="D260" s="374"/>
      <c r="E260" s="374"/>
    </row>
    <row r="261" spans="1:5" ht="12.45" customHeight="1" x14ac:dyDescent="0.25">
      <c r="A261" s="366" t="s">
        <v>362</v>
      </c>
      <c r="B261" s="365" t="s">
        <v>256</v>
      </c>
      <c r="C261" s="368">
        <v>22811241</v>
      </c>
      <c r="D261" s="367"/>
      <c r="E261" s="367"/>
    </row>
    <row r="262" spans="1:5" ht="12.45" customHeight="1" x14ac:dyDescent="0.25">
      <c r="A262" s="366" t="s">
        <v>363</v>
      </c>
      <c r="B262" s="365" t="s">
        <v>256</v>
      </c>
      <c r="C262" s="368"/>
      <c r="D262" s="367"/>
      <c r="E262" s="367"/>
    </row>
    <row r="263" spans="1:5" ht="12.45" customHeight="1" x14ac:dyDescent="0.25">
      <c r="A263" s="366" t="s">
        <v>373</v>
      </c>
      <c r="B263" s="365" t="s">
        <v>256</v>
      </c>
      <c r="C263" s="368">
        <v>490</v>
      </c>
      <c r="D263" s="367"/>
      <c r="E263" s="367"/>
    </row>
    <row r="264" spans="1:5" ht="12.45" customHeight="1" x14ac:dyDescent="0.25">
      <c r="A264" s="366" t="s">
        <v>374</v>
      </c>
      <c r="B264" s="367"/>
      <c r="C264" s="369"/>
      <c r="D264" s="367">
        <v>22811731</v>
      </c>
      <c r="E264" s="367"/>
    </row>
    <row r="265" spans="1:5" ht="11.25" customHeight="1" x14ac:dyDescent="0.25">
      <c r="A265" s="374" t="s">
        <v>375</v>
      </c>
      <c r="B265" s="374"/>
      <c r="C265" s="374"/>
      <c r="D265" s="374"/>
      <c r="E265" s="374"/>
    </row>
    <row r="266" spans="1:5" ht="12.45" customHeight="1" x14ac:dyDescent="0.25">
      <c r="A266" s="366" t="s">
        <v>332</v>
      </c>
      <c r="B266" s="365" t="s">
        <v>256</v>
      </c>
      <c r="C266" s="368">
        <v>4168630</v>
      </c>
      <c r="D266" s="367"/>
      <c r="E266" s="367"/>
    </row>
    <row r="267" spans="1:5" ht="12.45" customHeight="1" x14ac:dyDescent="0.25">
      <c r="A267" s="366" t="s">
        <v>333</v>
      </c>
      <c r="B267" s="365" t="s">
        <v>256</v>
      </c>
      <c r="C267" s="368">
        <v>619271</v>
      </c>
      <c r="D267" s="367"/>
      <c r="E267" s="367"/>
    </row>
    <row r="268" spans="1:5" ht="12.45" customHeight="1" x14ac:dyDescent="0.25">
      <c r="A268" s="366" t="s">
        <v>334</v>
      </c>
      <c r="B268" s="365" t="s">
        <v>256</v>
      </c>
      <c r="C268" s="368">
        <v>6090285</v>
      </c>
      <c r="D268" s="367"/>
      <c r="E268" s="367"/>
    </row>
    <row r="269" spans="1:5" ht="12.45" customHeight="1" x14ac:dyDescent="0.25">
      <c r="A269" s="366" t="s">
        <v>376</v>
      </c>
      <c r="B269" s="365" t="s">
        <v>256</v>
      </c>
      <c r="C269" s="368"/>
      <c r="D269" s="367"/>
      <c r="E269" s="367"/>
    </row>
    <row r="270" spans="1:5" ht="12.45" customHeight="1" x14ac:dyDescent="0.25">
      <c r="A270" s="366" t="s">
        <v>377</v>
      </c>
      <c r="B270" s="365" t="s">
        <v>256</v>
      </c>
      <c r="C270" s="368">
        <v>1912588</v>
      </c>
      <c r="D270" s="367"/>
      <c r="E270" s="367"/>
    </row>
    <row r="271" spans="1:5" ht="12.45" customHeight="1" x14ac:dyDescent="0.25">
      <c r="A271" s="366" t="s">
        <v>378</v>
      </c>
      <c r="B271" s="365" t="s">
        <v>256</v>
      </c>
      <c r="C271" s="368">
        <v>6247363</v>
      </c>
      <c r="D271" s="367"/>
      <c r="E271" s="367"/>
    </row>
    <row r="272" spans="1:5" ht="12.45" customHeight="1" x14ac:dyDescent="0.25">
      <c r="A272" s="366" t="s">
        <v>339</v>
      </c>
      <c r="B272" s="365" t="s">
        <v>256</v>
      </c>
      <c r="C272" s="368"/>
      <c r="D272" s="367"/>
      <c r="E272" s="367"/>
    </row>
    <row r="273" spans="1:5" ht="12.45" customHeight="1" x14ac:dyDescent="0.25">
      <c r="A273" s="366" t="s">
        <v>340</v>
      </c>
      <c r="B273" s="365" t="s">
        <v>256</v>
      </c>
      <c r="C273" s="368">
        <v>1220887</v>
      </c>
      <c r="D273" s="367"/>
      <c r="E273" s="367"/>
    </row>
    <row r="274" spans="1:5" ht="12.45" customHeight="1" x14ac:dyDescent="0.25">
      <c r="A274" s="366" t="s">
        <v>379</v>
      </c>
      <c r="B274" s="367"/>
      <c r="C274" s="369"/>
      <c r="D274" s="367">
        <v>20259024</v>
      </c>
      <c r="E274" s="367"/>
    </row>
    <row r="275" spans="1:5" ht="12.6" customHeight="1" x14ac:dyDescent="0.25">
      <c r="A275" s="366" t="s">
        <v>380</v>
      </c>
      <c r="B275" s="365" t="s">
        <v>256</v>
      </c>
      <c r="C275" s="368">
        <v>12037970</v>
      </c>
      <c r="D275" s="367"/>
      <c r="E275" s="367"/>
    </row>
    <row r="276" spans="1:5" ht="12.6" customHeight="1" x14ac:dyDescent="0.25">
      <c r="A276" s="366" t="s">
        <v>381</v>
      </c>
      <c r="B276" s="367"/>
      <c r="C276" s="369"/>
      <c r="D276" s="367">
        <v>8221054</v>
      </c>
      <c r="E276" s="367"/>
    </row>
    <row r="277" spans="1:5" ht="12.6" customHeight="1" x14ac:dyDescent="0.25">
      <c r="A277" s="374" t="s">
        <v>382</v>
      </c>
      <c r="B277" s="374"/>
      <c r="C277" s="374"/>
      <c r="D277" s="374"/>
      <c r="E277" s="374"/>
    </row>
    <row r="278" spans="1:5" ht="12.6" customHeight="1" x14ac:dyDescent="0.25">
      <c r="A278" s="366" t="s">
        <v>383</v>
      </c>
      <c r="B278" s="365" t="s">
        <v>256</v>
      </c>
      <c r="C278" s="368"/>
      <c r="D278" s="367"/>
      <c r="E278" s="367"/>
    </row>
    <row r="279" spans="1:5" ht="12.6" customHeight="1" x14ac:dyDescent="0.25">
      <c r="A279" s="366" t="s">
        <v>384</v>
      </c>
      <c r="B279" s="365" t="s">
        <v>256</v>
      </c>
      <c r="C279" s="368"/>
      <c r="D279" s="367"/>
      <c r="E279" s="367"/>
    </row>
    <row r="280" spans="1:5" ht="12.6" customHeight="1" x14ac:dyDescent="0.25">
      <c r="A280" s="366" t="s">
        <v>385</v>
      </c>
      <c r="B280" s="365" t="s">
        <v>256</v>
      </c>
      <c r="C280" s="368"/>
      <c r="D280" s="367"/>
      <c r="E280" s="367"/>
    </row>
    <row r="281" spans="1:5" ht="12.6" customHeight="1" x14ac:dyDescent="0.25">
      <c r="A281" s="366" t="s">
        <v>373</v>
      </c>
      <c r="B281" s="365" t="s">
        <v>256</v>
      </c>
      <c r="C281" s="368">
        <v>383147</v>
      </c>
      <c r="D281" s="367"/>
      <c r="E281" s="367"/>
    </row>
    <row r="282" spans="1:5" ht="12.6" customHeight="1" x14ac:dyDescent="0.25">
      <c r="A282" s="366" t="s">
        <v>386</v>
      </c>
      <c r="B282" s="367"/>
      <c r="C282" s="369"/>
      <c r="D282" s="367">
        <v>383147</v>
      </c>
      <c r="E282" s="367"/>
    </row>
    <row r="283" spans="1:5" ht="12.6" customHeight="1" x14ac:dyDescent="0.25">
      <c r="A283" s="366"/>
      <c r="B283" s="367"/>
      <c r="C283" s="369"/>
      <c r="D283" s="367"/>
      <c r="E283" s="367"/>
    </row>
    <row r="284" spans="1:5" ht="12.6" customHeight="1" x14ac:dyDescent="0.25">
      <c r="A284" s="374" t="s">
        <v>387</v>
      </c>
      <c r="B284" s="374"/>
      <c r="C284" s="374"/>
      <c r="D284" s="374"/>
      <c r="E284" s="374"/>
    </row>
    <row r="285" spans="1:5" ht="12.6" customHeight="1" x14ac:dyDescent="0.25">
      <c r="A285" s="366" t="s">
        <v>388</v>
      </c>
      <c r="B285" s="365" t="s">
        <v>256</v>
      </c>
      <c r="C285" s="368"/>
      <c r="D285" s="367"/>
      <c r="E285" s="367"/>
    </row>
    <row r="286" spans="1:5" ht="12.6" customHeight="1" x14ac:dyDescent="0.25">
      <c r="A286" s="366" t="s">
        <v>389</v>
      </c>
      <c r="B286" s="365" t="s">
        <v>256</v>
      </c>
      <c r="C286" s="368"/>
      <c r="D286" s="367"/>
      <c r="E286" s="367"/>
    </row>
    <row r="287" spans="1:5" ht="12.6" customHeight="1" x14ac:dyDescent="0.25">
      <c r="A287" s="366" t="s">
        <v>390</v>
      </c>
      <c r="B287" s="365" t="s">
        <v>256</v>
      </c>
      <c r="C287" s="368"/>
      <c r="D287" s="367"/>
      <c r="E287" s="367"/>
    </row>
    <row r="288" spans="1:5" ht="12.6" customHeight="1" x14ac:dyDescent="0.25">
      <c r="A288" s="366" t="s">
        <v>391</v>
      </c>
      <c r="B288" s="365" t="s">
        <v>256</v>
      </c>
      <c r="C288" s="368"/>
      <c r="D288" s="367"/>
      <c r="E288" s="367"/>
    </row>
    <row r="289" spans="1:5" ht="12.6" customHeight="1" x14ac:dyDescent="0.25">
      <c r="A289" s="366" t="s">
        <v>392</v>
      </c>
      <c r="B289" s="367"/>
      <c r="C289" s="369"/>
      <c r="D289" s="367">
        <v>0</v>
      </c>
      <c r="E289" s="367"/>
    </row>
    <row r="290" spans="1:5" ht="12.6" customHeight="1" x14ac:dyDescent="0.25">
      <c r="A290" s="366"/>
      <c r="B290" s="367"/>
      <c r="C290" s="369"/>
      <c r="D290" s="367"/>
      <c r="E290" s="367"/>
    </row>
    <row r="291" spans="1:5" ht="12.6" customHeight="1" x14ac:dyDescent="0.25">
      <c r="A291" s="366" t="s">
        <v>393</v>
      </c>
      <c r="B291" s="367"/>
      <c r="C291" s="369"/>
      <c r="D291" s="367">
        <v>37034756</v>
      </c>
      <c r="E291" s="367"/>
    </row>
    <row r="292" spans="1:5" ht="12.6" customHeight="1" x14ac:dyDescent="0.25">
      <c r="A292" s="366"/>
      <c r="B292" s="366"/>
      <c r="C292" s="369"/>
      <c r="D292" s="367"/>
      <c r="E292" s="367"/>
    </row>
    <row r="293" spans="1:5" ht="12.6" customHeight="1" x14ac:dyDescent="0.25">
      <c r="A293" s="366"/>
      <c r="B293" s="366"/>
      <c r="C293" s="369"/>
      <c r="D293" s="367"/>
      <c r="E293" s="367"/>
    </row>
    <row r="294" spans="1:5" ht="12.6" customHeight="1" x14ac:dyDescent="0.25">
      <c r="A294" s="366"/>
      <c r="B294" s="366"/>
      <c r="C294" s="369"/>
      <c r="D294" s="367"/>
      <c r="E294" s="367"/>
    </row>
    <row r="295" spans="1:5" ht="12.6" customHeight="1" x14ac:dyDescent="0.25">
      <c r="A295" s="366"/>
      <c r="B295" s="366"/>
      <c r="C295" s="369"/>
      <c r="D295" s="367"/>
      <c r="E295" s="367"/>
    </row>
    <row r="296" spans="1:5" ht="12.6" customHeight="1" x14ac:dyDescent="0.25">
      <c r="A296" s="366"/>
      <c r="B296" s="366"/>
      <c r="C296" s="369"/>
      <c r="D296" s="367"/>
      <c r="E296" s="367"/>
    </row>
    <row r="297" spans="1:5" ht="12.6" customHeight="1" x14ac:dyDescent="0.25">
      <c r="A297" s="366"/>
      <c r="B297" s="366"/>
      <c r="C297" s="369"/>
      <c r="D297" s="367"/>
      <c r="E297" s="367"/>
    </row>
    <row r="298" spans="1:5" ht="12.6" customHeight="1" x14ac:dyDescent="0.25">
      <c r="A298" s="366"/>
      <c r="B298" s="366"/>
      <c r="C298" s="369"/>
      <c r="D298" s="367"/>
      <c r="E298" s="367"/>
    </row>
    <row r="299" spans="1:5" ht="12.6" customHeight="1" x14ac:dyDescent="0.25">
      <c r="A299" s="366"/>
      <c r="B299" s="366"/>
      <c r="C299" s="369"/>
      <c r="D299" s="367"/>
      <c r="E299" s="367"/>
    </row>
    <row r="300" spans="1:5" ht="20.25" customHeight="1" x14ac:dyDescent="0.25">
      <c r="A300" s="366"/>
      <c r="B300" s="366"/>
      <c r="C300" s="369"/>
      <c r="D300" s="367"/>
      <c r="E300" s="367"/>
    </row>
    <row r="301" spans="1:5" ht="12.6" customHeight="1" x14ac:dyDescent="0.25">
      <c r="A301" s="371" t="s">
        <v>394</v>
      </c>
      <c r="B301" s="371"/>
      <c r="C301" s="371"/>
      <c r="D301" s="371"/>
      <c r="E301" s="371"/>
    </row>
    <row r="302" spans="1:5" ht="14.25" customHeight="1" x14ac:dyDescent="0.25">
      <c r="A302" s="374" t="s">
        <v>395</v>
      </c>
      <c r="B302" s="374"/>
      <c r="C302" s="374"/>
      <c r="D302" s="374"/>
      <c r="E302" s="374"/>
    </row>
    <row r="303" spans="1:5" ht="12.6" customHeight="1" x14ac:dyDescent="0.25">
      <c r="A303" s="366" t="s">
        <v>396</v>
      </c>
      <c r="B303" s="365" t="s">
        <v>256</v>
      </c>
      <c r="C303" s="368"/>
      <c r="D303" s="367"/>
      <c r="E303" s="367"/>
    </row>
    <row r="304" spans="1:5" ht="12.6" customHeight="1" x14ac:dyDescent="0.25">
      <c r="A304" s="366" t="s">
        <v>397</v>
      </c>
      <c r="B304" s="365" t="s">
        <v>256</v>
      </c>
      <c r="C304" s="368">
        <v>464463</v>
      </c>
      <c r="D304" s="367"/>
      <c r="E304" s="367"/>
    </row>
    <row r="305" spans="1:5" ht="12.6" customHeight="1" x14ac:dyDescent="0.25">
      <c r="A305" s="366" t="s">
        <v>398</v>
      </c>
      <c r="B305" s="365" t="s">
        <v>256</v>
      </c>
      <c r="C305" s="368">
        <v>1220697</v>
      </c>
      <c r="D305" s="367"/>
      <c r="E305" s="367"/>
    </row>
    <row r="306" spans="1:5" ht="12.6" customHeight="1" x14ac:dyDescent="0.25">
      <c r="A306" s="366" t="s">
        <v>399</v>
      </c>
      <c r="B306" s="365" t="s">
        <v>256</v>
      </c>
      <c r="C306" s="368">
        <v>21522</v>
      </c>
      <c r="D306" s="367"/>
      <c r="E306" s="367"/>
    </row>
    <row r="307" spans="1:5" ht="12.6" customHeight="1" x14ac:dyDescent="0.25">
      <c r="A307" s="366" t="s">
        <v>400</v>
      </c>
      <c r="B307" s="365" t="s">
        <v>256</v>
      </c>
      <c r="C307" s="368"/>
      <c r="D307" s="367"/>
      <c r="E307" s="367"/>
    </row>
    <row r="308" spans="1:5" ht="12.6" customHeight="1" x14ac:dyDescent="0.25">
      <c r="A308" s="366" t="s">
        <v>1242</v>
      </c>
      <c r="B308" s="365" t="s">
        <v>256</v>
      </c>
      <c r="C308" s="368">
        <v>341872</v>
      </c>
      <c r="D308" s="367"/>
      <c r="E308" s="367"/>
    </row>
    <row r="309" spans="1:5" ht="12.6" customHeight="1" x14ac:dyDescent="0.25">
      <c r="A309" s="366" t="s">
        <v>401</v>
      </c>
      <c r="B309" s="365" t="s">
        <v>256</v>
      </c>
      <c r="C309" s="368"/>
      <c r="D309" s="367"/>
      <c r="E309" s="367"/>
    </row>
    <row r="310" spans="1:5" ht="12.6" customHeight="1" x14ac:dyDescent="0.25">
      <c r="A310" s="366" t="s">
        <v>402</v>
      </c>
      <c r="B310" s="365" t="s">
        <v>256</v>
      </c>
      <c r="C310" s="368"/>
      <c r="D310" s="367"/>
      <c r="E310" s="367"/>
    </row>
    <row r="311" spans="1:5" ht="12.6" customHeight="1" x14ac:dyDescent="0.25">
      <c r="A311" s="366" t="s">
        <v>403</v>
      </c>
      <c r="B311" s="365" t="s">
        <v>256</v>
      </c>
      <c r="C311" s="368"/>
      <c r="D311" s="367"/>
      <c r="E311" s="367"/>
    </row>
    <row r="312" spans="1:5" ht="12.6" customHeight="1" x14ac:dyDescent="0.25">
      <c r="A312" s="366" t="s">
        <v>404</v>
      </c>
      <c r="B312" s="365" t="s">
        <v>256</v>
      </c>
      <c r="C312" s="368">
        <v>688215</v>
      </c>
      <c r="D312" s="367"/>
      <c r="E312" s="367"/>
    </row>
    <row r="313" spans="1:5" ht="12.6" customHeight="1" x14ac:dyDescent="0.25">
      <c r="A313" s="366" t="s">
        <v>405</v>
      </c>
      <c r="B313" s="367"/>
      <c r="C313" s="369"/>
      <c r="D313" s="367">
        <v>2736769</v>
      </c>
      <c r="E313" s="367"/>
    </row>
    <row r="314" spans="1:5" ht="12.6" customHeight="1" x14ac:dyDescent="0.25">
      <c r="A314" s="374" t="s">
        <v>406</v>
      </c>
      <c r="B314" s="374"/>
      <c r="C314" s="374"/>
      <c r="D314" s="374"/>
      <c r="E314" s="374"/>
    </row>
    <row r="315" spans="1:5" ht="12.6" customHeight="1" x14ac:dyDescent="0.25">
      <c r="A315" s="366" t="s">
        <v>407</v>
      </c>
      <c r="B315" s="365" t="s">
        <v>256</v>
      </c>
      <c r="C315" s="368"/>
      <c r="D315" s="367"/>
      <c r="E315" s="367"/>
    </row>
    <row r="316" spans="1:5" ht="12.6" customHeight="1" x14ac:dyDescent="0.25">
      <c r="A316" s="366" t="s">
        <v>408</v>
      </c>
      <c r="B316" s="365" t="s">
        <v>256</v>
      </c>
      <c r="C316" s="368"/>
      <c r="D316" s="367"/>
      <c r="E316" s="367"/>
    </row>
    <row r="317" spans="1:5" ht="12.6" customHeight="1" x14ac:dyDescent="0.25">
      <c r="A317" s="366" t="s">
        <v>409</v>
      </c>
      <c r="B317" s="365" t="s">
        <v>256</v>
      </c>
      <c r="C317" s="368"/>
      <c r="D317" s="367"/>
      <c r="E317" s="367"/>
    </row>
    <row r="318" spans="1:5" ht="12.6" customHeight="1" x14ac:dyDescent="0.25">
      <c r="A318" s="366" t="s">
        <v>410</v>
      </c>
      <c r="B318" s="367"/>
      <c r="C318" s="369"/>
      <c r="D318" s="367">
        <v>0</v>
      </c>
      <c r="E318" s="367"/>
    </row>
    <row r="319" spans="1:5" ht="12.6" customHeight="1" x14ac:dyDescent="0.25">
      <c r="A319" s="374" t="s">
        <v>411</v>
      </c>
      <c r="B319" s="374"/>
      <c r="C319" s="374"/>
      <c r="D319" s="374"/>
      <c r="E319" s="374"/>
    </row>
    <row r="320" spans="1:5" ht="12.6" customHeight="1" x14ac:dyDescent="0.25">
      <c r="A320" s="366" t="s">
        <v>412</v>
      </c>
      <c r="B320" s="365" t="s">
        <v>256</v>
      </c>
      <c r="C320" s="368"/>
      <c r="D320" s="367"/>
      <c r="E320" s="367"/>
    </row>
    <row r="321" spans="1:5" ht="12.6" customHeight="1" x14ac:dyDescent="0.25">
      <c r="A321" s="366" t="s">
        <v>413</v>
      </c>
      <c r="B321" s="365" t="s">
        <v>256</v>
      </c>
      <c r="C321" s="368"/>
      <c r="D321" s="367"/>
      <c r="E321" s="367"/>
    </row>
    <row r="322" spans="1:5" ht="12.6" customHeight="1" x14ac:dyDescent="0.25">
      <c r="A322" s="366" t="s">
        <v>414</v>
      </c>
      <c r="B322" s="365" t="s">
        <v>256</v>
      </c>
      <c r="C322" s="368"/>
      <c r="D322" s="367"/>
      <c r="E322" s="367"/>
    </row>
    <row r="323" spans="1:5" ht="12.6" customHeight="1" x14ac:dyDescent="0.25">
      <c r="A323" s="364" t="s">
        <v>415</v>
      </c>
      <c r="B323" s="365" t="s">
        <v>256</v>
      </c>
      <c r="C323" s="368">
        <v>312552</v>
      </c>
      <c r="D323" s="367"/>
      <c r="E323" s="367"/>
    </row>
    <row r="324" spans="1:5" ht="12.6" customHeight="1" x14ac:dyDescent="0.25">
      <c r="A324" s="366" t="s">
        <v>416</v>
      </c>
      <c r="B324" s="365" t="s">
        <v>256</v>
      </c>
      <c r="C324" s="368">
        <v>26253998</v>
      </c>
      <c r="D324" s="367"/>
      <c r="E324" s="367"/>
    </row>
    <row r="325" spans="1:5" ht="12.6" customHeight="1" x14ac:dyDescent="0.25">
      <c r="A325" s="364" t="s">
        <v>417</v>
      </c>
      <c r="B325" s="365" t="s">
        <v>256</v>
      </c>
      <c r="C325" s="368"/>
      <c r="D325" s="367"/>
      <c r="E325" s="367"/>
    </row>
    <row r="326" spans="1:5" ht="12.6" customHeight="1" x14ac:dyDescent="0.25">
      <c r="A326" s="366" t="s">
        <v>418</v>
      </c>
      <c r="B326" s="365" t="s">
        <v>256</v>
      </c>
      <c r="C326" s="368">
        <v>548344</v>
      </c>
      <c r="D326" s="367"/>
      <c r="E326" s="367"/>
    </row>
    <row r="327" spans="1:5" ht="19.5" customHeight="1" x14ac:dyDescent="0.25">
      <c r="A327" s="366" t="s">
        <v>203</v>
      </c>
      <c r="B327" s="367"/>
      <c r="C327" s="369"/>
      <c r="D327" s="367">
        <v>27114894</v>
      </c>
      <c r="E327" s="367"/>
    </row>
    <row r="328" spans="1:5" ht="12.6" customHeight="1" x14ac:dyDescent="0.25">
      <c r="A328" s="366" t="s">
        <v>419</v>
      </c>
      <c r="B328" s="367"/>
      <c r="C328" s="369"/>
      <c r="D328" s="367">
        <v>688215</v>
      </c>
      <c r="E328" s="367"/>
    </row>
    <row r="329" spans="1:5" ht="12.6" customHeight="1" x14ac:dyDescent="0.25">
      <c r="A329" s="366" t="s">
        <v>420</v>
      </c>
      <c r="B329" s="367"/>
      <c r="C329" s="369"/>
      <c r="D329" s="367">
        <v>26426679</v>
      </c>
      <c r="E329" s="367"/>
    </row>
    <row r="330" spans="1:5" ht="12.6" customHeight="1" x14ac:dyDescent="0.25">
      <c r="A330" s="366"/>
      <c r="B330" s="367"/>
      <c r="C330" s="369"/>
      <c r="D330" s="367"/>
      <c r="E330" s="367"/>
    </row>
    <row r="331" spans="1:5" ht="12.6" customHeight="1" x14ac:dyDescent="0.25">
      <c r="A331" s="366" t="s">
        <v>421</v>
      </c>
      <c r="B331" s="365" t="s">
        <v>256</v>
      </c>
      <c r="C331" s="372">
        <v>7183091</v>
      </c>
      <c r="D331" s="367"/>
      <c r="E331" s="367"/>
    </row>
    <row r="332" spans="1:5" ht="12.6" customHeight="1" x14ac:dyDescent="0.25">
      <c r="A332" s="366"/>
      <c r="B332" s="365"/>
      <c r="C332" s="373"/>
      <c r="D332" s="367"/>
      <c r="E332" s="367"/>
    </row>
    <row r="333" spans="1:5" ht="12.6" customHeight="1" x14ac:dyDescent="0.25">
      <c r="A333" s="366" t="s">
        <v>1142</v>
      </c>
      <c r="B333" s="365" t="s">
        <v>256</v>
      </c>
      <c r="C333" s="372"/>
      <c r="D333" s="367"/>
      <c r="E333" s="367"/>
    </row>
    <row r="334" spans="1:5" ht="12.6" customHeight="1" x14ac:dyDescent="0.25">
      <c r="A334" s="366" t="s">
        <v>1143</v>
      </c>
      <c r="B334" s="365" t="s">
        <v>256</v>
      </c>
      <c r="C334" s="372"/>
      <c r="D334" s="367"/>
      <c r="E334" s="367"/>
    </row>
    <row r="335" spans="1:5" ht="12.6" customHeight="1" x14ac:dyDescent="0.25">
      <c r="A335" s="366" t="s">
        <v>423</v>
      </c>
      <c r="B335" s="365" t="s">
        <v>256</v>
      </c>
      <c r="C335" s="372"/>
      <c r="D335" s="367"/>
      <c r="E335" s="367"/>
    </row>
    <row r="336" spans="1:5" ht="12.6" customHeight="1" x14ac:dyDescent="0.25">
      <c r="A336" s="366" t="s">
        <v>422</v>
      </c>
      <c r="B336" s="365" t="s">
        <v>256</v>
      </c>
      <c r="C336" s="368"/>
      <c r="D336" s="367"/>
      <c r="E336" s="367"/>
    </row>
    <row r="337" spans="1:5" ht="12.6" customHeight="1" x14ac:dyDescent="0.25">
      <c r="A337" s="366" t="s">
        <v>1253</v>
      </c>
      <c r="B337" s="365" t="s">
        <v>256</v>
      </c>
      <c r="C337" s="368"/>
      <c r="D337" s="367"/>
      <c r="E337" s="367"/>
    </row>
    <row r="338" spans="1:5" ht="12.6" customHeight="1" x14ac:dyDescent="0.25">
      <c r="A338" s="366" t="s">
        <v>424</v>
      </c>
      <c r="B338" s="367"/>
      <c r="C338" s="369"/>
      <c r="D338" s="367">
        <v>36346539</v>
      </c>
      <c r="E338" s="367"/>
    </row>
    <row r="339" spans="1:5" ht="12.6" customHeight="1" x14ac:dyDescent="0.25">
      <c r="A339" s="366"/>
      <c r="B339" s="367"/>
      <c r="C339" s="369"/>
      <c r="D339" s="367"/>
      <c r="E339" s="367"/>
    </row>
    <row r="340" spans="1:5" ht="12.6" customHeight="1" x14ac:dyDescent="0.25">
      <c r="A340" s="366" t="s">
        <v>425</v>
      </c>
      <c r="B340" s="367"/>
      <c r="C340" s="369"/>
      <c r="D340" s="367">
        <v>37034756</v>
      </c>
      <c r="E340" s="367"/>
    </row>
    <row r="341" spans="1:5" ht="12.6" customHeight="1" x14ac:dyDescent="0.25">
      <c r="A341" s="366"/>
      <c r="B341" s="366"/>
      <c r="C341" s="369"/>
      <c r="D341" s="367"/>
      <c r="E341" s="367"/>
    </row>
    <row r="342" spans="1:5" ht="12.6" customHeight="1" x14ac:dyDescent="0.25">
      <c r="A342" s="366"/>
      <c r="B342" s="366"/>
      <c r="C342" s="369"/>
      <c r="D342" s="367"/>
      <c r="E342" s="367"/>
    </row>
    <row r="343" spans="1:5" ht="12.6" customHeight="1" x14ac:dyDescent="0.25">
      <c r="A343" s="366"/>
      <c r="B343" s="366"/>
      <c r="C343" s="369"/>
      <c r="D343" s="367"/>
      <c r="E343" s="367"/>
    </row>
    <row r="344" spans="1:5" ht="12.6" customHeight="1" x14ac:dyDescent="0.25">
      <c r="A344" s="366"/>
      <c r="B344" s="366"/>
      <c r="C344" s="369"/>
      <c r="D344" s="367"/>
      <c r="E344" s="367"/>
    </row>
    <row r="345" spans="1:5" ht="12.6" customHeight="1" x14ac:dyDescent="0.25">
      <c r="A345" s="366"/>
      <c r="B345" s="366"/>
      <c r="C345" s="369"/>
      <c r="D345" s="367"/>
      <c r="E345" s="367"/>
    </row>
    <row r="346" spans="1:5" ht="12.6" customHeight="1" x14ac:dyDescent="0.25">
      <c r="A346" s="366"/>
      <c r="B346" s="366"/>
      <c r="C346" s="369"/>
      <c r="D346" s="367"/>
      <c r="E346" s="367"/>
    </row>
    <row r="347" spans="1:5" ht="12.6" customHeight="1" x14ac:dyDescent="0.25">
      <c r="A347" s="366"/>
      <c r="B347" s="366"/>
      <c r="C347" s="369"/>
      <c r="D347" s="367"/>
      <c r="E347" s="367"/>
    </row>
    <row r="348" spans="1:5" ht="12.6" customHeight="1" x14ac:dyDescent="0.25">
      <c r="A348" s="366"/>
      <c r="B348" s="366"/>
      <c r="C348" s="369"/>
      <c r="D348" s="367"/>
      <c r="E348" s="367"/>
    </row>
    <row r="349" spans="1:5" ht="12.6" customHeight="1" x14ac:dyDescent="0.25">
      <c r="A349" s="366"/>
      <c r="B349" s="366"/>
      <c r="C349" s="369"/>
      <c r="D349" s="367"/>
      <c r="E349" s="367"/>
    </row>
    <row r="350" spans="1:5" ht="12.6" customHeight="1" x14ac:dyDescent="0.25">
      <c r="A350" s="366"/>
      <c r="B350" s="366"/>
      <c r="C350" s="369"/>
      <c r="D350" s="367"/>
      <c r="E350" s="367"/>
    </row>
    <row r="351" spans="1:5" ht="12.6" customHeight="1" x14ac:dyDescent="0.25">
      <c r="A351" s="366"/>
      <c r="B351" s="366"/>
      <c r="C351" s="369"/>
      <c r="D351" s="367"/>
      <c r="E351" s="367"/>
    </row>
    <row r="352" spans="1:5" ht="12.6" customHeight="1" x14ac:dyDescent="0.25">
      <c r="A352" s="366"/>
      <c r="B352" s="366"/>
      <c r="C352" s="369"/>
      <c r="D352" s="367"/>
      <c r="E352" s="367"/>
    </row>
    <row r="353" spans="1:5" ht="12.6" customHeight="1" x14ac:dyDescent="0.25">
      <c r="A353" s="366"/>
      <c r="B353" s="366"/>
      <c r="C353" s="369"/>
      <c r="D353" s="367"/>
      <c r="E353" s="367"/>
    </row>
    <row r="354" spans="1:5" ht="12.6" customHeight="1" x14ac:dyDescent="0.25">
      <c r="A354" s="366"/>
      <c r="B354" s="366"/>
      <c r="C354" s="369"/>
      <c r="D354" s="367"/>
      <c r="E354" s="367"/>
    </row>
    <row r="355" spans="1:5" ht="20.25" customHeight="1" x14ac:dyDescent="0.25">
      <c r="A355" s="366"/>
      <c r="B355" s="366"/>
      <c r="C355" s="369"/>
      <c r="D355" s="367"/>
      <c r="E355" s="367"/>
    </row>
    <row r="356" spans="1:5" ht="12.6" customHeight="1" x14ac:dyDescent="0.25">
      <c r="A356" s="371" t="s">
        <v>426</v>
      </c>
      <c r="B356" s="371"/>
      <c r="C356" s="371"/>
      <c r="D356" s="371"/>
      <c r="E356" s="371"/>
    </row>
    <row r="357" spans="1:5" ht="12.6" customHeight="1" x14ac:dyDescent="0.25">
      <c r="A357" s="374" t="s">
        <v>427</v>
      </c>
      <c r="B357" s="374"/>
      <c r="C357" s="374"/>
      <c r="D357" s="374"/>
      <c r="E357" s="374"/>
    </row>
    <row r="358" spans="1:5" ht="12.6" customHeight="1" x14ac:dyDescent="0.25">
      <c r="A358" s="366" t="s">
        <v>428</v>
      </c>
      <c r="B358" s="365" t="s">
        <v>256</v>
      </c>
      <c r="C358" s="375">
        <v>13290714</v>
      </c>
      <c r="D358" s="367"/>
      <c r="E358" s="367"/>
    </row>
    <row r="359" spans="1:5" ht="12.6" customHeight="1" x14ac:dyDescent="0.25">
      <c r="A359" s="366" t="s">
        <v>429</v>
      </c>
      <c r="B359" s="365" t="s">
        <v>256</v>
      </c>
      <c r="C359" s="375">
        <v>34587909</v>
      </c>
      <c r="D359" s="367"/>
      <c r="E359" s="367"/>
    </row>
    <row r="360" spans="1:5" ht="12.6" customHeight="1" x14ac:dyDescent="0.25">
      <c r="A360" s="366" t="s">
        <v>430</v>
      </c>
      <c r="B360" s="367"/>
      <c r="C360" s="369"/>
      <c r="D360" s="367">
        <v>47878623</v>
      </c>
      <c r="E360" s="367"/>
    </row>
    <row r="361" spans="1:5" ht="12.6" customHeight="1" x14ac:dyDescent="0.25">
      <c r="A361" s="374" t="s">
        <v>431</v>
      </c>
      <c r="B361" s="374"/>
      <c r="C361" s="374"/>
      <c r="D361" s="374"/>
      <c r="E361" s="374"/>
    </row>
    <row r="362" spans="1:5" ht="12.6" customHeight="1" x14ac:dyDescent="0.25">
      <c r="A362" s="366" t="s">
        <v>1257</v>
      </c>
      <c r="B362" s="374"/>
      <c r="C362" s="377">
        <v>607795</v>
      </c>
      <c r="D362" s="367"/>
      <c r="E362" s="374"/>
    </row>
    <row r="363" spans="1:5" ht="12.6" customHeight="1" x14ac:dyDescent="0.25">
      <c r="A363" s="366" t="s">
        <v>432</v>
      </c>
      <c r="B363" s="365" t="s">
        <v>256</v>
      </c>
      <c r="C363" s="375">
        <v>20466272</v>
      </c>
      <c r="D363" s="367"/>
      <c r="E363" s="367"/>
    </row>
    <row r="364" spans="1:5" ht="12.6" customHeight="1" x14ac:dyDescent="0.25">
      <c r="A364" s="366" t="s">
        <v>433</v>
      </c>
      <c r="B364" s="365" t="s">
        <v>256</v>
      </c>
      <c r="C364" s="375">
        <v>575873</v>
      </c>
      <c r="D364" s="367"/>
      <c r="E364" s="367"/>
    </row>
    <row r="365" spans="1:5" ht="12.6" customHeight="1" x14ac:dyDescent="0.25">
      <c r="A365" s="366" t="s">
        <v>434</v>
      </c>
      <c r="B365" s="365" t="s">
        <v>256</v>
      </c>
      <c r="C365" s="375">
        <v>15785</v>
      </c>
      <c r="D365" s="367"/>
      <c r="E365" s="367"/>
    </row>
    <row r="366" spans="1:5" ht="12.6" customHeight="1" x14ac:dyDescent="0.25">
      <c r="A366" s="366" t="s">
        <v>359</v>
      </c>
      <c r="B366" s="367"/>
      <c r="C366" s="369"/>
      <c r="D366" s="367">
        <v>21665725</v>
      </c>
      <c r="E366" s="367"/>
    </row>
    <row r="367" spans="1:5" ht="12.6" customHeight="1" x14ac:dyDescent="0.25">
      <c r="A367" s="366" t="s">
        <v>435</v>
      </c>
      <c r="B367" s="367"/>
      <c r="C367" s="369"/>
      <c r="D367" s="367">
        <v>26212898</v>
      </c>
      <c r="E367" s="367"/>
    </row>
    <row r="368" spans="1:5" ht="12.6" customHeight="1" x14ac:dyDescent="0.25">
      <c r="A368" s="374" t="s">
        <v>436</v>
      </c>
      <c r="B368" s="374"/>
      <c r="C368" s="374"/>
      <c r="D368" s="374"/>
      <c r="E368" s="374"/>
    </row>
    <row r="369" spans="1:5" ht="12.6" customHeight="1" x14ac:dyDescent="0.25">
      <c r="A369" s="366" t="s">
        <v>437</v>
      </c>
      <c r="B369" s="365" t="s">
        <v>256</v>
      </c>
      <c r="C369" s="378">
        <v>639543</v>
      </c>
      <c r="D369" s="367"/>
      <c r="E369" s="367"/>
    </row>
    <row r="370" spans="1:5" ht="12.6" customHeight="1" x14ac:dyDescent="0.25">
      <c r="A370" s="366" t="s">
        <v>438</v>
      </c>
      <c r="B370" s="365" t="s">
        <v>256</v>
      </c>
      <c r="C370" s="378">
        <v>1676063</v>
      </c>
      <c r="D370" s="367"/>
      <c r="E370" s="367"/>
    </row>
    <row r="371" spans="1:5" ht="12.6" customHeight="1" x14ac:dyDescent="0.25">
      <c r="A371" s="366" t="s">
        <v>439</v>
      </c>
      <c r="B371" s="367"/>
      <c r="C371" s="369"/>
      <c r="D371" s="367">
        <v>2315606</v>
      </c>
      <c r="E371" s="367"/>
    </row>
    <row r="372" spans="1:5" ht="12.6" customHeight="1" x14ac:dyDescent="0.25">
      <c r="A372" s="366" t="s">
        <v>440</v>
      </c>
      <c r="B372" s="367"/>
      <c r="C372" s="369"/>
      <c r="D372" s="367">
        <v>28528504</v>
      </c>
      <c r="E372" s="367"/>
    </row>
    <row r="373" spans="1:5" ht="12.6" customHeight="1" x14ac:dyDescent="0.25">
      <c r="A373" s="366"/>
      <c r="B373" s="367"/>
      <c r="C373" s="369"/>
      <c r="D373" s="367"/>
      <c r="E373" s="367"/>
    </row>
    <row r="374" spans="1:5" ht="12.6" customHeight="1" x14ac:dyDescent="0.25">
      <c r="A374" s="366"/>
      <c r="B374" s="367"/>
      <c r="C374" s="369"/>
      <c r="D374" s="367"/>
      <c r="E374" s="367"/>
    </row>
    <row r="375" spans="1:5" ht="12.6" customHeight="1" x14ac:dyDescent="0.25">
      <c r="A375" s="366"/>
      <c r="B375" s="367"/>
      <c r="C375" s="369"/>
      <c r="D375" s="367"/>
      <c r="E375" s="367"/>
    </row>
    <row r="376" spans="1:5" ht="12.6" customHeight="1" x14ac:dyDescent="0.25">
      <c r="A376" s="374" t="s">
        <v>441</v>
      </c>
      <c r="B376" s="374"/>
      <c r="C376" s="374"/>
      <c r="D376" s="374"/>
      <c r="E376" s="374"/>
    </row>
    <row r="377" spans="1:5" ht="12.6" customHeight="1" x14ac:dyDescent="0.25">
      <c r="A377" s="366" t="s">
        <v>442</v>
      </c>
      <c r="B377" s="365" t="s">
        <v>256</v>
      </c>
      <c r="C377" s="368">
        <v>17307571</v>
      </c>
      <c r="D377" s="367"/>
      <c r="E377" s="367"/>
    </row>
    <row r="378" spans="1:5" ht="12.6" customHeight="1" x14ac:dyDescent="0.25">
      <c r="A378" s="366" t="s">
        <v>3</v>
      </c>
      <c r="B378" s="365" t="s">
        <v>256</v>
      </c>
      <c r="C378" s="368">
        <v>3382628</v>
      </c>
      <c r="D378" s="367"/>
      <c r="E378" s="367"/>
    </row>
    <row r="379" spans="1:5" ht="12.6" customHeight="1" x14ac:dyDescent="0.25">
      <c r="A379" s="366" t="s">
        <v>236</v>
      </c>
      <c r="B379" s="365" t="s">
        <v>256</v>
      </c>
      <c r="C379" s="368">
        <v>459903</v>
      </c>
      <c r="D379" s="367"/>
      <c r="E379" s="367"/>
    </row>
    <row r="380" spans="1:5" ht="12.6" customHeight="1" x14ac:dyDescent="0.25">
      <c r="A380" s="366" t="s">
        <v>443</v>
      </c>
      <c r="B380" s="365" t="s">
        <v>256</v>
      </c>
      <c r="C380" s="368">
        <v>2248888</v>
      </c>
      <c r="D380" s="367"/>
      <c r="E380" s="367"/>
    </row>
    <row r="381" spans="1:5" ht="12.6" customHeight="1" x14ac:dyDescent="0.25">
      <c r="A381" s="366" t="s">
        <v>444</v>
      </c>
      <c r="B381" s="365" t="s">
        <v>256</v>
      </c>
      <c r="C381" s="368">
        <v>200270</v>
      </c>
      <c r="D381" s="367"/>
      <c r="E381" s="367"/>
    </row>
    <row r="382" spans="1:5" ht="12.6" customHeight="1" x14ac:dyDescent="0.25">
      <c r="A382" s="366" t="s">
        <v>445</v>
      </c>
      <c r="B382" s="365" t="s">
        <v>256</v>
      </c>
      <c r="C382" s="368">
        <v>2123626</v>
      </c>
      <c r="D382" s="367"/>
      <c r="E382" s="367"/>
    </row>
    <row r="383" spans="1:5" ht="12.6" customHeight="1" x14ac:dyDescent="0.25">
      <c r="A383" s="366" t="s">
        <v>6</v>
      </c>
      <c r="B383" s="365" t="s">
        <v>256</v>
      </c>
      <c r="C383" s="376">
        <v>816817</v>
      </c>
      <c r="D383" s="367"/>
      <c r="E383" s="367"/>
    </row>
    <row r="384" spans="1:5" ht="12.6" customHeight="1" x14ac:dyDescent="0.25">
      <c r="A384" s="366" t="s">
        <v>446</v>
      </c>
      <c r="B384" s="365" t="s">
        <v>256</v>
      </c>
      <c r="C384" s="368">
        <v>412534</v>
      </c>
      <c r="D384" s="367"/>
      <c r="E384" s="367"/>
    </row>
    <row r="385" spans="1:6" ht="12.6" customHeight="1" x14ac:dyDescent="0.25">
      <c r="A385" s="366" t="s">
        <v>447</v>
      </c>
      <c r="B385" s="365" t="s">
        <v>256</v>
      </c>
      <c r="C385" s="375">
        <v>282015</v>
      </c>
      <c r="D385" s="367"/>
      <c r="E385" s="367"/>
    </row>
    <row r="386" spans="1:6" ht="12.6" customHeight="1" x14ac:dyDescent="0.25">
      <c r="A386" s="366" t="s">
        <v>448</v>
      </c>
      <c r="B386" s="365" t="s">
        <v>256</v>
      </c>
      <c r="C386" s="375">
        <v>169990</v>
      </c>
      <c r="D386" s="367"/>
      <c r="E386" s="367"/>
    </row>
    <row r="387" spans="1:6" ht="12.6" customHeight="1" x14ac:dyDescent="0.25">
      <c r="A387" s="366" t="s">
        <v>449</v>
      </c>
      <c r="B387" s="365" t="s">
        <v>256</v>
      </c>
      <c r="C387" s="375">
        <v>313618</v>
      </c>
      <c r="D387" s="367"/>
      <c r="E387" s="367"/>
    </row>
    <row r="388" spans="1:6" ht="12.6" customHeight="1" x14ac:dyDescent="0.25">
      <c r="A388" s="366" t="s">
        <v>451</v>
      </c>
      <c r="B388" s="365" t="s">
        <v>256</v>
      </c>
      <c r="C388" s="375">
        <v>1217952</v>
      </c>
      <c r="D388" s="367"/>
      <c r="E388" s="367"/>
    </row>
    <row r="389" spans="1:6" ht="12.6" customHeight="1" x14ac:dyDescent="0.25">
      <c r="A389" s="366" t="s">
        <v>452</v>
      </c>
      <c r="B389" s="367"/>
      <c r="C389" s="369"/>
      <c r="D389" s="367">
        <v>28935812</v>
      </c>
      <c r="E389" s="367"/>
    </row>
    <row r="390" spans="1:6" ht="12.6" customHeight="1" x14ac:dyDescent="0.25">
      <c r="A390" s="366" t="s">
        <v>453</v>
      </c>
      <c r="B390" s="367"/>
      <c r="C390" s="369"/>
      <c r="D390" s="367">
        <v>-407308</v>
      </c>
      <c r="E390" s="367"/>
    </row>
    <row r="391" spans="1:6" ht="12.6" customHeight="1" x14ac:dyDescent="0.25">
      <c r="A391" s="366" t="s">
        <v>454</v>
      </c>
      <c r="B391" s="365" t="s">
        <v>256</v>
      </c>
      <c r="C391" s="378">
        <v>223024</v>
      </c>
      <c r="D391" s="367"/>
      <c r="E391" s="367"/>
    </row>
    <row r="392" spans="1:6" ht="12.6" customHeight="1" x14ac:dyDescent="0.25">
      <c r="A392" s="366" t="s">
        <v>455</v>
      </c>
      <c r="B392" s="367"/>
      <c r="C392" s="369"/>
      <c r="D392" s="370">
        <v>-184284</v>
      </c>
      <c r="E392" s="367"/>
      <c r="F392" s="195"/>
    </row>
    <row r="393" spans="1:6" ht="12.6" customHeight="1" x14ac:dyDescent="0.25">
      <c r="A393" s="366" t="s">
        <v>456</v>
      </c>
      <c r="B393" s="365" t="s">
        <v>256</v>
      </c>
      <c r="C393" s="368">
        <v>-183037</v>
      </c>
      <c r="D393" s="367"/>
      <c r="E393" s="367"/>
    </row>
    <row r="394" spans="1:6" ht="12.6" customHeight="1" x14ac:dyDescent="0.25">
      <c r="A394" s="366" t="s">
        <v>457</v>
      </c>
      <c r="B394" s="365" t="s">
        <v>256</v>
      </c>
      <c r="C394" s="368"/>
      <c r="D394" s="367"/>
      <c r="E394" s="367"/>
    </row>
    <row r="395" spans="1:6" ht="12.6" customHeight="1" x14ac:dyDescent="0.25">
      <c r="A395" s="366" t="s">
        <v>458</v>
      </c>
      <c r="B395" s="367"/>
      <c r="C395" s="369"/>
      <c r="D395" s="367">
        <v>-367321</v>
      </c>
      <c r="E395" s="367"/>
    </row>
    <row r="396" spans="1:6" ht="13.5" customHeight="1" x14ac:dyDescent="0.25">
      <c r="A396" s="179"/>
      <c r="B396" s="179"/>
    </row>
    <row r="397" spans="1:6" ht="12.6" customHeight="1" x14ac:dyDescent="0.25">
      <c r="A397" s="179"/>
      <c r="B397" s="179"/>
    </row>
    <row r="398" spans="1:6" ht="12.6" customHeight="1" x14ac:dyDescent="0.25">
      <c r="A398" s="179"/>
      <c r="B398" s="179"/>
    </row>
    <row r="399" spans="1:6" ht="12" customHeight="1" x14ac:dyDescent="0.25">
      <c r="A399" s="179"/>
      <c r="B399" s="179"/>
    </row>
    <row r="400" spans="1:6" ht="12" customHeight="1" x14ac:dyDescent="0.25">
      <c r="A400" s="179"/>
      <c r="B400" s="179"/>
    </row>
    <row r="401" spans="1:5" ht="12" customHeight="1" x14ac:dyDescent="0.25">
      <c r="A401" s="179"/>
      <c r="B401" s="179"/>
    </row>
    <row r="402" spans="1:5" ht="12" customHeight="1" x14ac:dyDescent="0.25">
      <c r="A402" s="179"/>
      <c r="B402" s="179"/>
    </row>
    <row r="403" spans="1:5" ht="12" customHeight="1" x14ac:dyDescent="0.25">
      <c r="A403" s="179"/>
      <c r="B403" s="179"/>
    </row>
    <row r="404" spans="1:5" ht="12.6" customHeight="1" x14ac:dyDescent="0.25">
      <c r="A404" s="179"/>
      <c r="B404" s="179"/>
    </row>
    <row r="405" spans="1:5" ht="12.6" customHeight="1" x14ac:dyDescent="0.25">
      <c r="A405" s="179"/>
      <c r="B405" s="179"/>
    </row>
    <row r="406" spans="1:5" ht="12.6" customHeight="1" x14ac:dyDescent="0.25">
      <c r="A406" s="179"/>
      <c r="B406" s="179"/>
    </row>
    <row r="407" spans="1:5" ht="12.6" customHeight="1" x14ac:dyDescent="0.25">
      <c r="A407" s="179"/>
      <c r="B407" s="179"/>
    </row>
    <row r="408" spans="1:5" ht="12.6" customHeight="1" x14ac:dyDescent="0.25">
      <c r="A408" s="179"/>
      <c r="B408" s="179"/>
    </row>
    <row r="409" spans="1:5" ht="12.6" customHeight="1" x14ac:dyDescent="0.25">
      <c r="A409" s="179"/>
      <c r="B409" s="179"/>
    </row>
    <row r="410" spans="1:5" ht="12.6" customHeight="1" x14ac:dyDescent="0.25">
      <c r="A410" s="179"/>
      <c r="B410" s="179"/>
      <c r="C410" s="181" t="s">
        <v>459</v>
      </c>
      <c r="D410" s="179"/>
      <c r="E410" s="256"/>
    </row>
    <row r="411" spans="1:5" ht="12.6" customHeight="1" x14ac:dyDescent="0.25">
      <c r="A411" s="179" t="str">
        <f>C85&amp;"   "&amp;"H-"&amp;FIXED(C84,0,TRUE)&amp;"     FYE "&amp;C83</f>
        <v>Lake Chelan Community Hospital   H-0     FYE 12/31/2018</v>
      </c>
      <c r="B411" s="179"/>
      <c r="C411" s="179"/>
      <c r="D411" s="179"/>
      <c r="E411" s="256"/>
    </row>
    <row r="412" spans="1:5" ht="12.6" customHeight="1" x14ac:dyDescent="0.25">
      <c r="A412" s="179" t="s">
        <v>460</v>
      </c>
      <c r="B412" s="181" t="s">
        <v>461</v>
      </c>
      <c r="C412" s="181" t="s">
        <v>1243</v>
      </c>
      <c r="D412" s="181" t="s">
        <v>462</v>
      </c>
    </row>
    <row r="413" spans="1:5" ht="12.6" customHeight="1" x14ac:dyDescent="0.25">
      <c r="A413" s="179" t="s">
        <v>463</v>
      </c>
      <c r="B413" s="179">
        <f>C112</f>
        <v>224</v>
      </c>
      <c r="C413" s="192">
        <f>E139</f>
        <v>224</v>
      </c>
      <c r="D413" s="179"/>
    </row>
    <row r="414" spans="1:5" ht="12.6" customHeight="1" x14ac:dyDescent="0.25">
      <c r="A414" s="179" t="s">
        <v>464</v>
      </c>
      <c r="B414" s="179">
        <f>D112</f>
        <v>737</v>
      </c>
      <c r="C414" s="179">
        <f>E140</f>
        <v>779</v>
      </c>
      <c r="D414" s="192">
        <f>SUM(C59:H59)+N59</f>
        <v>737</v>
      </c>
    </row>
    <row r="415" spans="1:5" ht="12.6" customHeight="1" x14ac:dyDescent="0.25">
      <c r="A415" s="179"/>
      <c r="B415" s="179"/>
      <c r="C415" s="192"/>
      <c r="D415" s="179"/>
    </row>
    <row r="416" spans="1:5" ht="12.6" customHeight="1" x14ac:dyDescent="0.25">
      <c r="A416" s="179" t="s">
        <v>465</v>
      </c>
      <c r="B416" s="179">
        <f>C113</f>
        <v>333</v>
      </c>
      <c r="C416" s="192">
        <f>E145</f>
        <v>333</v>
      </c>
      <c r="D416" s="179"/>
    </row>
    <row r="417" spans="1:7" ht="12.6" customHeight="1" x14ac:dyDescent="0.25">
      <c r="A417" s="179" t="s">
        <v>466</v>
      </c>
      <c r="B417" s="179">
        <f>D113</f>
        <v>4910</v>
      </c>
      <c r="C417" s="179">
        <f>E146</f>
        <v>4910</v>
      </c>
      <c r="D417" s="179">
        <f>K59+L59</f>
        <v>4910</v>
      </c>
    </row>
    <row r="418" spans="1:7" ht="12.6" customHeight="1" x14ac:dyDescent="0.25">
      <c r="A418" s="179"/>
      <c r="B418" s="179"/>
      <c r="C418" s="192"/>
      <c r="D418" s="179"/>
    </row>
    <row r="419" spans="1:7" ht="12.6" customHeight="1" x14ac:dyDescent="0.25">
      <c r="A419" s="179" t="s">
        <v>467</v>
      </c>
      <c r="B419" s="179">
        <f>C114</f>
        <v>175</v>
      </c>
      <c r="C419" s="179">
        <f>E151</f>
        <v>175</v>
      </c>
      <c r="D419" s="179"/>
    </row>
    <row r="420" spans="1:7" ht="12.6" customHeight="1" x14ac:dyDescent="0.25">
      <c r="A420" s="179" t="s">
        <v>468</v>
      </c>
      <c r="B420" s="179">
        <f>D114</f>
        <v>510</v>
      </c>
      <c r="C420" s="179">
        <f>E152</f>
        <v>510</v>
      </c>
      <c r="D420" s="179">
        <f>I59</f>
        <v>510</v>
      </c>
    </row>
    <row r="421" spans="1:7" ht="12.6" customHeight="1" x14ac:dyDescent="0.25">
      <c r="A421" s="204"/>
      <c r="B421" s="204"/>
      <c r="C421" s="181"/>
      <c r="D421" s="179"/>
    </row>
    <row r="422" spans="1:7" ht="12.6" customHeight="1" x14ac:dyDescent="0.25">
      <c r="A422" s="180" t="s">
        <v>469</v>
      </c>
      <c r="B422" s="180">
        <f>C115</f>
        <v>106</v>
      </c>
    </row>
    <row r="423" spans="1:7" ht="12.6" customHeight="1" x14ac:dyDescent="0.25">
      <c r="A423" s="179" t="s">
        <v>1244</v>
      </c>
      <c r="B423" s="179">
        <f>D115</f>
        <v>171</v>
      </c>
      <c r="D423" s="179">
        <f>J59</f>
        <v>0</v>
      </c>
    </row>
    <row r="424" spans="1:7" ht="12.6" customHeight="1" x14ac:dyDescent="0.25">
      <c r="A424" s="204"/>
      <c r="B424" s="204"/>
      <c r="C424" s="204"/>
      <c r="D424" s="204"/>
      <c r="F424" s="204"/>
      <c r="G424" s="204"/>
    </row>
    <row r="425" spans="1:7" ht="12.6" customHeight="1" x14ac:dyDescent="0.25">
      <c r="A425" s="179" t="s">
        <v>470</v>
      </c>
      <c r="B425" s="181" t="s">
        <v>471</v>
      </c>
      <c r="C425" s="181" t="s">
        <v>462</v>
      </c>
      <c r="D425" s="181" t="s">
        <v>472</v>
      </c>
    </row>
    <row r="426" spans="1:7" ht="12.6" customHeight="1" x14ac:dyDescent="0.25">
      <c r="A426" s="179" t="s">
        <v>473</v>
      </c>
      <c r="B426" s="179">
        <f t="shared" ref="B426:B436" si="0">C376</f>
        <v>0</v>
      </c>
      <c r="C426" s="179">
        <f t="shared" ref="C426:C433" si="1">CE61</f>
        <v>17307571</v>
      </c>
      <c r="D426" s="179"/>
    </row>
    <row r="427" spans="1:7" ht="12.6" customHeight="1" x14ac:dyDescent="0.25">
      <c r="A427" s="179" t="s">
        <v>3</v>
      </c>
      <c r="B427" s="179">
        <f t="shared" si="0"/>
        <v>17307571</v>
      </c>
      <c r="C427" s="179">
        <f t="shared" si="1"/>
        <v>3382628</v>
      </c>
      <c r="D427" s="179">
        <f>D174</f>
        <v>3382628</v>
      </c>
    </row>
    <row r="428" spans="1:7" ht="12.6" customHeight="1" x14ac:dyDescent="0.25">
      <c r="A428" s="179" t="s">
        <v>236</v>
      </c>
      <c r="B428" s="179">
        <f t="shared" si="0"/>
        <v>3382628</v>
      </c>
      <c r="C428" s="179">
        <f t="shared" si="1"/>
        <v>459903</v>
      </c>
      <c r="D428" s="179"/>
    </row>
    <row r="429" spans="1:7" ht="12.6" customHeight="1" x14ac:dyDescent="0.25">
      <c r="A429" s="179" t="s">
        <v>237</v>
      </c>
      <c r="B429" s="179">
        <f t="shared" si="0"/>
        <v>459903</v>
      </c>
      <c r="C429" s="179">
        <f t="shared" si="1"/>
        <v>2248878</v>
      </c>
      <c r="D429" s="179"/>
    </row>
    <row r="430" spans="1:7" ht="12.6" customHeight="1" x14ac:dyDescent="0.25">
      <c r="A430" s="179" t="s">
        <v>444</v>
      </c>
      <c r="B430" s="179">
        <f t="shared" si="0"/>
        <v>2248888</v>
      </c>
      <c r="C430" s="179">
        <f t="shared" si="1"/>
        <v>200270</v>
      </c>
      <c r="D430" s="179"/>
    </row>
    <row r="431" spans="1:7" ht="12.6" customHeight="1" x14ac:dyDescent="0.25">
      <c r="A431" s="179" t="s">
        <v>445</v>
      </c>
      <c r="B431" s="179">
        <f t="shared" si="0"/>
        <v>200270</v>
      </c>
      <c r="C431" s="179">
        <f t="shared" si="1"/>
        <v>2123164</v>
      </c>
      <c r="D431" s="179"/>
    </row>
    <row r="432" spans="1:7" ht="12.6" customHeight="1" x14ac:dyDescent="0.25">
      <c r="A432" s="179" t="s">
        <v>6</v>
      </c>
      <c r="B432" s="179">
        <f t="shared" si="0"/>
        <v>2123626</v>
      </c>
      <c r="C432" s="179">
        <f t="shared" si="1"/>
        <v>743889</v>
      </c>
      <c r="D432" s="179">
        <f>C218</f>
        <v>743889</v>
      </c>
    </row>
    <row r="433" spans="1:7" ht="12.6" customHeight="1" x14ac:dyDescent="0.25">
      <c r="A433" s="179" t="s">
        <v>474</v>
      </c>
      <c r="B433" s="179">
        <f t="shared" si="0"/>
        <v>816817</v>
      </c>
      <c r="C433" s="179">
        <f t="shared" si="1"/>
        <v>412534</v>
      </c>
      <c r="D433" s="179">
        <f>D178</f>
        <v>412534</v>
      </c>
    </row>
    <row r="434" spans="1:7" ht="12.6" customHeight="1" x14ac:dyDescent="0.25">
      <c r="A434" s="179" t="s">
        <v>447</v>
      </c>
      <c r="B434" s="179">
        <f t="shared" si="0"/>
        <v>412534</v>
      </c>
      <c r="C434" s="179"/>
      <c r="D434" s="179">
        <f>D182</f>
        <v>282015</v>
      </c>
    </row>
    <row r="435" spans="1:7" ht="12.6" customHeight="1" x14ac:dyDescent="0.25">
      <c r="A435" s="179" t="s">
        <v>475</v>
      </c>
      <c r="B435" s="179">
        <f t="shared" si="0"/>
        <v>282015</v>
      </c>
      <c r="C435" s="179"/>
      <c r="D435" s="179">
        <f>D187</f>
        <v>169990</v>
      </c>
    </row>
    <row r="436" spans="1:7" ht="12.6" customHeight="1" x14ac:dyDescent="0.25">
      <c r="A436" s="192" t="s">
        <v>449</v>
      </c>
      <c r="B436" s="192">
        <f t="shared" si="0"/>
        <v>169990</v>
      </c>
      <c r="C436" s="192"/>
      <c r="D436" s="192">
        <f>D191</f>
        <v>313618.03999999998</v>
      </c>
    </row>
    <row r="437" spans="1:7" ht="12.6" customHeight="1" x14ac:dyDescent="0.25">
      <c r="A437" s="192" t="s">
        <v>476</v>
      </c>
      <c r="B437" s="192">
        <f>C384+C385+C386</f>
        <v>864539</v>
      </c>
      <c r="C437" s="192">
        <f>CD70</f>
        <v>763158.04</v>
      </c>
      <c r="D437" s="192">
        <f>D182+D187+D191</f>
        <v>765623.04</v>
      </c>
    </row>
    <row r="438" spans="1:7" ht="12.6" customHeight="1" x14ac:dyDescent="0.25">
      <c r="A438" s="179" t="s">
        <v>1262</v>
      </c>
      <c r="B438" s="179">
        <f>C387</f>
        <v>313618</v>
      </c>
      <c r="C438" s="179">
        <f>CD69</f>
        <v>0</v>
      </c>
      <c r="D438" s="179"/>
    </row>
    <row r="439" spans="1:7" ht="12.6" customHeight="1" x14ac:dyDescent="0.25">
      <c r="A439" s="179" t="s">
        <v>451</v>
      </c>
      <c r="B439" s="192">
        <f>C388</f>
        <v>1217952</v>
      </c>
      <c r="C439" s="192">
        <f>SUM(C70:CC70)</f>
        <v>1217951.1200000001</v>
      </c>
      <c r="D439" s="179"/>
    </row>
    <row r="440" spans="1:7" ht="12.6" customHeight="1" x14ac:dyDescent="0.25">
      <c r="A440" s="179" t="s">
        <v>477</v>
      </c>
      <c r="B440" s="192">
        <f>B437+B439</f>
        <v>2082491</v>
      </c>
      <c r="C440" s="192">
        <f>CE70</f>
        <v>1981109.1600000001</v>
      </c>
      <c r="D440" s="179"/>
    </row>
    <row r="441" spans="1:7" ht="12.6" customHeight="1" x14ac:dyDescent="0.25">
      <c r="A441" s="179" t="s">
        <v>478</v>
      </c>
      <c r="B441" s="179">
        <f>D389</f>
        <v>28935812</v>
      </c>
      <c r="C441" s="179">
        <f>SUM(C426:C436)+C438+C440</f>
        <v>28859946.16</v>
      </c>
      <c r="D441" s="179"/>
    </row>
    <row r="442" spans="1:7" ht="12.6" customHeight="1" x14ac:dyDescent="0.25">
      <c r="A442" s="204"/>
      <c r="B442" s="204"/>
      <c r="C442" s="204"/>
      <c r="D442" s="204"/>
      <c r="F442" s="204"/>
      <c r="G442" s="204"/>
    </row>
    <row r="443" spans="1:7" ht="12.6" customHeight="1" x14ac:dyDescent="0.25">
      <c r="A443" s="179" t="s">
        <v>479</v>
      </c>
      <c r="B443" s="181" t="s">
        <v>480</v>
      </c>
      <c r="C443" s="181" t="s">
        <v>471</v>
      </c>
      <c r="D443" s="179"/>
    </row>
    <row r="444" spans="1:7" ht="12.6" customHeight="1" x14ac:dyDescent="0.25">
      <c r="A444" s="179" t="s">
        <v>343</v>
      </c>
      <c r="B444" s="179">
        <f>D228</f>
        <v>21042145</v>
      </c>
      <c r="C444" s="179">
        <f>C362</f>
        <v>607795</v>
      </c>
      <c r="D444" s="179"/>
    </row>
    <row r="445" spans="1:7" ht="12.6" customHeight="1" x14ac:dyDescent="0.25">
      <c r="A445" s="179" t="s">
        <v>351</v>
      </c>
      <c r="B445" s="179">
        <f>D235</f>
        <v>0</v>
      </c>
      <c r="C445" s="179">
        <f>C363</f>
        <v>20466272</v>
      </c>
      <c r="D445" s="179"/>
    </row>
    <row r="446" spans="1:7" ht="12.6" customHeight="1" x14ac:dyDescent="0.25">
      <c r="A446" s="179" t="s">
        <v>356</v>
      </c>
      <c r="B446" s="179">
        <f>D239</f>
        <v>15785</v>
      </c>
      <c r="C446" s="179">
        <f>C364</f>
        <v>575873</v>
      </c>
      <c r="D446" s="179"/>
    </row>
    <row r="447" spans="1:7" ht="12.6" customHeight="1" x14ac:dyDescent="0.25">
      <c r="A447" s="179" t="s">
        <v>358</v>
      </c>
      <c r="B447" s="179">
        <f>D241</f>
        <v>21665725</v>
      </c>
      <c r="C447" s="179">
        <f>D365</f>
        <v>0</v>
      </c>
      <c r="D447" s="179"/>
    </row>
    <row r="448" spans="1:7" ht="12.6" customHeight="1" x14ac:dyDescent="0.25">
      <c r="A448" s="204"/>
      <c r="B448" s="204"/>
      <c r="C448" s="204"/>
      <c r="D448" s="204"/>
      <c r="F448" s="204"/>
      <c r="G448" s="204"/>
    </row>
    <row r="449" spans="1:7" ht="12.6" customHeight="1" x14ac:dyDescent="0.25">
      <c r="A449" s="180" t="s">
        <v>481</v>
      </c>
      <c r="B449" s="181" t="s">
        <v>482</v>
      </c>
      <c r="C449" s="204"/>
      <c r="D449" s="204"/>
      <c r="F449" s="204"/>
      <c r="G449" s="204"/>
    </row>
    <row r="450" spans="1:7" ht="12.6" customHeight="1" x14ac:dyDescent="0.25">
      <c r="B450" s="181" t="s">
        <v>483</v>
      </c>
    </row>
    <row r="451" spans="1:7" ht="12.6" customHeight="1" x14ac:dyDescent="0.25">
      <c r="B451" s="181" t="s">
        <v>472</v>
      </c>
    </row>
    <row r="452" spans="1:7" ht="12.6" customHeight="1" x14ac:dyDescent="0.25">
      <c r="A452" s="197" t="s">
        <v>484</v>
      </c>
      <c r="B452" s="180">
        <f>C230</f>
        <v>169.12484845138019</v>
      </c>
    </row>
    <row r="453" spans="1:7" ht="12.6" customHeight="1" x14ac:dyDescent="0.25">
      <c r="A453" s="179" t="s">
        <v>168</v>
      </c>
      <c r="B453" s="179" t="str">
        <f>C232</f>
        <v xml:space="preserve">               159,855</v>
      </c>
      <c r="C453" s="179"/>
      <c r="D453" s="179"/>
    </row>
    <row r="454" spans="1:7" ht="12.6" customHeight="1" x14ac:dyDescent="0.25">
      <c r="A454" s="179" t="s">
        <v>131</v>
      </c>
      <c r="B454" s="179" t="str">
        <f>C233</f>
        <v xml:space="preserve">               416,018</v>
      </c>
      <c r="C454" s="179"/>
      <c r="D454" s="179"/>
    </row>
    <row r="455" spans="1:7" ht="12.6" customHeight="1" x14ac:dyDescent="0.25">
      <c r="A455" s="204"/>
      <c r="B455" s="204"/>
      <c r="C455" s="204"/>
      <c r="D455" s="204"/>
      <c r="F455" s="204"/>
      <c r="G455" s="204"/>
    </row>
    <row r="456" spans="1:7" ht="12.6" customHeight="1" x14ac:dyDescent="0.25">
      <c r="A456" s="179" t="s">
        <v>485</v>
      </c>
      <c r="B456" s="181" t="s">
        <v>471</v>
      </c>
      <c r="C456" s="181" t="s">
        <v>486</v>
      </c>
      <c r="D456" s="179"/>
    </row>
    <row r="457" spans="1:7" ht="12.6" customHeight="1" x14ac:dyDescent="0.25">
      <c r="A457" s="179" t="s">
        <v>487</v>
      </c>
      <c r="B457" s="192">
        <f>C368</f>
        <v>0</v>
      </c>
      <c r="C457" s="192">
        <f>CE71</f>
        <v>841577</v>
      </c>
      <c r="D457" s="192"/>
    </row>
    <row r="458" spans="1:7" ht="12.6" customHeight="1" x14ac:dyDescent="0.25">
      <c r="A458" s="179" t="s">
        <v>244</v>
      </c>
      <c r="B458" s="192">
        <f>C369</f>
        <v>639543</v>
      </c>
      <c r="C458" s="192">
        <f>CE73</f>
        <v>1676063</v>
      </c>
      <c r="D458" s="192"/>
    </row>
    <row r="459" spans="1:7" ht="12.6" customHeight="1" x14ac:dyDescent="0.25">
      <c r="A459" s="204"/>
      <c r="B459" s="204"/>
      <c r="C459" s="204"/>
      <c r="D459" s="204"/>
      <c r="F459" s="204"/>
      <c r="G459" s="204"/>
    </row>
    <row r="460" spans="1:7" ht="12.6" customHeight="1" x14ac:dyDescent="0.25">
      <c r="A460" s="179" t="s">
        <v>488</v>
      </c>
      <c r="B460" s="181"/>
      <c r="C460" s="181"/>
      <c r="D460" s="181" t="s">
        <v>1245</v>
      </c>
    </row>
    <row r="461" spans="1:7" ht="12.6" customHeight="1" x14ac:dyDescent="0.25">
      <c r="B461" s="181" t="s">
        <v>471</v>
      </c>
      <c r="C461" s="181" t="s">
        <v>486</v>
      </c>
      <c r="D461" s="181" t="s">
        <v>490</v>
      </c>
    </row>
    <row r="462" spans="1:7" ht="12.6" customHeight="1" x14ac:dyDescent="0.25">
      <c r="A462" s="179" t="s">
        <v>245</v>
      </c>
      <c r="B462" s="192">
        <f>C358</f>
        <v>13290714</v>
      </c>
      <c r="C462" s="192">
        <f>CE74</f>
        <v>13290503.4</v>
      </c>
      <c r="D462" s="192">
        <f>E142+E148+E154</f>
        <v>13290503.4</v>
      </c>
    </row>
    <row r="463" spans="1:7" ht="12.6" customHeight="1" x14ac:dyDescent="0.25">
      <c r="A463" s="179" t="s">
        <v>246</v>
      </c>
      <c r="B463" s="192">
        <f>C359</f>
        <v>34587909</v>
      </c>
      <c r="C463" s="192">
        <f>CE75</f>
        <v>34588119.77359999</v>
      </c>
      <c r="D463" s="192">
        <f>E143+E149+E155</f>
        <v>34588125.773599997</v>
      </c>
    </row>
    <row r="464" spans="1:7" ht="12.6" customHeight="1" x14ac:dyDescent="0.25">
      <c r="A464" s="179" t="s">
        <v>247</v>
      </c>
      <c r="B464" s="192">
        <f>D360</f>
        <v>47878623</v>
      </c>
      <c r="C464" s="192">
        <f>CE76</f>
        <v>47878623.173600003</v>
      </c>
      <c r="D464" s="192">
        <f>D462+D463</f>
        <v>47878629.173599996</v>
      </c>
    </row>
    <row r="465" spans="1:7" ht="12.6" customHeight="1" x14ac:dyDescent="0.25">
      <c r="A465" s="204"/>
      <c r="B465" s="204"/>
      <c r="C465" s="204"/>
      <c r="D465" s="204"/>
      <c r="F465" s="204"/>
      <c r="G465" s="204"/>
    </row>
    <row r="466" spans="1:7" ht="12.6" customHeight="1" x14ac:dyDescent="0.25">
      <c r="A466" s="179" t="s">
        <v>491</v>
      </c>
      <c r="B466" s="181" t="s">
        <v>492</v>
      </c>
      <c r="C466" s="181" t="s">
        <v>493</v>
      </c>
      <c r="D466" s="179"/>
    </row>
    <row r="467" spans="1:7" ht="12.6" customHeight="1" x14ac:dyDescent="0.25">
      <c r="A467" s="179" t="s">
        <v>332</v>
      </c>
      <c r="B467" s="179">
        <f t="shared" ref="B467:B474" si="2">C266</f>
        <v>4168630</v>
      </c>
      <c r="C467" s="179">
        <f>E196</f>
        <v>4168630</v>
      </c>
      <c r="D467" s="179"/>
    </row>
    <row r="468" spans="1:7" ht="12.6" customHeight="1" x14ac:dyDescent="0.25">
      <c r="A468" s="179" t="s">
        <v>333</v>
      </c>
      <c r="B468" s="179">
        <f t="shared" si="2"/>
        <v>619271</v>
      </c>
      <c r="C468" s="179">
        <f>E197</f>
        <v>619271</v>
      </c>
      <c r="D468" s="179"/>
    </row>
    <row r="469" spans="1:7" ht="12.6" customHeight="1" x14ac:dyDescent="0.25">
      <c r="A469" s="179" t="s">
        <v>334</v>
      </c>
      <c r="B469" s="179">
        <f t="shared" si="2"/>
        <v>6090285</v>
      </c>
      <c r="C469" s="179">
        <f>E198</f>
        <v>5141340</v>
      </c>
      <c r="D469" s="179"/>
    </row>
    <row r="470" spans="1:7" ht="12.6" customHeight="1" x14ac:dyDescent="0.25">
      <c r="A470" s="179" t="s">
        <v>494</v>
      </c>
      <c r="B470" s="179">
        <f t="shared" si="2"/>
        <v>0</v>
      </c>
      <c r="C470" s="179">
        <f>E199</f>
        <v>948945</v>
      </c>
      <c r="D470" s="179"/>
    </row>
    <row r="471" spans="1:7" ht="12.6" customHeight="1" x14ac:dyDescent="0.25">
      <c r="A471" s="179" t="s">
        <v>377</v>
      </c>
      <c r="B471" s="179">
        <f t="shared" si="2"/>
        <v>1912588</v>
      </c>
      <c r="C471" s="179">
        <f>E200</f>
        <v>0</v>
      </c>
      <c r="D471" s="179"/>
    </row>
    <row r="472" spans="1:7" ht="12.6" customHeight="1" x14ac:dyDescent="0.25">
      <c r="A472" s="179" t="s">
        <v>495</v>
      </c>
      <c r="B472" s="179">
        <f t="shared" si="2"/>
        <v>6247363</v>
      </c>
      <c r="C472" s="179">
        <f>SUM(E201:E202)</f>
        <v>8159951</v>
      </c>
      <c r="D472" s="179"/>
    </row>
    <row r="473" spans="1:7" ht="12.6" customHeight="1" x14ac:dyDescent="0.25">
      <c r="A473" s="179" t="s">
        <v>339</v>
      </c>
      <c r="B473" s="179">
        <f t="shared" si="2"/>
        <v>0</v>
      </c>
      <c r="C473" s="179">
        <f>E203</f>
        <v>0</v>
      </c>
      <c r="D473" s="179"/>
    </row>
    <row r="474" spans="1:7" ht="12.6" customHeight="1" x14ac:dyDescent="0.25">
      <c r="A474" s="179" t="s">
        <v>340</v>
      </c>
      <c r="B474" s="179">
        <f t="shared" si="2"/>
        <v>1220887</v>
      </c>
      <c r="C474" s="179">
        <f>E204</f>
        <v>1220887</v>
      </c>
      <c r="D474" s="179"/>
    </row>
    <row r="475" spans="1:7" ht="12.6" customHeight="1" x14ac:dyDescent="0.25">
      <c r="A475" s="179" t="s">
        <v>203</v>
      </c>
      <c r="B475" s="179">
        <f>D274</f>
        <v>20259024</v>
      </c>
      <c r="C475" s="179">
        <f>E205</f>
        <v>20259024</v>
      </c>
      <c r="D475" s="179"/>
    </row>
    <row r="476" spans="1:7" ht="12.6" customHeight="1" x14ac:dyDescent="0.25">
      <c r="A476" s="179"/>
      <c r="B476" s="179"/>
      <c r="C476" s="179"/>
      <c r="D476" s="179"/>
    </row>
    <row r="477" spans="1:7" ht="12.6" customHeight="1" x14ac:dyDescent="0.25">
      <c r="A477" s="179" t="s">
        <v>496</v>
      </c>
      <c r="B477" s="179">
        <f>C275</f>
        <v>12037970</v>
      </c>
      <c r="C477" s="179">
        <f>E218</f>
        <v>12037970</v>
      </c>
      <c r="D477" s="179"/>
    </row>
    <row r="479" spans="1:7" ht="12.6" customHeight="1" x14ac:dyDescent="0.25">
      <c r="A479" s="180" t="s">
        <v>497</v>
      </c>
    </row>
    <row r="480" spans="1:7" ht="12.6" customHeight="1" x14ac:dyDescent="0.25">
      <c r="A480" s="180" t="s">
        <v>498</v>
      </c>
      <c r="C480" s="180">
        <f>D340</f>
        <v>37034756</v>
      </c>
    </row>
    <row r="481" spans="1:12" ht="12.6" customHeight="1" x14ac:dyDescent="0.25">
      <c r="A481" s="180" t="s">
        <v>499</v>
      </c>
      <c r="C481" s="180">
        <f>D338</f>
        <v>36346539</v>
      </c>
    </row>
    <row r="484" spans="1:12" ht="12.6" customHeight="1" x14ac:dyDescent="0.25">
      <c r="A484" s="197" t="s">
        <v>500</v>
      </c>
    </row>
    <row r="485" spans="1:12" ht="12.6" customHeight="1" x14ac:dyDescent="0.25">
      <c r="A485" s="197" t="s">
        <v>501</v>
      </c>
    </row>
    <row r="486" spans="1:12" ht="12.6" customHeight="1" x14ac:dyDescent="0.25">
      <c r="A486" s="197" t="s">
        <v>502</v>
      </c>
    </row>
    <row r="487" spans="1:12" ht="12.6" customHeight="1" x14ac:dyDescent="0.25">
      <c r="A487" s="197"/>
    </row>
    <row r="488" spans="1:12" ht="12.6" customHeight="1" x14ac:dyDescent="0.25">
      <c r="A488" s="196" t="s">
        <v>503</v>
      </c>
    </row>
    <row r="489" spans="1:12" ht="12.6" customHeight="1" x14ac:dyDescent="0.25">
      <c r="A489" s="197" t="s">
        <v>504</v>
      </c>
    </row>
    <row r="490" spans="1:12" ht="12.6" customHeight="1" x14ac:dyDescent="0.25">
      <c r="A490" s="197"/>
    </row>
    <row r="492" spans="1:12" ht="12.6" customHeight="1" x14ac:dyDescent="0.25">
      <c r="A492" s="180" t="str">
        <f>C85</f>
        <v>Lake Chelan Community Hospital</v>
      </c>
      <c r="B492" s="257" t="s">
        <v>1264</v>
      </c>
      <c r="C492" s="257" t="str">
        <f>RIGHT(C83,4)</f>
        <v>2018</v>
      </c>
      <c r="D492" s="257" t="s">
        <v>1264</v>
      </c>
      <c r="E492" s="257" t="str">
        <f>RIGHT(C83,4)</f>
        <v>2018</v>
      </c>
      <c r="F492" s="257" t="s">
        <v>1264</v>
      </c>
      <c r="G492" s="257" t="str">
        <f>RIGHT(C83,4)</f>
        <v>2018</v>
      </c>
      <c r="H492" s="257"/>
      <c r="K492" s="257"/>
      <c r="L492" s="257"/>
    </row>
    <row r="493" spans="1:12" ht="12.6" customHeight="1" x14ac:dyDescent="0.25">
      <c r="A493" s="196"/>
      <c r="B493" s="181" t="s">
        <v>505</v>
      </c>
      <c r="C493" s="181" t="s">
        <v>505</v>
      </c>
      <c r="D493" s="258" t="s">
        <v>506</v>
      </c>
      <c r="E493" s="258" t="s">
        <v>506</v>
      </c>
      <c r="F493" s="257" t="s">
        <v>507</v>
      </c>
      <c r="G493" s="257" t="s">
        <v>507</v>
      </c>
      <c r="H493" s="257" t="s">
        <v>508</v>
      </c>
      <c r="K493" s="257"/>
      <c r="L493" s="257"/>
    </row>
    <row r="494" spans="1:12" ht="12.6" customHeight="1" x14ac:dyDescent="0.25">
      <c r="B494" s="181" t="s">
        <v>303</v>
      </c>
      <c r="C494" s="181" t="s">
        <v>303</v>
      </c>
      <c r="D494" s="181" t="s">
        <v>509</v>
      </c>
      <c r="E494" s="181" t="s">
        <v>509</v>
      </c>
      <c r="F494" s="257" t="s">
        <v>510</v>
      </c>
      <c r="G494" s="257" t="s">
        <v>510</v>
      </c>
      <c r="H494" s="257" t="s">
        <v>511</v>
      </c>
      <c r="K494" s="257"/>
      <c r="L494" s="257"/>
    </row>
    <row r="495" spans="1:12" ht="12.6" customHeight="1" x14ac:dyDescent="0.25">
      <c r="A495" s="180" t="s">
        <v>512</v>
      </c>
      <c r="B495" s="236">
        <v>16109014</v>
      </c>
      <c r="C495" s="236">
        <f>C72</f>
        <v>0</v>
      </c>
      <c r="D495" s="236">
        <v>9430</v>
      </c>
      <c r="E495" s="180">
        <f>C59</f>
        <v>0</v>
      </c>
      <c r="F495" s="259">
        <f t="shared" ref="F495:G510" si="3">IF(B495=0,"",IF(D495=0,"",B495/D495))</f>
        <v>1708.2729586426299</v>
      </c>
      <c r="G495" s="260" t="str">
        <f t="shared" si="3"/>
        <v/>
      </c>
      <c r="H495" s="261" t="str">
        <f>IF(B495=0,"",IF(C495=0,"",IF(D495=0,"",IF(E495=0,"",IF(G495/F495-1&lt;-0.25,G495/F495-1,IF(G495/F495-1&gt;0.25,G495/F495-1,""))))))</f>
        <v/>
      </c>
      <c r="I495" s="263"/>
      <c r="K495" s="257"/>
      <c r="L495" s="257"/>
    </row>
    <row r="496" spans="1:12" ht="12.6" customHeight="1" x14ac:dyDescent="0.25">
      <c r="A496" s="180" t="s">
        <v>513</v>
      </c>
      <c r="B496" s="236">
        <v>0</v>
      </c>
      <c r="C496" s="236">
        <f>D72</f>
        <v>0</v>
      </c>
      <c r="D496" s="236">
        <v>0</v>
      </c>
      <c r="E496" s="180">
        <f>D59</f>
        <v>0</v>
      </c>
      <c r="F496" s="259" t="str">
        <f t="shared" si="3"/>
        <v/>
      </c>
      <c r="G496" s="259" t="str">
        <f t="shared" si="3"/>
        <v/>
      </c>
      <c r="H496" s="261" t="str">
        <f t="shared" ref="H496:H549" si="4">IF(B496=0,"",IF(C496=0,"",IF(D496=0,"",IF(E496=0,"",IF(G496/F496-1&lt;-0.25,G496/F496-1,IF(G496/F496-1&gt;0.25,G496/F496-1,""))))))</f>
        <v/>
      </c>
      <c r="I496" s="263"/>
      <c r="K496" s="257"/>
      <c r="L496" s="257"/>
    </row>
    <row r="497" spans="1:12" ht="12.6" customHeight="1" x14ac:dyDescent="0.25">
      <c r="A497" s="180" t="s">
        <v>514</v>
      </c>
      <c r="B497" s="236">
        <v>41784874</v>
      </c>
      <c r="C497" s="236">
        <f>E72</f>
        <v>947060</v>
      </c>
      <c r="D497" s="236">
        <v>48942</v>
      </c>
      <c r="E497" s="180">
        <f>E59</f>
        <v>737</v>
      </c>
      <c r="F497" s="259">
        <f t="shared" si="3"/>
        <v>853.76310735155903</v>
      </c>
      <c r="G497" s="259">
        <f t="shared" si="3"/>
        <v>1285.0203527815468</v>
      </c>
      <c r="H497" s="261">
        <f t="shared" si="4"/>
        <v>0.50512518252022143</v>
      </c>
      <c r="I497" s="263"/>
      <c r="K497" s="257"/>
      <c r="L497" s="257"/>
    </row>
    <row r="498" spans="1:12" ht="12.6" customHeight="1" x14ac:dyDescent="0.25">
      <c r="A498" s="180" t="s">
        <v>515</v>
      </c>
      <c r="B498" s="236">
        <v>0</v>
      </c>
      <c r="C498" s="236">
        <f>F72</f>
        <v>0</v>
      </c>
      <c r="D498" s="236">
        <v>0</v>
      </c>
      <c r="E498" s="180">
        <f>F59</f>
        <v>0</v>
      </c>
      <c r="F498" s="259" t="str">
        <f t="shared" si="3"/>
        <v/>
      </c>
      <c r="G498" s="259" t="str">
        <f t="shared" si="3"/>
        <v/>
      </c>
      <c r="H498" s="261" t="str">
        <f t="shared" si="4"/>
        <v/>
      </c>
      <c r="I498" s="263"/>
      <c r="K498" s="257"/>
      <c r="L498" s="257"/>
    </row>
    <row r="499" spans="1:12" ht="12.6" customHeight="1" x14ac:dyDescent="0.25">
      <c r="A499" s="180" t="s">
        <v>516</v>
      </c>
      <c r="B499" s="236">
        <v>0</v>
      </c>
      <c r="C499" s="236">
        <f>G72</f>
        <v>0</v>
      </c>
      <c r="D499" s="236">
        <v>0</v>
      </c>
      <c r="E499" s="180">
        <f>G59</f>
        <v>0</v>
      </c>
      <c r="F499" s="259" t="str">
        <f t="shared" si="3"/>
        <v/>
      </c>
      <c r="G499" s="259" t="str">
        <f t="shared" si="3"/>
        <v/>
      </c>
      <c r="H499" s="261" t="str">
        <f t="shared" si="4"/>
        <v/>
      </c>
      <c r="I499" s="263"/>
      <c r="K499" s="257"/>
      <c r="L499" s="257"/>
    </row>
    <row r="500" spans="1:12" ht="12.6" customHeight="1" x14ac:dyDescent="0.25">
      <c r="A500" s="180" t="s">
        <v>517</v>
      </c>
      <c r="B500" s="236">
        <v>2945804</v>
      </c>
      <c r="C500" s="236">
        <f>H72</f>
        <v>0</v>
      </c>
      <c r="D500" s="236">
        <v>4243</v>
      </c>
      <c r="E500" s="180">
        <f>H59</f>
        <v>0</v>
      </c>
      <c r="F500" s="259">
        <f t="shared" si="3"/>
        <v>694.27386283290127</v>
      </c>
      <c r="G500" s="259" t="str">
        <f t="shared" si="3"/>
        <v/>
      </c>
      <c r="H500" s="261" t="str">
        <f t="shared" si="4"/>
        <v/>
      </c>
      <c r="I500" s="263"/>
      <c r="K500" s="257"/>
      <c r="L500" s="257"/>
    </row>
    <row r="501" spans="1:12" ht="12.6" customHeight="1" x14ac:dyDescent="0.25">
      <c r="A501" s="180" t="s">
        <v>518</v>
      </c>
      <c r="B501" s="236">
        <v>0</v>
      </c>
      <c r="C501" s="236">
        <f>I72</f>
        <v>247066</v>
      </c>
      <c r="D501" s="236">
        <v>0</v>
      </c>
      <c r="E501" s="180">
        <f>I59</f>
        <v>510</v>
      </c>
      <c r="F501" s="259" t="str">
        <f t="shared" si="3"/>
        <v/>
      </c>
      <c r="G501" s="259">
        <f t="shared" si="3"/>
        <v>484.44313725490196</v>
      </c>
      <c r="H501" s="261" t="str">
        <f t="shared" si="4"/>
        <v/>
      </c>
      <c r="I501" s="263"/>
      <c r="K501" s="257"/>
      <c r="L501" s="257"/>
    </row>
    <row r="502" spans="1:12" ht="12.6" customHeight="1" x14ac:dyDescent="0.25">
      <c r="A502" s="180" t="s">
        <v>519</v>
      </c>
      <c r="B502" s="236">
        <v>0</v>
      </c>
      <c r="C502" s="236">
        <f>J72</f>
        <v>11164</v>
      </c>
      <c r="D502" s="236">
        <v>0</v>
      </c>
      <c r="E502" s="180">
        <f>J59</f>
        <v>0</v>
      </c>
      <c r="F502" s="259" t="str">
        <f t="shared" si="3"/>
        <v/>
      </c>
      <c r="G502" s="259" t="str">
        <f t="shared" si="3"/>
        <v/>
      </c>
      <c r="H502" s="261" t="str">
        <f t="shared" si="4"/>
        <v/>
      </c>
      <c r="I502" s="263"/>
      <c r="K502" s="257"/>
      <c r="L502" s="257"/>
    </row>
    <row r="503" spans="1:12" ht="12.6" customHeight="1" x14ac:dyDescent="0.25">
      <c r="A503" s="180" t="s">
        <v>520</v>
      </c>
      <c r="B503" s="236">
        <v>0</v>
      </c>
      <c r="C503" s="236">
        <f>K72</f>
        <v>0</v>
      </c>
      <c r="D503" s="236">
        <v>0</v>
      </c>
      <c r="E503" s="180">
        <f>K59</f>
        <v>0</v>
      </c>
      <c r="F503" s="259" t="str">
        <f t="shared" si="3"/>
        <v/>
      </c>
      <c r="G503" s="259" t="str">
        <f t="shared" si="3"/>
        <v/>
      </c>
      <c r="H503" s="261" t="str">
        <f t="shared" si="4"/>
        <v/>
      </c>
      <c r="I503" s="263"/>
      <c r="K503" s="257"/>
      <c r="L503" s="257"/>
    </row>
    <row r="504" spans="1:12" ht="12.6" customHeight="1" x14ac:dyDescent="0.25">
      <c r="A504" s="180" t="s">
        <v>521</v>
      </c>
      <c r="B504" s="236">
        <v>0</v>
      </c>
      <c r="C504" s="236">
        <f>L72</f>
        <v>2867447</v>
      </c>
      <c r="D504" s="236">
        <v>0</v>
      </c>
      <c r="E504" s="180">
        <f>L59</f>
        <v>4910</v>
      </c>
      <c r="F504" s="259" t="str">
        <f t="shared" si="3"/>
        <v/>
      </c>
      <c r="G504" s="259">
        <f t="shared" si="3"/>
        <v>584.00142566191448</v>
      </c>
      <c r="H504" s="261" t="str">
        <f t="shared" si="4"/>
        <v/>
      </c>
      <c r="I504" s="263"/>
      <c r="K504" s="257"/>
      <c r="L504" s="257"/>
    </row>
    <row r="505" spans="1:12" ht="12.6" customHeight="1" x14ac:dyDescent="0.25">
      <c r="A505" s="180" t="s">
        <v>522</v>
      </c>
      <c r="B505" s="236">
        <v>0</v>
      </c>
      <c r="C505" s="236">
        <f>M72</f>
        <v>0</v>
      </c>
      <c r="D505" s="236">
        <v>0</v>
      </c>
      <c r="E505" s="180">
        <f>M59</f>
        <v>0</v>
      </c>
      <c r="F505" s="259" t="str">
        <f t="shared" si="3"/>
        <v/>
      </c>
      <c r="G505" s="259" t="str">
        <f t="shared" si="3"/>
        <v/>
      </c>
      <c r="H505" s="261" t="str">
        <f t="shared" si="4"/>
        <v/>
      </c>
      <c r="I505" s="263"/>
      <c r="K505" s="257"/>
      <c r="L505" s="257"/>
    </row>
    <row r="506" spans="1:12" ht="12.6" customHeight="1" x14ac:dyDescent="0.25">
      <c r="A506" s="180" t="s">
        <v>523</v>
      </c>
      <c r="B506" s="236">
        <v>0</v>
      </c>
      <c r="C506" s="236">
        <f>N72</f>
        <v>0</v>
      </c>
      <c r="D506" s="236">
        <v>0</v>
      </c>
      <c r="E506" s="180">
        <f>N59</f>
        <v>0</v>
      </c>
      <c r="F506" s="259" t="str">
        <f t="shared" si="3"/>
        <v/>
      </c>
      <c r="G506" s="259" t="str">
        <f t="shared" si="3"/>
        <v/>
      </c>
      <c r="H506" s="261" t="str">
        <f t="shared" si="4"/>
        <v/>
      </c>
      <c r="I506" s="263"/>
      <c r="K506" s="257"/>
      <c r="L506" s="257"/>
    </row>
    <row r="507" spans="1:12" ht="12.6" customHeight="1" x14ac:dyDescent="0.25">
      <c r="A507" s="180" t="s">
        <v>524</v>
      </c>
      <c r="B507" s="236">
        <v>8566030</v>
      </c>
      <c r="C507" s="236">
        <f>O72</f>
        <v>678571</v>
      </c>
      <c r="D507" s="236">
        <v>3648</v>
      </c>
      <c r="E507" s="180">
        <f>O59</f>
        <v>0</v>
      </c>
      <c r="F507" s="259">
        <f t="shared" si="3"/>
        <v>2348.1441885964914</v>
      </c>
      <c r="G507" s="259" t="str">
        <f t="shared" si="3"/>
        <v/>
      </c>
      <c r="H507" s="261" t="str">
        <f t="shared" si="4"/>
        <v/>
      </c>
      <c r="I507" s="263"/>
      <c r="K507" s="257"/>
      <c r="L507" s="257"/>
    </row>
    <row r="508" spans="1:12" ht="12.6" customHeight="1" x14ac:dyDescent="0.25">
      <c r="A508" s="180" t="s">
        <v>525</v>
      </c>
      <c r="B508" s="236">
        <v>46359899</v>
      </c>
      <c r="C508" s="236">
        <f>P72</f>
        <v>970187</v>
      </c>
      <c r="D508" s="236">
        <v>1391652</v>
      </c>
      <c r="E508" s="180">
        <f>P59</f>
        <v>51987</v>
      </c>
      <c r="F508" s="259">
        <f t="shared" si="3"/>
        <v>33.312853357017417</v>
      </c>
      <c r="G508" s="259">
        <f t="shared" si="3"/>
        <v>18.662107834650971</v>
      </c>
      <c r="H508" s="261">
        <f t="shared" si="4"/>
        <v>-0.43979257391592474</v>
      </c>
      <c r="I508" s="263"/>
      <c r="K508" s="257"/>
      <c r="L508" s="257"/>
    </row>
    <row r="509" spans="1:12" ht="12.6" customHeight="1" x14ac:dyDescent="0.25">
      <c r="A509" s="180" t="s">
        <v>526</v>
      </c>
      <c r="B509" s="236">
        <v>3671387</v>
      </c>
      <c r="C509" s="236">
        <f>Q72</f>
        <v>267688.90000000002</v>
      </c>
      <c r="D509" s="236">
        <v>693702</v>
      </c>
      <c r="E509" s="180">
        <f>Q59</f>
        <v>39961</v>
      </c>
      <c r="F509" s="259">
        <f t="shared" si="3"/>
        <v>5.2924555500776993</v>
      </c>
      <c r="G509" s="259">
        <f t="shared" si="3"/>
        <v>6.6987537849403171</v>
      </c>
      <c r="H509" s="261">
        <f t="shared" si="4"/>
        <v>0.26571753348820693</v>
      </c>
      <c r="I509" s="263"/>
      <c r="K509" s="257"/>
      <c r="L509" s="257"/>
    </row>
    <row r="510" spans="1:12" ht="12.6" customHeight="1" x14ac:dyDescent="0.25">
      <c r="A510" s="180" t="s">
        <v>527</v>
      </c>
      <c r="B510" s="236">
        <v>2026281</v>
      </c>
      <c r="C510" s="236">
        <f>R72</f>
        <v>661868</v>
      </c>
      <c r="D510" s="236">
        <v>1385678</v>
      </c>
      <c r="E510" s="180">
        <f>R59</f>
        <v>46218</v>
      </c>
      <c r="F510" s="259">
        <f t="shared" si="3"/>
        <v>1.4623029304066313</v>
      </c>
      <c r="G510" s="259">
        <f t="shared" si="3"/>
        <v>14.320567744168939</v>
      </c>
      <c r="H510" s="261">
        <f t="shared" si="4"/>
        <v>8.7931608057345088</v>
      </c>
      <c r="I510" s="263"/>
      <c r="K510" s="257"/>
      <c r="L510" s="257"/>
    </row>
    <row r="511" spans="1:12" ht="12.6" customHeight="1" x14ac:dyDescent="0.25">
      <c r="A511" s="180" t="s">
        <v>528</v>
      </c>
      <c r="B511" s="236">
        <v>5731579</v>
      </c>
      <c r="C511" s="236">
        <f>S72</f>
        <v>942384</v>
      </c>
      <c r="D511" s="181" t="s">
        <v>529</v>
      </c>
      <c r="E511" s="181" t="s">
        <v>529</v>
      </c>
      <c r="F511" s="259" t="str">
        <f t="shared" ref="F511:G526" si="5">IF(B511=0,"",IF(D511=0,"",B511/D511))</f>
        <v/>
      </c>
      <c r="G511" s="259" t="str">
        <f t="shared" si="5"/>
        <v/>
      </c>
      <c r="H511" s="261" t="str">
        <f t="shared" si="4"/>
        <v/>
      </c>
      <c r="I511" s="263"/>
      <c r="K511" s="257"/>
      <c r="L511" s="257"/>
    </row>
    <row r="512" spans="1:12" ht="12.6" customHeight="1" x14ac:dyDescent="0.25">
      <c r="A512" s="180" t="s">
        <v>1246</v>
      </c>
      <c r="B512" s="236">
        <v>8670551</v>
      </c>
      <c r="C512" s="236">
        <f>T72</f>
        <v>0</v>
      </c>
      <c r="D512" s="181" t="s">
        <v>529</v>
      </c>
      <c r="E512" s="181" t="s">
        <v>529</v>
      </c>
      <c r="F512" s="259" t="str">
        <f t="shared" si="5"/>
        <v/>
      </c>
      <c r="G512" s="259" t="str">
        <f t="shared" si="5"/>
        <v/>
      </c>
      <c r="H512" s="261" t="str">
        <f t="shared" si="4"/>
        <v/>
      </c>
      <c r="I512" s="263"/>
      <c r="K512" s="257"/>
      <c r="L512" s="257"/>
    </row>
    <row r="513" spans="1:12" ht="12.6" customHeight="1" x14ac:dyDescent="0.25">
      <c r="A513" s="180" t="s">
        <v>530</v>
      </c>
      <c r="B513" s="236">
        <v>15012657</v>
      </c>
      <c r="C513" s="236">
        <f>U72</f>
        <v>1346642</v>
      </c>
      <c r="D513" s="236">
        <v>1204214</v>
      </c>
      <c r="E513" s="180">
        <f>U59</f>
        <v>44695</v>
      </c>
      <c r="F513" s="259">
        <f t="shared" si="5"/>
        <v>12.466768365091255</v>
      </c>
      <c r="G513" s="259">
        <f t="shared" si="5"/>
        <v>30.129589439534623</v>
      </c>
      <c r="H513" s="261">
        <f t="shared" si="4"/>
        <v>1.4167922718370067</v>
      </c>
      <c r="I513" s="263"/>
      <c r="K513" s="257"/>
      <c r="L513" s="257"/>
    </row>
    <row r="514" spans="1:12" ht="12.6" customHeight="1" x14ac:dyDescent="0.25">
      <c r="A514" s="180" t="s">
        <v>531</v>
      </c>
      <c r="B514" s="236">
        <v>625057</v>
      </c>
      <c r="C514" s="236">
        <f>V72</f>
        <v>0</v>
      </c>
      <c r="D514" s="236">
        <v>23863</v>
      </c>
      <c r="E514" s="180">
        <f>V59</f>
        <v>0</v>
      </c>
      <c r="F514" s="259">
        <f t="shared" si="5"/>
        <v>26.193563256924946</v>
      </c>
      <c r="G514" s="259" t="str">
        <f t="shared" si="5"/>
        <v/>
      </c>
      <c r="H514" s="261" t="str">
        <f t="shared" si="4"/>
        <v/>
      </c>
      <c r="I514" s="263"/>
      <c r="K514" s="257"/>
      <c r="L514" s="257"/>
    </row>
    <row r="515" spans="1:12" ht="12.6" customHeight="1" x14ac:dyDescent="0.25">
      <c r="A515" s="180" t="s">
        <v>532</v>
      </c>
      <c r="B515" s="236">
        <v>3024844</v>
      </c>
      <c r="C515" s="236">
        <f>W72</f>
        <v>0</v>
      </c>
      <c r="D515" s="236">
        <v>136581</v>
      </c>
      <c r="E515" s="180">
        <f>W59</f>
        <v>0</v>
      </c>
      <c r="F515" s="259">
        <f t="shared" si="5"/>
        <v>22.146887195144274</v>
      </c>
      <c r="G515" s="259" t="str">
        <f t="shared" si="5"/>
        <v/>
      </c>
      <c r="H515" s="261" t="str">
        <f t="shared" si="4"/>
        <v/>
      </c>
      <c r="I515" s="263"/>
      <c r="K515" s="257"/>
      <c r="L515" s="257"/>
    </row>
    <row r="516" spans="1:12" ht="12.6" customHeight="1" x14ac:dyDescent="0.25">
      <c r="A516" s="180" t="s">
        <v>533</v>
      </c>
      <c r="B516" s="236">
        <v>2350447</v>
      </c>
      <c r="C516" s="236">
        <f>X72</f>
        <v>0</v>
      </c>
      <c r="D516" s="236">
        <v>138430</v>
      </c>
      <c r="E516" s="180">
        <f>X59</f>
        <v>0</v>
      </c>
      <c r="F516" s="259">
        <f t="shared" si="5"/>
        <v>16.979318066893015</v>
      </c>
      <c r="G516" s="259" t="str">
        <f t="shared" si="5"/>
        <v/>
      </c>
      <c r="H516" s="261" t="str">
        <f t="shared" si="4"/>
        <v/>
      </c>
      <c r="I516" s="263"/>
      <c r="K516" s="257"/>
      <c r="L516" s="257"/>
    </row>
    <row r="517" spans="1:12" ht="12.6" customHeight="1" x14ac:dyDescent="0.25">
      <c r="A517" s="180" t="s">
        <v>534</v>
      </c>
      <c r="B517" s="236">
        <v>8956392</v>
      </c>
      <c r="C517" s="236">
        <f>Y72</f>
        <v>1505724</v>
      </c>
      <c r="D517" s="236">
        <v>146839</v>
      </c>
      <c r="E517" s="180">
        <f>Y59</f>
        <v>6865</v>
      </c>
      <c r="F517" s="259">
        <f t="shared" si="5"/>
        <v>60.994640388452659</v>
      </c>
      <c r="G517" s="259">
        <f t="shared" si="5"/>
        <v>219.33343044428258</v>
      </c>
      <c r="H517" s="261">
        <f t="shared" si="4"/>
        <v>2.5959459560287232</v>
      </c>
      <c r="I517" s="263"/>
      <c r="K517" s="257"/>
      <c r="L517" s="257"/>
    </row>
    <row r="518" spans="1:12" ht="12.6" customHeight="1" x14ac:dyDescent="0.25">
      <c r="A518" s="180" t="s">
        <v>535</v>
      </c>
      <c r="B518" s="236">
        <v>17585421</v>
      </c>
      <c r="C518" s="236">
        <f>Z72</f>
        <v>0</v>
      </c>
      <c r="D518" s="236">
        <v>24260</v>
      </c>
      <c r="E518" s="180">
        <f>Z59</f>
        <v>0</v>
      </c>
      <c r="F518" s="259">
        <f t="shared" si="5"/>
        <v>724.87308326463312</v>
      </c>
      <c r="G518" s="259" t="str">
        <f t="shared" si="5"/>
        <v/>
      </c>
      <c r="H518" s="261" t="str">
        <f t="shared" si="4"/>
        <v/>
      </c>
      <c r="I518" s="263"/>
      <c r="K518" s="257"/>
      <c r="L518" s="257"/>
    </row>
    <row r="519" spans="1:12" ht="12.6" customHeight="1" x14ac:dyDescent="0.25">
      <c r="A519" s="180" t="s">
        <v>536</v>
      </c>
      <c r="B519" s="236">
        <v>2093570</v>
      </c>
      <c r="C519" s="236">
        <f>AA72</f>
        <v>0</v>
      </c>
      <c r="D519" s="236">
        <v>38874.47</v>
      </c>
      <c r="E519" s="180">
        <f>AA59</f>
        <v>0</v>
      </c>
      <c r="F519" s="259">
        <f t="shared" si="5"/>
        <v>53.854624899066145</v>
      </c>
      <c r="G519" s="259" t="str">
        <f t="shared" si="5"/>
        <v/>
      </c>
      <c r="H519" s="261" t="str">
        <f t="shared" si="4"/>
        <v/>
      </c>
      <c r="I519" s="263"/>
      <c r="K519" s="257"/>
      <c r="L519" s="257"/>
    </row>
    <row r="520" spans="1:12" ht="12.6" customHeight="1" x14ac:dyDescent="0.25">
      <c r="A520" s="180" t="s">
        <v>537</v>
      </c>
      <c r="B520" s="236">
        <v>11973528</v>
      </c>
      <c r="C520" s="236">
        <f>AB72</f>
        <v>334871.34999999998</v>
      </c>
      <c r="D520" s="181" t="s">
        <v>529</v>
      </c>
      <c r="E520" s="181" t="s">
        <v>529</v>
      </c>
      <c r="F520" s="259" t="str">
        <f t="shared" si="5"/>
        <v/>
      </c>
      <c r="G520" s="259" t="str">
        <f t="shared" si="5"/>
        <v/>
      </c>
      <c r="H520" s="261" t="str">
        <f t="shared" si="4"/>
        <v/>
      </c>
      <c r="I520" s="263"/>
      <c r="K520" s="257"/>
      <c r="L520" s="257"/>
    </row>
    <row r="521" spans="1:12" ht="12.6" customHeight="1" x14ac:dyDescent="0.25">
      <c r="A521" s="180" t="s">
        <v>538</v>
      </c>
      <c r="B521" s="236">
        <v>2657104</v>
      </c>
      <c r="C521" s="236">
        <f>AC72</f>
        <v>161635</v>
      </c>
      <c r="D521" s="236">
        <v>0</v>
      </c>
      <c r="E521" s="180">
        <f>AC59</f>
        <v>1798</v>
      </c>
      <c r="F521" s="259" t="str">
        <f t="shared" si="5"/>
        <v/>
      </c>
      <c r="G521" s="259">
        <f t="shared" si="5"/>
        <v>89.897107897664071</v>
      </c>
      <c r="H521" s="261" t="str">
        <f t="shared" si="4"/>
        <v/>
      </c>
      <c r="I521" s="263"/>
      <c r="K521" s="257"/>
      <c r="L521" s="257"/>
    </row>
    <row r="522" spans="1:12" ht="12.6" customHeight="1" x14ac:dyDescent="0.25">
      <c r="A522" s="180" t="s">
        <v>539</v>
      </c>
      <c r="B522" s="236">
        <v>564627</v>
      </c>
      <c r="C522" s="236">
        <f>AD72</f>
        <v>0</v>
      </c>
      <c r="D522" s="236">
        <v>0</v>
      </c>
      <c r="E522" s="180">
        <f>AD59</f>
        <v>0</v>
      </c>
      <c r="F522" s="259" t="str">
        <f t="shared" si="5"/>
        <v/>
      </c>
      <c r="G522" s="259" t="str">
        <f t="shared" si="5"/>
        <v/>
      </c>
      <c r="H522" s="261" t="str">
        <f t="shared" si="4"/>
        <v/>
      </c>
      <c r="I522" s="263"/>
      <c r="K522" s="257"/>
      <c r="L522" s="257"/>
    </row>
    <row r="523" spans="1:12" ht="12.6" customHeight="1" x14ac:dyDescent="0.25">
      <c r="A523" s="180" t="s">
        <v>540</v>
      </c>
      <c r="B523" s="236">
        <v>2474179</v>
      </c>
      <c r="C523" s="236">
        <f>AE72</f>
        <v>539007</v>
      </c>
      <c r="D523" s="236">
        <v>0</v>
      </c>
      <c r="E523" s="180">
        <f>AE59</f>
        <v>19913</v>
      </c>
      <c r="F523" s="259" t="str">
        <f t="shared" si="5"/>
        <v/>
      </c>
      <c r="G523" s="259">
        <f t="shared" si="5"/>
        <v>27.068096218550696</v>
      </c>
      <c r="H523" s="261" t="str">
        <f t="shared" si="4"/>
        <v/>
      </c>
      <c r="I523" s="263"/>
      <c r="K523" s="257"/>
      <c r="L523" s="257"/>
    </row>
    <row r="524" spans="1:12" ht="12.6" customHeight="1" x14ac:dyDescent="0.25">
      <c r="A524" s="180" t="s">
        <v>541</v>
      </c>
      <c r="B524" s="236">
        <v>3972673</v>
      </c>
      <c r="C524" s="236">
        <f>AF72</f>
        <v>0</v>
      </c>
      <c r="D524" s="236">
        <v>32902</v>
      </c>
      <c r="E524" s="180">
        <f>AF59</f>
        <v>0</v>
      </c>
      <c r="F524" s="259">
        <f t="shared" si="5"/>
        <v>120.74259923408911</v>
      </c>
      <c r="G524" s="259" t="str">
        <f t="shared" si="5"/>
        <v/>
      </c>
      <c r="H524" s="261" t="str">
        <f t="shared" si="4"/>
        <v/>
      </c>
      <c r="I524" s="263"/>
      <c r="K524" s="257"/>
      <c r="L524" s="257"/>
    </row>
    <row r="525" spans="1:12" ht="12.6" customHeight="1" x14ac:dyDescent="0.25">
      <c r="A525" s="180" t="s">
        <v>542</v>
      </c>
      <c r="B525" s="236">
        <v>11843440</v>
      </c>
      <c r="C525" s="236">
        <f>AG72</f>
        <v>2212083</v>
      </c>
      <c r="D525" s="236">
        <v>44098</v>
      </c>
      <c r="E525" s="180">
        <f>AG59</f>
        <v>5373</v>
      </c>
      <c r="F525" s="259">
        <f t="shared" si="5"/>
        <v>268.5709102453626</v>
      </c>
      <c r="G525" s="259">
        <f t="shared" si="5"/>
        <v>411.7035175879397</v>
      </c>
      <c r="H525" s="261">
        <f t="shared" si="4"/>
        <v>0.53294158779822132</v>
      </c>
      <c r="I525" s="263"/>
      <c r="K525" s="257"/>
      <c r="L525" s="257"/>
    </row>
    <row r="526" spans="1:12" ht="12.6" customHeight="1" x14ac:dyDescent="0.25">
      <c r="A526" s="180" t="s">
        <v>543</v>
      </c>
      <c r="B526" s="236">
        <v>0</v>
      </c>
      <c r="C526" s="236">
        <f>AH72</f>
        <v>1567507</v>
      </c>
      <c r="D526" s="236">
        <v>0</v>
      </c>
      <c r="E526" s="180">
        <f>AH59</f>
        <v>1359</v>
      </c>
      <c r="F526" s="259" t="str">
        <f t="shared" si="5"/>
        <v/>
      </c>
      <c r="G526" s="259">
        <f t="shared" si="5"/>
        <v>1153.4267844002943</v>
      </c>
      <c r="H526" s="261" t="str">
        <f t="shared" si="4"/>
        <v/>
      </c>
      <c r="I526" s="263"/>
      <c r="K526" s="257"/>
      <c r="L526" s="257"/>
    </row>
    <row r="527" spans="1:12" ht="12.6" customHeight="1" x14ac:dyDescent="0.25">
      <c r="A527" s="180" t="s">
        <v>544</v>
      </c>
      <c r="B527" s="236">
        <v>0</v>
      </c>
      <c r="C527" s="236">
        <f>AI72</f>
        <v>0</v>
      </c>
      <c r="D527" s="236">
        <v>0</v>
      </c>
      <c r="E527" s="180">
        <f>AI59</f>
        <v>0</v>
      </c>
      <c r="F527" s="259" t="str">
        <f t="shared" ref="F527:G539" si="6">IF(B527=0,"",IF(D527=0,"",B527/D527))</f>
        <v/>
      </c>
      <c r="G527" s="259" t="str">
        <f t="shared" si="6"/>
        <v/>
      </c>
      <c r="H527" s="261" t="str">
        <f t="shared" si="4"/>
        <v/>
      </c>
      <c r="I527" s="263"/>
      <c r="K527" s="257"/>
      <c r="L527" s="257"/>
    </row>
    <row r="528" spans="1:12" ht="12.6" customHeight="1" x14ac:dyDescent="0.25">
      <c r="A528" s="180" t="s">
        <v>545</v>
      </c>
      <c r="B528" s="236">
        <v>2123212</v>
      </c>
      <c r="C528" s="236">
        <f>AJ72</f>
        <v>5996879.6500000004</v>
      </c>
      <c r="D528" s="236">
        <v>23069</v>
      </c>
      <c r="E528" s="180">
        <f>AJ59</f>
        <v>0</v>
      </c>
      <c r="F528" s="259">
        <f t="shared" si="6"/>
        <v>92.037452858814859</v>
      </c>
      <c r="G528" s="259" t="str">
        <f t="shared" si="6"/>
        <v/>
      </c>
      <c r="H528" s="261" t="str">
        <f t="shared" si="4"/>
        <v/>
      </c>
      <c r="I528" s="263"/>
      <c r="K528" s="257"/>
      <c r="L528" s="257"/>
    </row>
    <row r="529" spans="1:12" ht="12.6" customHeight="1" x14ac:dyDescent="0.25">
      <c r="A529" s="180" t="s">
        <v>546</v>
      </c>
      <c r="B529" s="236">
        <v>468609</v>
      </c>
      <c r="C529" s="236">
        <f>AK72</f>
        <v>111605</v>
      </c>
      <c r="D529" s="236">
        <v>0</v>
      </c>
      <c r="E529" s="180">
        <f>AK59</f>
        <v>0</v>
      </c>
      <c r="F529" s="259" t="str">
        <f t="shared" si="6"/>
        <v/>
      </c>
      <c r="G529" s="259" t="str">
        <f t="shared" si="6"/>
        <v/>
      </c>
      <c r="H529" s="261" t="str">
        <f t="shared" si="4"/>
        <v/>
      </c>
      <c r="I529" s="263"/>
      <c r="K529" s="257"/>
      <c r="L529" s="257"/>
    </row>
    <row r="530" spans="1:12" ht="12.6" customHeight="1" x14ac:dyDescent="0.25">
      <c r="A530" s="180" t="s">
        <v>547</v>
      </c>
      <c r="B530" s="236">
        <v>392840</v>
      </c>
      <c r="C530" s="236">
        <f>AL72</f>
        <v>0</v>
      </c>
      <c r="D530" s="236">
        <v>0</v>
      </c>
      <c r="E530" s="180">
        <f>AL59</f>
        <v>0</v>
      </c>
      <c r="F530" s="259" t="str">
        <f t="shared" si="6"/>
        <v/>
      </c>
      <c r="G530" s="259" t="str">
        <f t="shared" si="6"/>
        <v/>
      </c>
      <c r="H530" s="261" t="str">
        <f t="shared" si="4"/>
        <v/>
      </c>
      <c r="I530" s="263"/>
      <c r="K530" s="257"/>
      <c r="L530" s="257"/>
    </row>
    <row r="531" spans="1:12" ht="12.6" customHeight="1" x14ac:dyDescent="0.25">
      <c r="A531" s="180" t="s">
        <v>548</v>
      </c>
      <c r="B531" s="236">
        <v>0</v>
      </c>
      <c r="C531" s="236">
        <f>AM72</f>
        <v>0</v>
      </c>
      <c r="D531" s="236">
        <v>0</v>
      </c>
      <c r="E531" s="180">
        <f>AM59</f>
        <v>0</v>
      </c>
      <c r="F531" s="259" t="str">
        <f t="shared" si="6"/>
        <v/>
      </c>
      <c r="G531" s="259" t="str">
        <f t="shared" si="6"/>
        <v/>
      </c>
      <c r="H531" s="261" t="str">
        <f t="shared" si="4"/>
        <v/>
      </c>
      <c r="I531" s="263"/>
      <c r="K531" s="257"/>
      <c r="L531" s="257"/>
    </row>
    <row r="532" spans="1:12" ht="12.6" customHeight="1" x14ac:dyDescent="0.25">
      <c r="A532" s="180" t="s">
        <v>1247</v>
      </c>
      <c r="B532" s="236">
        <v>0</v>
      </c>
      <c r="C532" s="236">
        <f>AN72</f>
        <v>0</v>
      </c>
      <c r="D532" s="236">
        <v>0</v>
      </c>
      <c r="E532" s="180">
        <f>AN59</f>
        <v>0</v>
      </c>
      <c r="F532" s="259" t="str">
        <f t="shared" si="6"/>
        <v/>
      </c>
      <c r="G532" s="259" t="str">
        <f t="shared" si="6"/>
        <v/>
      </c>
      <c r="H532" s="261" t="str">
        <f t="shared" si="4"/>
        <v/>
      </c>
      <c r="I532" s="263"/>
      <c r="K532" s="257"/>
      <c r="L532" s="257"/>
    </row>
    <row r="533" spans="1:12" ht="12.6" customHeight="1" x14ac:dyDescent="0.25">
      <c r="A533" s="180" t="s">
        <v>549</v>
      </c>
      <c r="B533" s="236">
        <v>0</v>
      </c>
      <c r="C533" s="236">
        <f>AO72</f>
        <v>0</v>
      </c>
      <c r="D533" s="236">
        <v>0</v>
      </c>
      <c r="E533" s="180">
        <f>AO59</f>
        <v>0</v>
      </c>
      <c r="F533" s="259" t="str">
        <f t="shared" si="6"/>
        <v/>
      </c>
      <c r="G533" s="259" t="str">
        <f t="shared" si="6"/>
        <v/>
      </c>
      <c r="H533" s="261" t="str">
        <f t="shared" si="4"/>
        <v/>
      </c>
      <c r="I533" s="263"/>
      <c r="K533" s="257"/>
      <c r="L533" s="257"/>
    </row>
    <row r="534" spans="1:12" ht="12.6" customHeight="1" x14ac:dyDescent="0.25">
      <c r="A534" s="180" t="s">
        <v>550</v>
      </c>
      <c r="B534" s="236">
        <v>52726844</v>
      </c>
      <c r="C534" s="236">
        <f>AP72</f>
        <v>0</v>
      </c>
      <c r="D534" s="236">
        <v>190475</v>
      </c>
      <c r="E534" s="180">
        <f>AP59</f>
        <v>0</v>
      </c>
      <c r="F534" s="259">
        <f t="shared" si="6"/>
        <v>276.81766111038195</v>
      </c>
      <c r="G534" s="259" t="str">
        <f t="shared" si="6"/>
        <v/>
      </c>
      <c r="H534" s="261" t="str">
        <f t="shared" si="4"/>
        <v/>
      </c>
      <c r="I534" s="263"/>
      <c r="K534" s="257"/>
      <c r="L534" s="257"/>
    </row>
    <row r="535" spans="1:12" ht="12.6" customHeight="1" x14ac:dyDescent="0.25">
      <c r="A535" s="180" t="s">
        <v>551</v>
      </c>
      <c r="B535" s="236">
        <v>0</v>
      </c>
      <c r="C535" s="236">
        <f>AQ72</f>
        <v>0</v>
      </c>
      <c r="D535" s="236">
        <v>0</v>
      </c>
      <c r="E535" s="180">
        <f>AQ59</f>
        <v>0</v>
      </c>
      <c r="F535" s="259" t="str">
        <f t="shared" si="6"/>
        <v/>
      </c>
      <c r="G535" s="259" t="str">
        <f t="shared" si="6"/>
        <v/>
      </c>
      <c r="H535" s="261" t="str">
        <f t="shared" si="4"/>
        <v/>
      </c>
      <c r="I535" s="263"/>
      <c r="K535" s="257"/>
      <c r="L535" s="257"/>
    </row>
    <row r="536" spans="1:12" ht="12.6" customHeight="1" x14ac:dyDescent="0.25">
      <c r="A536" s="180" t="s">
        <v>552</v>
      </c>
      <c r="B536" s="236">
        <v>0</v>
      </c>
      <c r="C536" s="236">
        <f>AR72</f>
        <v>1835</v>
      </c>
      <c r="D536" s="236">
        <v>0</v>
      </c>
      <c r="E536" s="180">
        <f>AR59</f>
        <v>0</v>
      </c>
      <c r="F536" s="259" t="str">
        <f t="shared" si="6"/>
        <v/>
      </c>
      <c r="G536" s="259" t="str">
        <f t="shared" si="6"/>
        <v/>
      </c>
      <c r="H536" s="261" t="str">
        <f t="shared" si="4"/>
        <v/>
      </c>
      <c r="I536" s="263"/>
      <c r="K536" s="257"/>
      <c r="L536" s="257"/>
    </row>
    <row r="537" spans="1:12" ht="12.6" customHeight="1" x14ac:dyDescent="0.25">
      <c r="A537" s="180" t="s">
        <v>553</v>
      </c>
      <c r="B537" s="236">
        <v>0</v>
      </c>
      <c r="C537" s="236">
        <f>AS72</f>
        <v>0</v>
      </c>
      <c r="D537" s="236">
        <v>0</v>
      </c>
      <c r="E537" s="180">
        <f>AS59</f>
        <v>0</v>
      </c>
      <c r="F537" s="259" t="str">
        <f t="shared" si="6"/>
        <v/>
      </c>
      <c r="G537" s="259" t="str">
        <f t="shared" si="6"/>
        <v/>
      </c>
      <c r="H537" s="261" t="str">
        <f t="shared" si="4"/>
        <v/>
      </c>
      <c r="I537" s="263"/>
      <c r="K537" s="257"/>
      <c r="L537" s="257"/>
    </row>
    <row r="538" spans="1:12" ht="12.6" customHeight="1" x14ac:dyDescent="0.25">
      <c r="A538" s="180" t="s">
        <v>554</v>
      </c>
      <c r="B538" s="236">
        <v>0</v>
      </c>
      <c r="C538" s="236">
        <f>AT72</f>
        <v>0</v>
      </c>
      <c r="D538" s="236">
        <v>0</v>
      </c>
      <c r="E538" s="180">
        <f>AT59</f>
        <v>0</v>
      </c>
      <c r="F538" s="259" t="str">
        <f t="shared" si="6"/>
        <v/>
      </c>
      <c r="G538" s="259" t="str">
        <f t="shared" si="6"/>
        <v/>
      </c>
      <c r="H538" s="261" t="str">
        <f t="shared" si="4"/>
        <v/>
      </c>
      <c r="I538" s="263"/>
      <c r="K538" s="257"/>
      <c r="L538" s="257"/>
    </row>
    <row r="539" spans="1:12" ht="12.6" customHeight="1" x14ac:dyDescent="0.25">
      <c r="A539" s="180" t="s">
        <v>555</v>
      </c>
      <c r="B539" s="236">
        <v>0</v>
      </c>
      <c r="C539" s="236">
        <f>AU72</f>
        <v>0</v>
      </c>
      <c r="D539" s="236">
        <v>0</v>
      </c>
      <c r="E539" s="180">
        <f>AU59</f>
        <v>0</v>
      </c>
      <c r="F539" s="259" t="str">
        <f t="shared" si="6"/>
        <v/>
      </c>
      <c r="G539" s="259" t="str">
        <f t="shared" si="6"/>
        <v/>
      </c>
      <c r="H539" s="261" t="str">
        <f t="shared" si="4"/>
        <v/>
      </c>
      <c r="I539" s="263"/>
      <c r="K539" s="257"/>
      <c r="L539" s="257"/>
    </row>
    <row r="540" spans="1:12" ht="12.6" customHeight="1" x14ac:dyDescent="0.25">
      <c r="A540" s="180" t="s">
        <v>556</v>
      </c>
      <c r="B540" s="236">
        <v>1983283</v>
      </c>
      <c r="C540" s="236">
        <f>AV72</f>
        <v>279</v>
      </c>
      <c r="D540" s="181" t="s">
        <v>529</v>
      </c>
      <c r="E540" s="181" t="s">
        <v>529</v>
      </c>
      <c r="F540" s="259"/>
      <c r="G540" s="259"/>
      <c r="H540" s="261"/>
      <c r="I540" s="263"/>
      <c r="K540" s="257"/>
      <c r="L540" s="257"/>
    </row>
    <row r="541" spans="1:12" ht="12.6" customHeight="1" x14ac:dyDescent="0.25">
      <c r="A541" s="180" t="s">
        <v>1248</v>
      </c>
      <c r="B541" s="236">
        <v>96382</v>
      </c>
      <c r="C541" s="236">
        <f>AW72</f>
        <v>0</v>
      </c>
      <c r="D541" s="181" t="s">
        <v>529</v>
      </c>
      <c r="E541" s="181" t="s">
        <v>529</v>
      </c>
      <c r="F541" s="259"/>
      <c r="G541" s="259"/>
      <c r="H541" s="261"/>
      <c r="I541" s="263"/>
      <c r="K541" s="257"/>
      <c r="L541" s="257"/>
    </row>
    <row r="542" spans="1:12" ht="12.6" customHeight="1" x14ac:dyDescent="0.25">
      <c r="A542" s="180" t="s">
        <v>557</v>
      </c>
      <c r="B542" s="236">
        <v>0</v>
      </c>
      <c r="C542" s="236">
        <f>AX72</f>
        <v>0</v>
      </c>
      <c r="D542" s="181" t="s">
        <v>529</v>
      </c>
      <c r="E542" s="181" t="s">
        <v>529</v>
      </c>
      <c r="F542" s="259"/>
      <c r="G542" s="259"/>
      <c r="H542" s="261"/>
      <c r="I542" s="263"/>
      <c r="K542" s="257"/>
      <c r="L542" s="257"/>
    </row>
    <row r="543" spans="1:12" ht="12.6" customHeight="1" x14ac:dyDescent="0.25">
      <c r="A543" s="180" t="s">
        <v>558</v>
      </c>
      <c r="B543" s="236">
        <v>646580</v>
      </c>
      <c r="C543" s="236">
        <f>AY72</f>
        <v>561544</v>
      </c>
      <c r="D543" s="236">
        <v>285759</v>
      </c>
      <c r="E543" s="180">
        <f>AY59</f>
        <v>18463</v>
      </c>
      <c r="F543" s="259">
        <f t="shared" ref="F543:G549" si="7">IF(B543=0,"",IF(D543=0,"",B543/D543))</f>
        <v>2.2626758912230236</v>
      </c>
      <c r="G543" s="259">
        <f t="shared" si="7"/>
        <v>30.41455884742458</v>
      </c>
      <c r="H543" s="261">
        <f t="shared" si="4"/>
        <v>12.441853941787869</v>
      </c>
      <c r="I543" s="263"/>
      <c r="K543" s="257"/>
      <c r="L543" s="257"/>
    </row>
    <row r="544" spans="1:12" ht="12.6" customHeight="1" x14ac:dyDescent="0.25">
      <c r="A544" s="180" t="s">
        <v>559</v>
      </c>
      <c r="B544" s="236">
        <v>4466226</v>
      </c>
      <c r="C544" s="236">
        <f>AZ72</f>
        <v>5090</v>
      </c>
      <c r="D544" s="236">
        <v>1081972</v>
      </c>
      <c r="E544" s="180">
        <f>AZ59</f>
        <v>0</v>
      </c>
      <c r="F544" s="259">
        <f t="shared" si="7"/>
        <v>4.1278572828132338</v>
      </c>
      <c r="G544" s="259" t="str">
        <f t="shared" si="7"/>
        <v/>
      </c>
      <c r="H544" s="261" t="str">
        <f t="shared" si="4"/>
        <v/>
      </c>
      <c r="I544" s="263"/>
      <c r="K544" s="257"/>
      <c r="L544" s="257"/>
    </row>
    <row r="545" spans="1:13" ht="12.6" customHeight="1" x14ac:dyDescent="0.25">
      <c r="A545" s="180" t="s">
        <v>560</v>
      </c>
      <c r="B545" s="236">
        <v>276882</v>
      </c>
      <c r="C545" s="236">
        <f>BA72</f>
        <v>125599</v>
      </c>
      <c r="D545" s="236">
        <v>0</v>
      </c>
      <c r="E545" s="180">
        <f>BA59</f>
        <v>0</v>
      </c>
      <c r="F545" s="259" t="str">
        <f t="shared" si="7"/>
        <v/>
      </c>
      <c r="G545" s="259" t="str">
        <f t="shared" si="7"/>
        <v/>
      </c>
      <c r="H545" s="261" t="str">
        <f t="shared" si="4"/>
        <v/>
      </c>
      <c r="I545" s="263"/>
      <c r="K545" s="257"/>
      <c r="L545" s="257"/>
    </row>
    <row r="546" spans="1:13" ht="12.6" customHeight="1" x14ac:dyDescent="0.25">
      <c r="A546" s="180" t="s">
        <v>561</v>
      </c>
      <c r="B546" s="236">
        <v>2219789</v>
      </c>
      <c r="C546" s="236">
        <f>BB72</f>
        <v>79028</v>
      </c>
      <c r="D546" s="181" t="s">
        <v>529</v>
      </c>
      <c r="E546" s="181" t="s">
        <v>529</v>
      </c>
      <c r="F546" s="259"/>
      <c r="G546" s="259"/>
      <c r="H546" s="261"/>
      <c r="I546" s="263"/>
      <c r="K546" s="257"/>
      <c r="L546" s="257"/>
    </row>
    <row r="547" spans="1:13" ht="12.6" customHeight="1" x14ac:dyDescent="0.25">
      <c r="A547" s="180" t="s">
        <v>562</v>
      </c>
      <c r="B547" s="236">
        <v>0</v>
      </c>
      <c r="C547" s="236">
        <f>BC72</f>
        <v>0</v>
      </c>
      <c r="D547" s="181" t="s">
        <v>529</v>
      </c>
      <c r="E547" s="181" t="s">
        <v>529</v>
      </c>
      <c r="F547" s="259"/>
      <c r="G547" s="259"/>
      <c r="H547" s="261"/>
      <c r="I547" s="263"/>
      <c r="K547" s="257"/>
      <c r="L547" s="257"/>
    </row>
    <row r="548" spans="1:13" ht="12.6" customHeight="1" x14ac:dyDescent="0.25">
      <c r="A548" s="180" t="s">
        <v>563</v>
      </c>
      <c r="B548" s="236">
        <v>1192055</v>
      </c>
      <c r="C548" s="236">
        <f>BD72</f>
        <v>0</v>
      </c>
      <c r="D548" s="181" t="s">
        <v>529</v>
      </c>
      <c r="E548" s="181" t="s">
        <v>529</v>
      </c>
      <c r="F548" s="259"/>
      <c r="G548" s="259"/>
      <c r="H548" s="261"/>
      <c r="I548" s="263"/>
      <c r="K548" s="257"/>
      <c r="L548" s="257"/>
    </row>
    <row r="549" spans="1:13" ht="12.6" customHeight="1" x14ac:dyDescent="0.25">
      <c r="A549" s="180" t="s">
        <v>564</v>
      </c>
      <c r="B549" s="236">
        <v>9757658</v>
      </c>
      <c r="C549" s="236">
        <f>BE72</f>
        <v>486566</v>
      </c>
      <c r="D549" s="236">
        <v>564884</v>
      </c>
      <c r="E549" s="180">
        <f>BE59</f>
        <v>37424</v>
      </c>
      <c r="F549" s="259">
        <f t="shared" si="7"/>
        <v>17.27373761692666</v>
      </c>
      <c r="G549" s="259">
        <f t="shared" si="7"/>
        <v>13.001442924326636</v>
      </c>
      <c r="H549" s="261" t="str">
        <f t="shared" si="4"/>
        <v/>
      </c>
      <c r="I549" s="263"/>
      <c r="K549" s="257"/>
      <c r="L549" s="257"/>
    </row>
    <row r="550" spans="1:13" ht="12.6" customHeight="1" x14ac:dyDescent="0.25">
      <c r="A550" s="180" t="s">
        <v>565</v>
      </c>
      <c r="B550" s="236">
        <v>4700501</v>
      </c>
      <c r="C550" s="236">
        <f>BF72</f>
        <v>251961</v>
      </c>
      <c r="D550" s="181" t="s">
        <v>529</v>
      </c>
      <c r="E550" s="181" t="s">
        <v>529</v>
      </c>
      <c r="F550" s="259"/>
      <c r="G550" s="259"/>
      <c r="H550" s="261"/>
      <c r="I550" s="263"/>
      <c r="J550" s="197"/>
      <c r="M550" s="261"/>
    </row>
    <row r="551" spans="1:13" ht="12.6" customHeight="1" x14ac:dyDescent="0.25">
      <c r="A551" s="180" t="s">
        <v>566</v>
      </c>
      <c r="B551" s="236">
        <v>610351</v>
      </c>
      <c r="C551" s="236">
        <f>BG72</f>
        <v>0</v>
      </c>
      <c r="D551" s="181" t="s">
        <v>529</v>
      </c>
      <c r="E551" s="181" t="s">
        <v>529</v>
      </c>
      <c r="F551" s="259"/>
      <c r="G551" s="259"/>
      <c r="H551" s="261"/>
      <c r="J551" s="197"/>
      <c r="M551" s="261"/>
    </row>
    <row r="552" spans="1:13" ht="12.6" customHeight="1" x14ac:dyDescent="0.25">
      <c r="A552" s="180" t="s">
        <v>567</v>
      </c>
      <c r="B552" s="236">
        <v>28930273</v>
      </c>
      <c r="C552" s="236">
        <f>BH72</f>
        <v>0</v>
      </c>
      <c r="D552" s="181" t="s">
        <v>529</v>
      </c>
      <c r="E552" s="181" t="s">
        <v>529</v>
      </c>
      <c r="F552" s="259"/>
      <c r="G552" s="259"/>
      <c r="H552" s="261"/>
      <c r="J552" s="197"/>
      <c r="M552" s="261"/>
    </row>
    <row r="553" spans="1:13" ht="12.6" customHeight="1" x14ac:dyDescent="0.25">
      <c r="A553" s="180" t="s">
        <v>568</v>
      </c>
      <c r="B553" s="236">
        <v>-11751</v>
      </c>
      <c r="C553" s="236">
        <f>BI72</f>
        <v>0</v>
      </c>
      <c r="D553" s="181" t="s">
        <v>529</v>
      </c>
      <c r="E553" s="181" t="s">
        <v>529</v>
      </c>
      <c r="F553" s="259"/>
      <c r="G553" s="259"/>
      <c r="H553" s="261"/>
      <c r="J553" s="197"/>
      <c r="M553" s="261"/>
    </row>
    <row r="554" spans="1:13" ht="12.6" customHeight="1" x14ac:dyDescent="0.25">
      <c r="A554" s="180" t="s">
        <v>569</v>
      </c>
      <c r="B554" s="236">
        <v>1918608</v>
      </c>
      <c r="C554" s="236">
        <f>BJ72</f>
        <v>624281</v>
      </c>
      <c r="D554" s="181" t="s">
        <v>529</v>
      </c>
      <c r="E554" s="181" t="s">
        <v>529</v>
      </c>
      <c r="F554" s="259"/>
      <c r="G554" s="259"/>
      <c r="H554" s="261"/>
      <c r="J554" s="197"/>
      <c r="M554" s="261"/>
    </row>
    <row r="555" spans="1:13" ht="12.6" customHeight="1" x14ac:dyDescent="0.25">
      <c r="A555" s="180" t="s">
        <v>570</v>
      </c>
      <c r="B555" s="236">
        <v>4520064</v>
      </c>
      <c r="C555" s="236">
        <f>BK72</f>
        <v>0</v>
      </c>
      <c r="D555" s="181" t="s">
        <v>529</v>
      </c>
      <c r="E555" s="181" t="s">
        <v>529</v>
      </c>
      <c r="F555" s="259"/>
      <c r="G555" s="259"/>
      <c r="H555" s="261"/>
      <c r="J555" s="197"/>
      <c r="M555" s="261"/>
    </row>
    <row r="556" spans="1:13" ht="12.6" customHeight="1" x14ac:dyDescent="0.25">
      <c r="A556" s="180" t="s">
        <v>571</v>
      </c>
      <c r="B556" s="236">
        <v>5787754</v>
      </c>
      <c r="C556" s="236">
        <f>BL72</f>
        <v>417490</v>
      </c>
      <c r="D556" s="181" t="s">
        <v>529</v>
      </c>
      <c r="E556" s="181" t="s">
        <v>529</v>
      </c>
      <c r="F556" s="259"/>
      <c r="G556" s="259"/>
      <c r="H556" s="261"/>
      <c r="J556" s="197"/>
      <c r="M556" s="261"/>
    </row>
    <row r="557" spans="1:13" ht="12.6" customHeight="1" x14ac:dyDescent="0.25">
      <c r="A557" s="180" t="s">
        <v>572</v>
      </c>
      <c r="B557" s="236">
        <v>0</v>
      </c>
      <c r="C557" s="236">
        <f>BM72</f>
        <v>0</v>
      </c>
      <c r="D557" s="181" t="s">
        <v>529</v>
      </c>
      <c r="E557" s="181" t="s">
        <v>529</v>
      </c>
      <c r="F557" s="259"/>
      <c r="G557" s="259"/>
      <c r="H557" s="261"/>
      <c r="J557" s="197"/>
      <c r="M557" s="261"/>
    </row>
    <row r="558" spans="1:13" ht="12.6" customHeight="1" x14ac:dyDescent="0.25">
      <c r="A558" s="180" t="s">
        <v>573</v>
      </c>
      <c r="B558" s="236">
        <v>8034118</v>
      </c>
      <c r="C558" s="236">
        <f>BN72</f>
        <v>2624582.1</v>
      </c>
      <c r="D558" s="181" t="s">
        <v>529</v>
      </c>
      <c r="E558" s="181" t="s">
        <v>529</v>
      </c>
      <c r="F558" s="259"/>
      <c r="G558" s="259"/>
      <c r="H558" s="261"/>
      <c r="J558" s="197"/>
      <c r="M558" s="261"/>
    </row>
    <row r="559" spans="1:13" ht="12.6" customHeight="1" x14ac:dyDescent="0.25">
      <c r="A559" s="180" t="s">
        <v>574</v>
      </c>
      <c r="B559" s="236">
        <v>287037</v>
      </c>
      <c r="C559" s="236">
        <f>BO72</f>
        <v>0</v>
      </c>
      <c r="D559" s="181" t="s">
        <v>529</v>
      </c>
      <c r="E559" s="181" t="s">
        <v>529</v>
      </c>
      <c r="F559" s="259"/>
      <c r="G559" s="259"/>
      <c r="H559" s="261"/>
      <c r="J559" s="197"/>
      <c r="M559" s="261"/>
    </row>
    <row r="560" spans="1:13" ht="12.6" customHeight="1" x14ac:dyDescent="0.25">
      <c r="A560" s="180" t="s">
        <v>575</v>
      </c>
      <c r="B560" s="236">
        <v>2708727</v>
      </c>
      <c r="C560" s="236">
        <f>BP72</f>
        <v>0</v>
      </c>
      <c r="D560" s="181" t="s">
        <v>529</v>
      </c>
      <c r="E560" s="181" t="s">
        <v>529</v>
      </c>
      <c r="F560" s="259"/>
      <c r="G560" s="259"/>
      <c r="H560" s="261"/>
      <c r="J560" s="197"/>
      <c r="M560" s="261"/>
    </row>
    <row r="561" spans="1:13" ht="12.6" customHeight="1" x14ac:dyDescent="0.25">
      <c r="A561" s="180" t="s">
        <v>576</v>
      </c>
      <c r="B561" s="236">
        <v>1483071</v>
      </c>
      <c r="C561" s="236">
        <f>BQ72</f>
        <v>0</v>
      </c>
      <c r="D561" s="181" t="s">
        <v>529</v>
      </c>
      <c r="E561" s="181" t="s">
        <v>529</v>
      </c>
      <c r="F561" s="259"/>
      <c r="G561" s="259"/>
      <c r="H561" s="261"/>
      <c r="J561" s="197"/>
      <c r="M561" s="261"/>
    </row>
    <row r="562" spans="1:13" ht="12.6" customHeight="1" x14ac:dyDescent="0.25">
      <c r="A562" s="180" t="s">
        <v>577</v>
      </c>
      <c r="B562" s="236">
        <v>3493607</v>
      </c>
      <c r="C562" s="236">
        <f>BR72</f>
        <v>0</v>
      </c>
      <c r="D562" s="181" t="s">
        <v>529</v>
      </c>
      <c r="E562" s="181" t="s">
        <v>529</v>
      </c>
      <c r="F562" s="259"/>
      <c r="G562" s="259"/>
      <c r="H562" s="261"/>
      <c r="J562" s="197"/>
      <c r="M562" s="261"/>
    </row>
    <row r="563" spans="1:13" ht="12.6" customHeight="1" x14ac:dyDescent="0.25">
      <c r="A563" s="180" t="s">
        <v>1249</v>
      </c>
      <c r="B563" s="236">
        <v>72645</v>
      </c>
      <c r="C563" s="236">
        <f>BS72</f>
        <v>0</v>
      </c>
      <c r="D563" s="181" t="s">
        <v>529</v>
      </c>
      <c r="E563" s="181" t="s">
        <v>529</v>
      </c>
      <c r="F563" s="259"/>
      <c r="G563" s="259"/>
      <c r="H563" s="261"/>
      <c r="J563" s="197"/>
      <c r="M563" s="261"/>
    </row>
    <row r="564" spans="1:13" ht="12.6" customHeight="1" x14ac:dyDescent="0.25">
      <c r="A564" s="180" t="s">
        <v>578</v>
      </c>
      <c r="B564" s="236">
        <v>97302</v>
      </c>
      <c r="C564" s="236">
        <f>BT72</f>
        <v>0</v>
      </c>
      <c r="D564" s="181" t="s">
        <v>529</v>
      </c>
      <c r="E564" s="181" t="s">
        <v>529</v>
      </c>
      <c r="F564" s="259"/>
      <c r="G564" s="259"/>
      <c r="H564" s="261"/>
      <c r="J564" s="197"/>
      <c r="M564" s="261"/>
    </row>
    <row r="565" spans="1:13" ht="12.6" customHeight="1" x14ac:dyDescent="0.25">
      <c r="A565" s="180" t="s">
        <v>579</v>
      </c>
      <c r="B565" s="236">
        <v>0</v>
      </c>
      <c r="C565" s="236">
        <f>BU72</f>
        <v>0</v>
      </c>
      <c r="D565" s="181" t="s">
        <v>529</v>
      </c>
      <c r="E565" s="181" t="s">
        <v>529</v>
      </c>
      <c r="F565" s="259"/>
      <c r="G565" s="259"/>
      <c r="H565" s="261"/>
      <c r="J565" s="197"/>
      <c r="M565" s="261"/>
    </row>
    <row r="566" spans="1:13" ht="12.6" customHeight="1" x14ac:dyDescent="0.25">
      <c r="A566" s="180" t="s">
        <v>580</v>
      </c>
      <c r="B566" s="236">
        <v>3525872</v>
      </c>
      <c r="C566" s="236">
        <f>BV72</f>
        <v>338014</v>
      </c>
      <c r="D566" s="181" t="s">
        <v>529</v>
      </c>
      <c r="E566" s="181" t="s">
        <v>529</v>
      </c>
      <c r="F566" s="259"/>
      <c r="G566" s="259"/>
      <c r="H566" s="261"/>
      <c r="J566" s="197"/>
      <c r="M566" s="261"/>
    </row>
    <row r="567" spans="1:13" ht="12.6" customHeight="1" x14ac:dyDescent="0.25">
      <c r="A567" s="180" t="s">
        <v>581</v>
      </c>
      <c r="B567" s="236">
        <v>1557491</v>
      </c>
      <c r="C567" s="236">
        <f>BW72</f>
        <v>0</v>
      </c>
      <c r="D567" s="181" t="s">
        <v>529</v>
      </c>
      <c r="E567" s="181" t="s">
        <v>529</v>
      </c>
      <c r="F567" s="259"/>
      <c r="G567" s="259"/>
      <c r="H567" s="261"/>
      <c r="J567" s="197"/>
      <c r="M567" s="261"/>
    </row>
    <row r="568" spans="1:13" ht="12.6" customHeight="1" x14ac:dyDescent="0.25">
      <c r="A568" s="180" t="s">
        <v>582</v>
      </c>
      <c r="B568" s="236">
        <v>773855</v>
      </c>
      <c r="C568" s="236">
        <f>BX72</f>
        <v>262072</v>
      </c>
      <c r="D568" s="181" t="s">
        <v>529</v>
      </c>
      <c r="E568" s="181" t="s">
        <v>529</v>
      </c>
      <c r="F568" s="259"/>
      <c r="G568" s="259"/>
      <c r="H568" s="261"/>
      <c r="J568" s="197"/>
      <c r="M568" s="261"/>
    </row>
    <row r="569" spans="1:13" ht="12.6" customHeight="1" x14ac:dyDescent="0.25">
      <c r="A569" s="180" t="s">
        <v>583</v>
      </c>
      <c r="B569" s="236">
        <v>4571883</v>
      </c>
      <c r="C569" s="236">
        <f>BY72</f>
        <v>176356</v>
      </c>
      <c r="D569" s="181" t="s">
        <v>529</v>
      </c>
      <c r="E569" s="181" t="s">
        <v>529</v>
      </c>
      <c r="F569" s="259"/>
      <c r="G569" s="259"/>
      <c r="H569" s="261"/>
      <c r="J569" s="197"/>
      <c r="M569" s="261"/>
    </row>
    <row r="570" spans="1:13" ht="12.6" customHeight="1" x14ac:dyDescent="0.25">
      <c r="A570" s="180" t="s">
        <v>584</v>
      </c>
      <c r="B570" s="236">
        <v>599653</v>
      </c>
      <c r="C570" s="236">
        <f>BZ72</f>
        <v>0</v>
      </c>
      <c r="D570" s="181" t="s">
        <v>529</v>
      </c>
      <c r="E570" s="181" t="s">
        <v>529</v>
      </c>
      <c r="F570" s="259"/>
      <c r="G570" s="259"/>
      <c r="H570" s="261"/>
      <c r="J570" s="197"/>
      <c r="M570" s="261"/>
    </row>
    <row r="571" spans="1:13" ht="12.6" customHeight="1" x14ac:dyDescent="0.25">
      <c r="A571" s="180" t="s">
        <v>585</v>
      </c>
      <c r="B571" s="236">
        <v>1447841</v>
      </c>
      <c r="C571" s="236">
        <f>CA72</f>
        <v>0</v>
      </c>
      <c r="D571" s="181" t="s">
        <v>529</v>
      </c>
      <c r="E571" s="181" t="s">
        <v>529</v>
      </c>
      <c r="F571" s="259"/>
      <c r="G571" s="259"/>
      <c r="H571" s="261"/>
      <c r="J571" s="197"/>
      <c r="M571" s="261"/>
    </row>
    <row r="572" spans="1:13" ht="12.6" customHeight="1" x14ac:dyDescent="0.25">
      <c r="A572" s="180" t="s">
        <v>586</v>
      </c>
      <c r="B572" s="236">
        <v>983783</v>
      </c>
      <c r="C572" s="236">
        <f>CB72</f>
        <v>133158.12</v>
      </c>
      <c r="D572" s="181" t="s">
        <v>529</v>
      </c>
      <c r="E572" s="181" t="s">
        <v>529</v>
      </c>
      <c r="F572" s="259"/>
      <c r="G572" s="259"/>
      <c r="H572" s="261"/>
      <c r="J572" s="197"/>
      <c r="M572" s="261"/>
    </row>
    <row r="573" spans="1:13" ht="12.6" customHeight="1" x14ac:dyDescent="0.25">
      <c r="A573" s="180" t="s">
        <v>587</v>
      </c>
      <c r="B573" s="236">
        <v>8595100</v>
      </c>
      <c r="C573" s="236">
        <f>CC72</f>
        <v>0</v>
      </c>
      <c r="D573" s="181" t="s">
        <v>529</v>
      </c>
      <c r="E573" s="181" t="s">
        <v>529</v>
      </c>
      <c r="F573" s="259"/>
      <c r="G573" s="259"/>
      <c r="H573" s="261"/>
      <c r="J573" s="197"/>
      <c r="M573" s="261"/>
    </row>
    <row r="574" spans="1:13" ht="12.6" customHeight="1" x14ac:dyDescent="0.25">
      <c r="A574" s="180" t="s">
        <v>588</v>
      </c>
      <c r="B574" s="236">
        <v>41487391</v>
      </c>
      <c r="C574" s="236">
        <f>CD72</f>
        <v>561124.04</v>
      </c>
      <c r="D574" s="181" t="s">
        <v>529</v>
      </c>
      <c r="E574" s="181" t="s">
        <v>529</v>
      </c>
      <c r="F574" s="259"/>
      <c r="G574" s="259"/>
      <c r="H574" s="261"/>
    </row>
    <row r="575" spans="1:13" ht="12.6" customHeight="1" x14ac:dyDescent="0.25">
      <c r="M575" s="261"/>
    </row>
    <row r="576" spans="1:13" ht="12.6" customHeight="1" x14ac:dyDescent="0.25">
      <c r="M576" s="261"/>
    </row>
    <row r="577" spans="13:13" ht="12.6" customHeight="1" x14ac:dyDescent="0.25">
      <c r="M577" s="261"/>
    </row>
    <row r="611" spans="1:14" ht="12.6" customHeight="1" x14ac:dyDescent="0.25">
      <c r="A611" s="194"/>
      <c r="C611" s="181" t="s">
        <v>589</v>
      </c>
      <c r="D611" s="180">
        <f>CE77-(BE77+CD77)</f>
        <v>33427</v>
      </c>
      <c r="E611" s="180">
        <f>SUM(C623:D646)+SUM(C667:D712)</f>
        <v>24387800.896675747</v>
      </c>
      <c r="F611" s="180">
        <f>CE64-(AX64+BD64+BE64+BG64+BJ64+BN64+BP64+BQ64+CB64+CC64+CD64)</f>
        <v>2151456</v>
      </c>
      <c r="G611" s="180">
        <f>CE78-(AX78+AY78+BD78+BE78+BG78+BJ78+BN78+BP78+BQ78+CB78+CC78+CD78)</f>
        <v>18463</v>
      </c>
      <c r="H611" s="195">
        <f>CE60-(AX60+AY60+AZ60+BD60+BE60+BG60+BJ60+BN60+BO60+BP60+BQ60+BR60+CB60+CC60+CD60)</f>
        <v>181.30199038461541</v>
      </c>
      <c r="I611" s="180">
        <f>CE79-(AX79+AY79+AZ79+BD79+BE79+BF79+BG79+BJ79+BN79+BO79+BP79+BQ79+BR79+CB79+CC79+CD79)</f>
        <v>12048.98</v>
      </c>
      <c r="J611" s="180">
        <f>CE80-(AX80+AY80+AZ80+BA80+BD80+BE80+BF80+BG80+BJ80+BN80+BO80+BP80+BQ80+BR80+CB80+CC80+CD80)</f>
        <v>95865.70749999999</v>
      </c>
      <c r="K611" s="180">
        <f>CE76-(AW76+AX76+AY76+AZ76+BA76+BB76+BC76+BD76+BE76+BF76+BG76+BH76+BI76+BJ76+BK76+BL76+BM76+BN76+BO76+BP76+BQ76+BR76+BS76+BT76+BU76+BV76+BW76+BX76+CB76+CC76+CD76)</f>
        <v>47878623.173600003</v>
      </c>
      <c r="L611" s="195">
        <f>CE81-(AW81+AX81+AY81+AZ81+BA81+BB81+BC81+BD81+BE81+BF81+BG81+BH81+BI81+BJ81+BK81+BL81+BM81+BN81+BO81+BP81+BQ81+BR81+BS81+BT81+BU81+BV81+BW81+BX81+BY81+BZ81+CA81+CB81+CC81+CD81)</f>
        <v>116.83478226538462</v>
      </c>
    </row>
    <row r="612" spans="1:14" ht="12.6" customHeight="1" x14ac:dyDescent="0.25">
      <c r="A612" s="194"/>
      <c r="C612" s="181" t="s">
        <v>590</v>
      </c>
      <c r="D612" s="181" t="s">
        <v>591</v>
      </c>
      <c r="E612" s="196" t="s">
        <v>592</v>
      </c>
      <c r="F612" s="181" t="s">
        <v>593</v>
      </c>
      <c r="G612" s="181" t="s">
        <v>594</v>
      </c>
      <c r="H612" s="181" t="s">
        <v>595</v>
      </c>
      <c r="I612" s="181" t="s">
        <v>596</v>
      </c>
      <c r="J612" s="181" t="s">
        <v>597</v>
      </c>
      <c r="K612" s="181" t="s">
        <v>598</v>
      </c>
      <c r="L612" s="196" t="s">
        <v>599</v>
      </c>
    </row>
    <row r="613" spans="1:14" ht="12.6" customHeight="1" x14ac:dyDescent="0.25">
      <c r="A613" s="194">
        <v>8430</v>
      </c>
      <c r="B613" s="196" t="s">
        <v>140</v>
      </c>
      <c r="C613" s="180">
        <f>BE72</f>
        <v>486566</v>
      </c>
      <c r="N613" s="197" t="s">
        <v>600</v>
      </c>
    </row>
    <row r="614" spans="1:14" ht="12.6" customHeight="1" x14ac:dyDescent="0.25">
      <c r="A614" s="194"/>
      <c r="B614" s="196" t="s">
        <v>601</v>
      </c>
      <c r="C614" s="180">
        <f>CD69+CD70-CD71</f>
        <v>561124.04</v>
      </c>
      <c r="D614" s="262">
        <f>SUM(C613:C614)</f>
        <v>1047690.04</v>
      </c>
      <c r="N614" s="197" t="s">
        <v>602</v>
      </c>
    </row>
    <row r="615" spans="1:14" ht="12.6" customHeight="1" x14ac:dyDescent="0.25">
      <c r="A615" s="194">
        <v>8310</v>
      </c>
      <c r="B615" s="198" t="s">
        <v>603</v>
      </c>
      <c r="C615" s="180">
        <f>AX72</f>
        <v>0</v>
      </c>
      <c r="D615" s="180">
        <f>(D614/D611)*AX77</f>
        <v>0</v>
      </c>
      <c r="N615" s="197" t="s">
        <v>604</v>
      </c>
    </row>
    <row r="616" spans="1:14" ht="12.6" customHeight="1" x14ac:dyDescent="0.25">
      <c r="A616" s="194">
        <v>8510</v>
      </c>
      <c r="B616" s="198" t="s">
        <v>145</v>
      </c>
      <c r="C616" s="180">
        <f>BJ72</f>
        <v>624281</v>
      </c>
      <c r="D616" s="180">
        <f>(D614/D611)*BJ77</f>
        <v>0</v>
      </c>
      <c r="N616" s="197" t="s">
        <v>605</v>
      </c>
    </row>
    <row r="617" spans="1:14" ht="12.6" customHeight="1" x14ac:dyDescent="0.25">
      <c r="A617" s="194">
        <v>8470</v>
      </c>
      <c r="B617" s="198" t="s">
        <v>606</v>
      </c>
      <c r="C617" s="180">
        <f>BG72</f>
        <v>0</v>
      </c>
      <c r="D617" s="180">
        <f>(D614/D611)*BG77</f>
        <v>0</v>
      </c>
      <c r="N617" s="197" t="s">
        <v>607</v>
      </c>
    </row>
    <row r="618" spans="1:14" ht="12.6" customHeight="1" x14ac:dyDescent="0.25">
      <c r="A618" s="194">
        <v>8610</v>
      </c>
      <c r="B618" s="198" t="s">
        <v>608</v>
      </c>
      <c r="C618" s="180">
        <f>BN72</f>
        <v>2624582.1</v>
      </c>
      <c r="D618" s="180">
        <f>(D614/D611)*BN77</f>
        <v>248547.04332425885</v>
      </c>
      <c r="N618" s="197" t="s">
        <v>609</v>
      </c>
    </row>
    <row r="619" spans="1:14" ht="12.6" customHeight="1" x14ac:dyDescent="0.25">
      <c r="A619" s="194">
        <v>8790</v>
      </c>
      <c r="B619" s="198" t="s">
        <v>610</v>
      </c>
      <c r="C619" s="180">
        <f>CC72</f>
        <v>0</v>
      </c>
      <c r="D619" s="180">
        <f>(D614/D611)*CC77</f>
        <v>0</v>
      </c>
      <c r="N619" s="197" t="s">
        <v>611</v>
      </c>
    </row>
    <row r="620" spans="1:14" ht="12.6" customHeight="1" x14ac:dyDescent="0.25">
      <c r="A620" s="194">
        <v>8630</v>
      </c>
      <c r="B620" s="198" t="s">
        <v>612</v>
      </c>
      <c r="C620" s="180">
        <f>BP72</f>
        <v>0</v>
      </c>
      <c r="D620" s="180">
        <f>(D614/D611)*BP77</f>
        <v>0</v>
      </c>
      <c r="N620" s="197" t="s">
        <v>613</v>
      </c>
    </row>
    <row r="621" spans="1:14" ht="12.6" customHeight="1" x14ac:dyDescent="0.25">
      <c r="A621" s="194">
        <v>8770</v>
      </c>
      <c r="B621" s="196" t="s">
        <v>614</v>
      </c>
      <c r="C621" s="180">
        <f>CB72</f>
        <v>133158.12</v>
      </c>
      <c r="D621" s="180">
        <f>(D614/D611)*CB77</f>
        <v>0</v>
      </c>
      <c r="N621" s="197" t="s">
        <v>615</v>
      </c>
    </row>
    <row r="622" spans="1:14" ht="12.6" customHeight="1" x14ac:dyDescent="0.25">
      <c r="A622" s="194">
        <v>8640</v>
      </c>
      <c r="B622" s="198" t="s">
        <v>616</v>
      </c>
      <c r="C622" s="180">
        <f>BQ72</f>
        <v>0</v>
      </c>
      <c r="D622" s="180">
        <f>(D614/D611)*BQ77</f>
        <v>0</v>
      </c>
      <c r="E622" s="180">
        <f>SUM(C615:D622)</f>
        <v>3630568.2633242588</v>
      </c>
      <c r="N622" s="197" t="s">
        <v>617</v>
      </c>
    </row>
    <row r="623" spans="1:14" ht="12.6" customHeight="1" x14ac:dyDescent="0.25">
      <c r="A623" s="194">
        <v>8420</v>
      </c>
      <c r="B623" s="198" t="s">
        <v>139</v>
      </c>
      <c r="C623" s="180">
        <f>BD72</f>
        <v>0</v>
      </c>
      <c r="D623" s="180">
        <f>(D614/D611)*BD77</f>
        <v>0</v>
      </c>
      <c r="E623" s="180">
        <f>(E622/E611)*SUM(C623:D623)</f>
        <v>0</v>
      </c>
      <c r="F623" s="180">
        <f>SUM(C623:E623)</f>
        <v>0</v>
      </c>
      <c r="N623" s="197" t="s">
        <v>618</v>
      </c>
    </row>
    <row r="624" spans="1:14" ht="12.6" customHeight="1" x14ac:dyDescent="0.25">
      <c r="A624" s="194">
        <v>8320</v>
      </c>
      <c r="B624" s="198" t="s">
        <v>135</v>
      </c>
      <c r="C624" s="180">
        <f>AY72</f>
        <v>561544</v>
      </c>
      <c r="D624" s="180">
        <f>(D614/D611)*AY77</f>
        <v>35009.715938612499</v>
      </c>
      <c r="E624" s="180">
        <f>(E622/E611)*SUM(C624:D624)</f>
        <v>88807.883811701176</v>
      </c>
      <c r="F624" s="180">
        <f>(F623/F611)*AY64</f>
        <v>0</v>
      </c>
      <c r="G624" s="180">
        <f>SUM(C624:F624)</f>
        <v>685361.59975031368</v>
      </c>
      <c r="N624" s="197" t="s">
        <v>619</v>
      </c>
    </row>
    <row r="625" spans="1:14" ht="12.6" customHeight="1" x14ac:dyDescent="0.25">
      <c r="A625" s="194">
        <v>8650</v>
      </c>
      <c r="B625" s="198" t="s">
        <v>152</v>
      </c>
      <c r="C625" s="180">
        <f>BR72</f>
        <v>0</v>
      </c>
      <c r="D625" s="180">
        <f>(D614/D611)*BR77</f>
        <v>0</v>
      </c>
      <c r="E625" s="180">
        <f>(E622/E611)*SUM(C625:D625)</f>
        <v>0</v>
      </c>
      <c r="F625" s="180">
        <f>(F623/F611)*BR64</f>
        <v>0</v>
      </c>
      <c r="G625" s="180">
        <f>(G624/G611)*BR78</f>
        <v>0</v>
      </c>
      <c r="N625" s="197" t="s">
        <v>620</v>
      </c>
    </row>
    <row r="626" spans="1:14" ht="12.6" customHeight="1" x14ac:dyDescent="0.25">
      <c r="A626" s="194">
        <v>8620</v>
      </c>
      <c r="B626" s="196" t="s">
        <v>621</v>
      </c>
      <c r="C626" s="180">
        <f>BO72</f>
        <v>0</v>
      </c>
      <c r="D626" s="180">
        <f>(D614/D611)*BO77</f>
        <v>0</v>
      </c>
      <c r="E626" s="180">
        <f>(E622/E611)*SUM(C626:D626)</f>
        <v>0</v>
      </c>
      <c r="F626" s="180">
        <f>(F623/F611)*BO64</f>
        <v>0</v>
      </c>
      <c r="G626" s="180">
        <f>(G624/G611)*BO78</f>
        <v>0</v>
      </c>
      <c r="N626" s="197" t="s">
        <v>622</v>
      </c>
    </row>
    <row r="627" spans="1:14" ht="12.6" customHeight="1" x14ac:dyDescent="0.25">
      <c r="A627" s="194">
        <v>8330</v>
      </c>
      <c r="B627" s="198" t="s">
        <v>136</v>
      </c>
      <c r="C627" s="180">
        <f>AZ72</f>
        <v>5090</v>
      </c>
      <c r="D627" s="180">
        <f>(D614/D611)*AZ77</f>
        <v>29587.441222963476</v>
      </c>
      <c r="E627" s="180">
        <f>(E622/E611)*SUM(C627:D627)</f>
        <v>5162.3685993985873</v>
      </c>
      <c r="F627" s="180">
        <f>(F623/F611)*AZ64</f>
        <v>0</v>
      </c>
      <c r="G627" s="180">
        <f>(G624/G611)*AZ78</f>
        <v>0</v>
      </c>
      <c r="H627" s="180">
        <f>SUM(C625:G627)</f>
        <v>39839.809822362062</v>
      </c>
      <c r="N627" s="197" t="s">
        <v>623</v>
      </c>
    </row>
    <row r="628" spans="1:14" ht="12.6" customHeight="1" x14ac:dyDescent="0.25">
      <c r="A628" s="194">
        <v>8460</v>
      </c>
      <c r="B628" s="198" t="s">
        <v>141</v>
      </c>
      <c r="C628" s="180">
        <f>BF72</f>
        <v>251961</v>
      </c>
      <c r="D628" s="180">
        <f>(D614/D611)*BF77</f>
        <v>10249.039491429085</v>
      </c>
      <c r="E628" s="180">
        <f>(E622/E611)*SUM(C628:D628)</f>
        <v>39034.739201612254</v>
      </c>
      <c r="F628" s="180">
        <f>(F623/F611)*BF64</f>
        <v>0</v>
      </c>
      <c r="G628" s="180">
        <f>(G624/G611)*BF78</f>
        <v>0</v>
      </c>
      <c r="H628" s="180">
        <f>(H627/H611)*BF60</f>
        <v>1108.2940190770137</v>
      </c>
      <c r="I628" s="180">
        <f>SUM(C628:H628)</f>
        <v>302353.07271211839</v>
      </c>
      <c r="N628" s="197" t="s">
        <v>624</v>
      </c>
    </row>
    <row r="629" spans="1:14" ht="12.6" customHeight="1" x14ac:dyDescent="0.25">
      <c r="A629" s="194">
        <v>8350</v>
      </c>
      <c r="B629" s="198" t="s">
        <v>625</v>
      </c>
      <c r="C629" s="180">
        <f>BA72</f>
        <v>125599</v>
      </c>
      <c r="D629" s="180">
        <f>(D614/D611)*BA77</f>
        <v>3510.374382385497</v>
      </c>
      <c r="E629" s="180">
        <f>(E622/E611)*SUM(C629:D629)</f>
        <v>19220.28144793621</v>
      </c>
      <c r="F629" s="180">
        <f>(F623/F611)*BA64</f>
        <v>0</v>
      </c>
      <c r="G629" s="180">
        <f>(G624/G611)*BA78</f>
        <v>0</v>
      </c>
      <c r="H629" s="180">
        <f>(H627/H611)*BA60</f>
        <v>146.71530529891322</v>
      </c>
      <c r="I629" s="180">
        <f>(I628/I611)*BA79</f>
        <v>2810.4905264808522</v>
      </c>
      <c r="J629" s="180">
        <f>SUM(C629:I629)</f>
        <v>151286.8616621015</v>
      </c>
      <c r="N629" s="197" t="s">
        <v>626</v>
      </c>
    </row>
    <row r="630" spans="1:14" ht="12.6" customHeight="1" x14ac:dyDescent="0.25">
      <c r="A630" s="194">
        <v>8200</v>
      </c>
      <c r="B630" s="198" t="s">
        <v>627</v>
      </c>
      <c r="C630" s="180">
        <f>AW72</f>
        <v>0</v>
      </c>
      <c r="D630" s="180">
        <f>(D614/D611)*AW77</f>
        <v>0</v>
      </c>
      <c r="E630" s="180">
        <f>(E622/E611)*SUM(C630:D630)</f>
        <v>0</v>
      </c>
      <c r="F630" s="180">
        <f>(F623/F611)*AW64</f>
        <v>0</v>
      </c>
      <c r="G630" s="180">
        <f>(G624/G611)*AW78</f>
        <v>0</v>
      </c>
      <c r="H630" s="180">
        <f>(H627/H611)*AW60</f>
        <v>0</v>
      </c>
      <c r="I630" s="180">
        <f>(I628/I611)*AW79</f>
        <v>0</v>
      </c>
      <c r="J630" s="180">
        <f>(J629/J611)*AW80</f>
        <v>0</v>
      </c>
      <c r="N630" s="197" t="s">
        <v>628</v>
      </c>
    </row>
    <row r="631" spans="1:14" ht="12.6" customHeight="1" x14ac:dyDescent="0.25">
      <c r="A631" s="194">
        <v>8360</v>
      </c>
      <c r="B631" s="198" t="s">
        <v>629</v>
      </c>
      <c r="C631" s="180">
        <f>BB72</f>
        <v>79028</v>
      </c>
      <c r="D631" s="180">
        <f>(D614/D611)*BB77</f>
        <v>2256.6692458192483</v>
      </c>
      <c r="E631" s="180">
        <f>(E622/E611)*SUM(C631:D631)</f>
        <v>12100.703204400303</v>
      </c>
      <c r="F631" s="180">
        <f>(F623/F611)*BB64</f>
        <v>0</v>
      </c>
      <c r="G631" s="180">
        <f>(G624/G611)*BB78</f>
        <v>0</v>
      </c>
      <c r="H631" s="180">
        <f>(H627/H611)*BB60</f>
        <v>179.11258020293823</v>
      </c>
      <c r="I631" s="180">
        <f>(I628/I611)*BB79</f>
        <v>1806.743909880548</v>
      </c>
      <c r="J631" s="180">
        <f>(J629/J611)*BB80</f>
        <v>0</v>
      </c>
      <c r="N631" s="197" t="s">
        <v>630</v>
      </c>
    </row>
    <row r="632" spans="1:14" ht="12.6" customHeight="1" x14ac:dyDescent="0.25">
      <c r="A632" s="194">
        <v>8370</v>
      </c>
      <c r="B632" s="198" t="s">
        <v>631</v>
      </c>
      <c r="C632" s="180">
        <f>BC72</f>
        <v>0</v>
      </c>
      <c r="D632" s="180">
        <f>(D614/D611)*BC77</f>
        <v>0</v>
      </c>
      <c r="E632" s="180">
        <f>(E622/E611)*SUM(C632:D632)</f>
        <v>0</v>
      </c>
      <c r="F632" s="180">
        <f>(F623/F611)*BC64</f>
        <v>0</v>
      </c>
      <c r="G632" s="180">
        <f>(G624/G611)*BC78</f>
        <v>0</v>
      </c>
      <c r="H632" s="180">
        <f>(H627/H611)*BC60</f>
        <v>0</v>
      </c>
      <c r="I632" s="180">
        <f>(I628/I611)*BC79</f>
        <v>0</v>
      </c>
      <c r="J632" s="180">
        <f>(J629/J611)*BC80</f>
        <v>0</v>
      </c>
      <c r="N632" s="197" t="s">
        <v>632</v>
      </c>
    </row>
    <row r="633" spans="1:14" ht="12.6" customHeight="1" x14ac:dyDescent="0.25">
      <c r="A633" s="194">
        <v>8490</v>
      </c>
      <c r="B633" s="198" t="s">
        <v>633</v>
      </c>
      <c r="C633" s="180">
        <f>BI72</f>
        <v>0</v>
      </c>
      <c r="D633" s="180">
        <f>(D614/D611)*BI77</f>
        <v>0</v>
      </c>
      <c r="E633" s="180">
        <f>(E622/E611)*SUM(C633:D633)</f>
        <v>0</v>
      </c>
      <c r="F633" s="180">
        <f>(F623/F611)*BI64</f>
        <v>0</v>
      </c>
      <c r="G633" s="180">
        <f>(G624/G611)*BI78</f>
        <v>0</v>
      </c>
      <c r="H633" s="180">
        <f>(H627/H611)*BI60</f>
        <v>0</v>
      </c>
      <c r="I633" s="180">
        <f>(I628/I611)*BI79</f>
        <v>0</v>
      </c>
      <c r="J633" s="180">
        <f>(J629/J611)*BI80</f>
        <v>0</v>
      </c>
      <c r="N633" s="197" t="s">
        <v>634</v>
      </c>
    </row>
    <row r="634" spans="1:14" ht="12.6" customHeight="1" x14ac:dyDescent="0.25">
      <c r="A634" s="194">
        <v>8530</v>
      </c>
      <c r="B634" s="198" t="s">
        <v>635</v>
      </c>
      <c r="C634" s="180">
        <f>BK72</f>
        <v>0</v>
      </c>
      <c r="D634" s="180">
        <f>(D614/D611)*BK77</f>
        <v>0</v>
      </c>
      <c r="E634" s="180">
        <f>(E622/E611)*SUM(C634:D634)</f>
        <v>0</v>
      </c>
      <c r="F634" s="180">
        <f>(F623/F611)*BK64</f>
        <v>0</v>
      </c>
      <c r="G634" s="180">
        <f>(G624/G611)*BK78</f>
        <v>0</v>
      </c>
      <c r="H634" s="180">
        <f>(H627/H611)*BK60</f>
        <v>0</v>
      </c>
      <c r="I634" s="180">
        <f>(I628/I611)*BK79</f>
        <v>0</v>
      </c>
      <c r="J634" s="180">
        <f>(J629/J611)*BK80</f>
        <v>0</v>
      </c>
      <c r="N634" s="197" t="s">
        <v>636</v>
      </c>
    </row>
    <row r="635" spans="1:14" ht="12.6" customHeight="1" x14ac:dyDescent="0.25">
      <c r="A635" s="194">
        <v>8480</v>
      </c>
      <c r="B635" s="198" t="s">
        <v>637</v>
      </c>
      <c r="C635" s="180">
        <f>BH72</f>
        <v>0</v>
      </c>
      <c r="D635" s="180">
        <f>(D614/D611)*BH77</f>
        <v>0</v>
      </c>
      <c r="E635" s="180">
        <f>(E622/E611)*SUM(C635:D635)</f>
        <v>0</v>
      </c>
      <c r="F635" s="180">
        <f>(F623/F611)*BH64</f>
        <v>0</v>
      </c>
      <c r="G635" s="180">
        <f>(G624/G611)*BH78</f>
        <v>0</v>
      </c>
      <c r="H635" s="180">
        <f>(H627/H611)*BH60</f>
        <v>0</v>
      </c>
      <c r="I635" s="180">
        <f>(I628/I611)*BH79</f>
        <v>0</v>
      </c>
      <c r="J635" s="180">
        <f>(J629/J611)*BH80</f>
        <v>0</v>
      </c>
      <c r="N635" s="197" t="s">
        <v>638</v>
      </c>
    </row>
    <row r="636" spans="1:14" ht="12.6" customHeight="1" x14ac:dyDescent="0.25">
      <c r="A636" s="194">
        <v>8560</v>
      </c>
      <c r="B636" s="198" t="s">
        <v>147</v>
      </c>
      <c r="C636" s="180">
        <f>BL72</f>
        <v>417490</v>
      </c>
      <c r="D636" s="180">
        <f>(D614/D611)*BL77</f>
        <v>0</v>
      </c>
      <c r="E636" s="180">
        <f>(E622/E611)*SUM(C636:D636)</f>
        <v>62150.988958658039</v>
      </c>
      <c r="F636" s="180">
        <f>(F623/F611)*BL64</f>
        <v>0</v>
      </c>
      <c r="G636" s="180">
        <f>(G624/G611)*BL78</f>
        <v>0</v>
      </c>
      <c r="H636" s="180">
        <f>(H627/H611)*BL60</f>
        <v>1843.0759616892833</v>
      </c>
      <c r="I636" s="180">
        <f>(I628/I611)*BL79</f>
        <v>0</v>
      </c>
      <c r="J636" s="180">
        <f>(J629/J611)*BL80</f>
        <v>0</v>
      </c>
      <c r="N636" s="197" t="s">
        <v>639</v>
      </c>
    </row>
    <row r="637" spans="1:14" ht="12.6" customHeight="1" x14ac:dyDescent="0.25">
      <c r="A637" s="194">
        <v>8590</v>
      </c>
      <c r="B637" s="198" t="s">
        <v>640</v>
      </c>
      <c r="C637" s="180">
        <f>BM72</f>
        <v>0</v>
      </c>
      <c r="D637" s="180">
        <f>(D614/D611)*BM77</f>
        <v>0</v>
      </c>
      <c r="E637" s="180">
        <f>(E622/E611)*SUM(C637:D637)</f>
        <v>0</v>
      </c>
      <c r="F637" s="180">
        <f>(F623/F611)*BM64</f>
        <v>0</v>
      </c>
      <c r="G637" s="180">
        <f>(G624/G611)*BM78</f>
        <v>0</v>
      </c>
      <c r="H637" s="180">
        <f>(H627/H611)*BM60</f>
        <v>0</v>
      </c>
      <c r="I637" s="180">
        <f>(I628/I611)*BM79</f>
        <v>0</v>
      </c>
      <c r="J637" s="180">
        <f>(J629/J611)*BM80</f>
        <v>0</v>
      </c>
      <c r="N637" s="197" t="s">
        <v>641</v>
      </c>
    </row>
    <row r="638" spans="1:14" ht="12.6" customHeight="1" x14ac:dyDescent="0.25">
      <c r="A638" s="194">
        <v>8660</v>
      </c>
      <c r="B638" s="198" t="s">
        <v>642</v>
      </c>
      <c r="C638" s="180">
        <f>BS72</f>
        <v>0</v>
      </c>
      <c r="D638" s="180">
        <f>(D614/D611)*BS77</f>
        <v>0</v>
      </c>
      <c r="E638" s="180">
        <f>(E622/E611)*SUM(C638:D638)</f>
        <v>0</v>
      </c>
      <c r="F638" s="180">
        <f>(F623/F611)*BS64</f>
        <v>0</v>
      </c>
      <c r="G638" s="180">
        <f>(G624/G611)*BS78</f>
        <v>0</v>
      </c>
      <c r="H638" s="180">
        <f>(H627/H611)*BS60</f>
        <v>0</v>
      </c>
      <c r="I638" s="180">
        <f>(I628/I611)*BS79</f>
        <v>0</v>
      </c>
      <c r="J638" s="180">
        <f>(J629/J611)*BS80</f>
        <v>0</v>
      </c>
      <c r="N638" s="197" t="s">
        <v>643</v>
      </c>
    </row>
    <row r="639" spans="1:14" ht="12.6" customHeight="1" x14ac:dyDescent="0.25">
      <c r="A639" s="194">
        <v>8670</v>
      </c>
      <c r="B639" s="198" t="s">
        <v>644</v>
      </c>
      <c r="C639" s="180">
        <f>BT72</f>
        <v>0</v>
      </c>
      <c r="D639" s="180">
        <f>(D614/D611)*BT77</f>
        <v>0</v>
      </c>
      <c r="E639" s="180">
        <f>(E622/E611)*SUM(C639:D639)</f>
        <v>0</v>
      </c>
      <c r="F639" s="180">
        <f>(F623/F611)*BT64</f>
        <v>0</v>
      </c>
      <c r="G639" s="180">
        <f>(G624/G611)*BT78</f>
        <v>0</v>
      </c>
      <c r="H639" s="180">
        <f>(H627/H611)*BT60</f>
        <v>0</v>
      </c>
      <c r="I639" s="180">
        <f>(I628/I611)*BT79</f>
        <v>0</v>
      </c>
      <c r="J639" s="180">
        <f>(J629/J611)*BT80</f>
        <v>0</v>
      </c>
      <c r="N639" s="197" t="s">
        <v>645</v>
      </c>
    </row>
    <row r="640" spans="1:14" ht="12.6" customHeight="1" x14ac:dyDescent="0.25">
      <c r="A640" s="194">
        <v>8680</v>
      </c>
      <c r="B640" s="198" t="s">
        <v>646</v>
      </c>
      <c r="C640" s="180">
        <f>BU72</f>
        <v>0</v>
      </c>
      <c r="D640" s="180">
        <f>(D614/D611)*BU77</f>
        <v>0</v>
      </c>
      <c r="E640" s="180">
        <f>(E622/E611)*SUM(C640:D640)</f>
        <v>0</v>
      </c>
      <c r="F640" s="180">
        <f>(F623/F611)*BU64</f>
        <v>0</v>
      </c>
      <c r="G640" s="180">
        <f>(G624/G611)*BU78</f>
        <v>0</v>
      </c>
      <c r="H640" s="180">
        <f>(H627/H611)*BU60</f>
        <v>0</v>
      </c>
      <c r="I640" s="180">
        <f>(I628/I611)*BU79</f>
        <v>0</v>
      </c>
      <c r="J640" s="180">
        <f>(J629/J611)*BU80</f>
        <v>0</v>
      </c>
      <c r="N640" s="197" t="s">
        <v>647</v>
      </c>
    </row>
    <row r="641" spans="1:14" ht="12.6" customHeight="1" x14ac:dyDescent="0.25">
      <c r="A641" s="194">
        <v>8690</v>
      </c>
      <c r="B641" s="198" t="s">
        <v>648</v>
      </c>
      <c r="C641" s="180">
        <f>BV72</f>
        <v>338014</v>
      </c>
      <c r="D641" s="180">
        <f>(D614/D611)*BV77</f>
        <v>16830.991458401892</v>
      </c>
      <c r="E641" s="180">
        <f>(E622/E611)*SUM(C641:D641)</f>
        <v>52825.138676773677</v>
      </c>
      <c r="F641" s="180">
        <f>(F623/F611)*BV64</f>
        <v>0</v>
      </c>
      <c r="G641" s="180">
        <f>(G624/G611)*BV78</f>
        <v>0</v>
      </c>
      <c r="H641" s="180">
        <f>(H627/H611)*BV60</f>
        <v>940.90598582786379</v>
      </c>
      <c r="I641" s="180">
        <f>(I628/I611)*BV79</f>
        <v>13475.298327859087</v>
      </c>
      <c r="J641" s="180">
        <f>(J629/J611)*BV80</f>
        <v>0</v>
      </c>
      <c r="N641" s="197" t="s">
        <v>649</v>
      </c>
    </row>
    <row r="642" spans="1:14" ht="12.6" customHeight="1" x14ac:dyDescent="0.25">
      <c r="A642" s="194">
        <v>8700</v>
      </c>
      <c r="B642" s="198" t="s">
        <v>650</v>
      </c>
      <c r="C642" s="180">
        <f>BW72</f>
        <v>0</v>
      </c>
      <c r="D642" s="180">
        <f>(D614/D611)*BW77</f>
        <v>0</v>
      </c>
      <c r="E642" s="180">
        <f>(E622/E611)*SUM(C642:D642)</f>
        <v>0</v>
      </c>
      <c r="F642" s="180">
        <f>(F623/F611)*BW64</f>
        <v>0</v>
      </c>
      <c r="G642" s="180">
        <f>(G624/G611)*BW78</f>
        <v>0</v>
      </c>
      <c r="H642" s="180">
        <f>(H627/H611)*BW60</f>
        <v>0</v>
      </c>
      <c r="I642" s="180">
        <f>(I628/I611)*BW79</f>
        <v>0</v>
      </c>
      <c r="J642" s="180">
        <f>(J629/J611)*BW80</f>
        <v>0</v>
      </c>
      <c r="N642" s="197" t="s">
        <v>651</v>
      </c>
    </row>
    <row r="643" spans="1:14" ht="12.6" customHeight="1" x14ac:dyDescent="0.25">
      <c r="A643" s="194">
        <v>8710</v>
      </c>
      <c r="B643" s="198" t="s">
        <v>652</v>
      </c>
      <c r="C643" s="180">
        <f>BX72</f>
        <v>262072</v>
      </c>
      <c r="D643" s="180">
        <f>(D614/D611)*BX77</f>
        <v>0</v>
      </c>
      <c r="E643" s="180">
        <f>(E622/E611)*SUM(C643:D643)</f>
        <v>39014.189509625212</v>
      </c>
      <c r="F643" s="180">
        <f>(F623/F611)*BX64</f>
        <v>0</v>
      </c>
      <c r="G643" s="180">
        <f>(G624/G611)*BX78</f>
        <v>0</v>
      </c>
      <c r="H643" s="180">
        <f>(H627/H611)*BX60</f>
        <v>415.02867821190318</v>
      </c>
      <c r="I643" s="180">
        <f>(I628/I611)*BX79</f>
        <v>0</v>
      </c>
      <c r="J643" s="180">
        <f>(J629/J611)*BX80</f>
        <v>0</v>
      </c>
      <c r="K643" s="180">
        <f>SUM(C630:J643)</f>
        <v>1300442.8464973501</v>
      </c>
      <c r="N643" s="197" t="s">
        <v>653</v>
      </c>
    </row>
    <row r="644" spans="1:14" ht="12.6" customHeight="1" x14ac:dyDescent="0.25">
      <c r="A644" s="194">
        <v>8720</v>
      </c>
      <c r="B644" s="198" t="s">
        <v>654</v>
      </c>
      <c r="C644" s="180">
        <f>BY72</f>
        <v>176356</v>
      </c>
      <c r="D644" s="180">
        <f>(D614/D611)*BY77</f>
        <v>4670.0516337092777</v>
      </c>
      <c r="E644" s="180">
        <f>(E622/E611)*SUM(C644:D644)</f>
        <v>26949.024255230364</v>
      </c>
      <c r="F644" s="180">
        <f>(F623/F611)*BY64</f>
        <v>0</v>
      </c>
      <c r="G644" s="180">
        <f>(G624/G611)*BY78</f>
        <v>0</v>
      </c>
      <c r="H644" s="180">
        <f>(H627/H611)*BY60</f>
        <v>218.89765082221291</v>
      </c>
      <c r="I644" s="180">
        <f>(I628/I611)*BY79</f>
        <v>3738.9561468361339</v>
      </c>
      <c r="J644" s="180">
        <f>(J629/J611)*BY80</f>
        <v>0</v>
      </c>
      <c r="K644" s="180">
        <v>0</v>
      </c>
      <c r="N644" s="197" t="s">
        <v>655</v>
      </c>
    </row>
    <row r="645" spans="1:14" ht="12.6" customHeight="1" x14ac:dyDescent="0.25">
      <c r="A645" s="194">
        <v>8730</v>
      </c>
      <c r="B645" s="198" t="s">
        <v>656</v>
      </c>
      <c r="C645" s="180">
        <f>BZ72</f>
        <v>0</v>
      </c>
      <c r="D645" s="180">
        <f>(D614/D611)*BZ77</f>
        <v>0</v>
      </c>
      <c r="E645" s="180">
        <f>(E622/E611)*SUM(C645:D645)</f>
        <v>0</v>
      </c>
      <c r="F645" s="180">
        <f>(F623/F611)*BZ64</f>
        <v>0</v>
      </c>
      <c r="G645" s="180">
        <f>(G624/G611)*BZ78</f>
        <v>0</v>
      </c>
      <c r="H645" s="180">
        <f>(H627/H611)*BZ60</f>
        <v>0</v>
      </c>
      <c r="I645" s="180">
        <f>(I628/I611)*BZ79</f>
        <v>0</v>
      </c>
      <c r="J645" s="180">
        <f>(J629/J611)*BZ80</f>
        <v>0</v>
      </c>
      <c r="K645" s="180">
        <v>0</v>
      </c>
      <c r="N645" s="197" t="s">
        <v>657</v>
      </c>
    </row>
    <row r="646" spans="1:14" ht="12.6" customHeight="1" x14ac:dyDescent="0.25">
      <c r="A646" s="194">
        <v>8740</v>
      </c>
      <c r="B646" s="198" t="s">
        <v>658</v>
      </c>
      <c r="C646" s="180">
        <f>CA72</f>
        <v>0</v>
      </c>
      <c r="D646" s="180">
        <f>(D614/D611)*CA77</f>
        <v>0</v>
      </c>
      <c r="E646" s="180">
        <f>(E622/E611)*SUM(C646:D646)</f>
        <v>0</v>
      </c>
      <c r="F646" s="180">
        <f>(F623/F611)*CA64</f>
        <v>0</v>
      </c>
      <c r="G646" s="180">
        <f>(G624/G611)*CA78</f>
        <v>0</v>
      </c>
      <c r="H646" s="180">
        <f>(H627/H611)*CA60</f>
        <v>0</v>
      </c>
      <c r="I646" s="180">
        <f>(I628/I611)*CA79</f>
        <v>0</v>
      </c>
      <c r="J646" s="180">
        <f>(J629/J611)*CA80</f>
        <v>0</v>
      </c>
      <c r="K646" s="180">
        <v>0</v>
      </c>
      <c r="L646" s="180">
        <f>SUM(C644:K646)</f>
        <v>211932.92968659798</v>
      </c>
      <c r="N646" s="197" t="s">
        <v>659</v>
      </c>
    </row>
    <row r="647" spans="1:14" ht="12.6" customHeight="1" x14ac:dyDescent="0.25">
      <c r="A647" s="194"/>
      <c r="B647" s="194"/>
      <c r="C647" s="180">
        <f>SUM(C613:C646)</f>
        <v>6646865.2600000007</v>
      </c>
      <c r="L647" s="262"/>
    </row>
    <row r="665" spans="1:14" ht="12.6" customHeight="1" x14ac:dyDescent="0.25">
      <c r="C665" s="181" t="s">
        <v>660</v>
      </c>
      <c r="M665" s="181" t="s">
        <v>661</v>
      </c>
    </row>
    <row r="666" spans="1:14" ht="12.6" customHeight="1" x14ac:dyDescent="0.25">
      <c r="C666" s="181" t="s">
        <v>590</v>
      </c>
      <c r="D666" s="181" t="s">
        <v>591</v>
      </c>
      <c r="E666" s="196" t="s">
        <v>592</v>
      </c>
      <c r="F666" s="181" t="s">
        <v>593</v>
      </c>
      <c r="G666" s="181" t="s">
        <v>594</v>
      </c>
      <c r="H666" s="181" t="s">
        <v>595</v>
      </c>
      <c r="I666" s="181" t="s">
        <v>596</v>
      </c>
      <c r="J666" s="181" t="s">
        <v>597</v>
      </c>
      <c r="K666" s="181" t="s">
        <v>598</v>
      </c>
      <c r="L666" s="196" t="s">
        <v>599</v>
      </c>
      <c r="M666" s="181" t="s">
        <v>662</v>
      </c>
    </row>
    <row r="667" spans="1:14" ht="12.6" customHeight="1" x14ac:dyDescent="0.25">
      <c r="A667" s="194">
        <v>6010</v>
      </c>
      <c r="B667" s="196" t="s">
        <v>283</v>
      </c>
      <c r="C667" s="180">
        <f>C72</f>
        <v>0</v>
      </c>
      <c r="D667" s="180">
        <f>(D614/D611)*C77</f>
        <v>0</v>
      </c>
      <c r="E667" s="180">
        <f>(E622/E611)*SUM(C667:D667)</f>
        <v>0</v>
      </c>
      <c r="F667" s="180">
        <f>(F623/F611)*C64</f>
        <v>0</v>
      </c>
      <c r="G667" s="180">
        <f>(G624/G611)*C78</f>
        <v>0</v>
      </c>
      <c r="H667" s="180">
        <f>(H627/H611)*C60</f>
        <v>0</v>
      </c>
      <c r="I667" s="180">
        <f>(I628/I611)*C79</f>
        <v>0</v>
      </c>
      <c r="J667" s="180">
        <f>(J629/J611)*C80</f>
        <v>0</v>
      </c>
      <c r="K667" s="180">
        <f>(K643/K611)*C76</f>
        <v>0</v>
      </c>
      <c r="L667" s="180">
        <f>(L646/L611)*C81</f>
        <v>0</v>
      </c>
      <c r="M667" s="180">
        <f t="shared" ref="M667:M712" si="8">ROUND(SUM(D667:L667),0)</f>
        <v>0</v>
      </c>
      <c r="N667" s="196" t="s">
        <v>663</v>
      </c>
    </row>
    <row r="668" spans="1:14" ht="12.6" customHeight="1" x14ac:dyDescent="0.25">
      <c r="A668" s="194">
        <v>6030</v>
      </c>
      <c r="B668" s="196" t="s">
        <v>284</v>
      </c>
      <c r="C668" s="180">
        <f>D72</f>
        <v>0</v>
      </c>
      <c r="D668" s="180">
        <f>(D614/D611)*D77</f>
        <v>0</v>
      </c>
      <c r="E668" s="180">
        <f>(E622/E611)*SUM(C668:D668)</f>
        <v>0</v>
      </c>
      <c r="F668" s="180">
        <f>(F623/F611)*D64</f>
        <v>0</v>
      </c>
      <c r="G668" s="180">
        <f>(G624/G611)*D78</f>
        <v>0</v>
      </c>
      <c r="H668" s="180">
        <f>(H627/H611)*D60</f>
        <v>0</v>
      </c>
      <c r="I668" s="180">
        <f>(I628/I611)*D79</f>
        <v>0</v>
      </c>
      <c r="J668" s="180">
        <f>(J629/J611)*D80</f>
        <v>0</v>
      </c>
      <c r="K668" s="180">
        <f>(K643/K611)*D76</f>
        <v>0</v>
      </c>
      <c r="L668" s="180">
        <f>(L646/L611)*D81</f>
        <v>0</v>
      </c>
      <c r="M668" s="180">
        <f t="shared" si="8"/>
        <v>0</v>
      </c>
      <c r="N668" s="196" t="s">
        <v>664</v>
      </c>
    </row>
    <row r="669" spans="1:14" ht="12.6" customHeight="1" x14ac:dyDescent="0.25">
      <c r="A669" s="194">
        <v>6070</v>
      </c>
      <c r="B669" s="196" t="s">
        <v>665</v>
      </c>
      <c r="C669" s="180">
        <f>E72</f>
        <v>947060</v>
      </c>
      <c r="D669" s="180">
        <f>(D614/D611)*E77</f>
        <v>240115.87628085082</v>
      </c>
      <c r="E669" s="180">
        <f>(E622/E611)*SUM(C669:D669)</f>
        <v>176732.74755974114</v>
      </c>
      <c r="F669" s="180">
        <f>(F623/F611)*E64</f>
        <v>0</v>
      </c>
      <c r="G669" s="180">
        <f>(G624/G611)*E78</f>
        <v>82037.000240924724</v>
      </c>
      <c r="H669" s="180">
        <f>(H627/H611)*E60</f>
        <v>2021.6339025742595</v>
      </c>
      <c r="I669" s="180">
        <f>(I628/I611)*E79</f>
        <v>230.86172181807001</v>
      </c>
      <c r="J669" s="180">
        <f>(J629/J611)*E80</f>
        <v>79486.31355991053</v>
      </c>
      <c r="K669" s="180">
        <f>(K643/K611)*E76</f>
        <v>155688.70587092839</v>
      </c>
      <c r="L669" s="180">
        <f>(L646/L611)*E81</f>
        <v>0</v>
      </c>
      <c r="M669" s="180">
        <f t="shared" si="8"/>
        <v>736313</v>
      </c>
      <c r="N669" s="196" t="s">
        <v>666</v>
      </c>
    </row>
    <row r="670" spans="1:14" ht="12.6" customHeight="1" x14ac:dyDescent="0.25">
      <c r="A670" s="194">
        <v>6100</v>
      </c>
      <c r="B670" s="196" t="s">
        <v>667</v>
      </c>
      <c r="C670" s="180">
        <f>F72</f>
        <v>0</v>
      </c>
      <c r="D670" s="180">
        <f>(D614/D611)*F77</f>
        <v>0</v>
      </c>
      <c r="E670" s="180">
        <f>(E622/E611)*SUM(C670:D670)</f>
        <v>0</v>
      </c>
      <c r="F670" s="180">
        <f>(F623/F611)*F64</f>
        <v>0</v>
      </c>
      <c r="G670" s="180">
        <f>(G624/G611)*F78</f>
        <v>0</v>
      </c>
      <c r="H670" s="180">
        <f>(H627/H611)*F60</f>
        <v>0</v>
      </c>
      <c r="I670" s="180">
        <f>(I628/I611)*F79</f>
        <v>0</v>
      </c>
      <c r="J670" s="180">
        <f>(J629/J611)*F80</f>
        <v>0</v>
      </c>
      <c r="K670" s="180">
        <f>(K643/K611)*F76</f>
        <v>0</v>
      </c>
      <c r="L670" s="180">
        <f>(L646/L611)*F81</f>
        <v>0</v>
      </c>
      <c r="M670" s="180">
        <f t="shared" si="8"/>
        <v>0</v>
      </c>
      <c r="N670" s="196" t="s">
        <v>668</v>
      </c>
    </row>
    <row r="671" spans="1:14" ht="12.6" customHeight="1" x14ac:dyDescent="0.25">
      <c r="A671" s="194">
        <v>6120</v>
      </c>
      <c r="B671" s="196" t="s">
        <v>669</v>
      </c>
      <c r="C671" s="180">
        <f>G72</f>
        <v>0</v>
      </c>
      <c r="D671" s="180">
        <f>(D614/D611)*G77</f>
        <v>0</v>
      </c>
      <c r="E671" s="180">
        <f>(E622/E611)*SUM(C671:D671)</f>
        <v>0</v>
      </c>
      <c r="F671" s="180">
        <f>(F623/F611)*G64</f>
        <v>0</v>
      </c>
      <c r="G671" s="180">
        <f>(G624/G611)*G78</f>
        <v>0</v>
      </c>
      <c r="H671" s="180">
        <f>(H627/H611)*G60</f>
        <v>0</v>
      </c>
      <c r="I671" s="180">
        <f>(I628/I611)*G79</f>
        <v>0</v>
      </c>
      <c r="J671" s="180">
        <f>(J629/J611)*G80</f>
        <v>0</v>
      </c>
      <c r="K671" s="180">
        <f>(K643/K611)*G76</f>
        <v>0</v>
      </c>
      <c r="L671" s="180">
        <f>(L646/L611)*G81</f>
        <v>0</v>
      </c>
      <c r="M671" s="180">
        <f t="shared" si="8"/>
        <v>0</v>
      </c>
      <c r="N671" s="196" t="s">
        <v>670</v>
      </c>
    </row>
    <row r="672" spans="1:14" ht="12.6" customHeight="1" x14ac:dyDescent="0.25">
      <c r="A672" s="194">
        <v>6140</v>
      </c>
      <c r="B672" s="196" t="s">
        <v>671</v>
      </c>
      <c r="C672" s="180">
        <f>H72</f>
        <v>0</v>
      </c>
      <c r="D672" s="180">
        <f>(D614/D611)*H77</f>
        <v>0</v>
      </c>
      <c r="E672" s="180">
        <f>(E622/E611)*SUM(C672:D672)</f>
        <v>0</v>
      </c>
      <c r="F672" s="180">
        <f>(F623/F611)*H64</f>
        <v>0</v>
      </c>
      <c r="G672" s="180">
        <f>(G624/G611)*H78</f>
        <v>0</v>
      </c>
      <c r="H672" s="180">
        <f>(H627/H611)*H60</f>
        <v>0</v>
      </c>
      <c r="I672" s="180">
        <f>(I628/I611)*H79</f>
        <v>0</v>
      </c>
      <c r="J672" s="180">
        <f>(J629/J611)*H80</f>
        <v>0</v>
      </c>
      <c r="K672" s="180">
        <f>(K643/K611)*H76</f>
        <v>0</v>
      </c>
      <c r="L672" s="180">
        <f>(L646/L611)*H81</f>
        <v>0</v>
      </c>
      <c r="M672" s="180">
        <f t="shared" si="8"/>
        <v>0</v>
      </c>
      <c r="N672" s="196" t="s">
        <v>672</v>
      </c>
    </row>
    <row r="673" spans="1:14" ht="12.6" customHeight="1" x14ac:dyDescent="0.25">
      <c r="A673" s="194">
        <v>6150</v>
      </c>
      <c r="B673" s="196" t="s">
        <v>673</v>
      </c>
      <c r="C673" s="180">
        <f>I72</f>
        <v>247066</v>
      </c>
      <c r="D673" s="180">
        <f>(D614/D611)*I77</f>
        <v>107881.32700152571</v>
      </c>
      <c r="E673" s="180">
        <f>(E622/E611)*SUM(C673:D673)</f>
        <v>52840.373185889504</v>
      </c>
      <c r="F673" s="180">
        <f>(F623/F611)*I64</f>
        <v>0</v>
      </c>
      <c r="G673" s="180">
        <f>(G624/G611)*I78</f>
        <v>56757.725506051538</v>
      </c>
      <c r="H673" s="180">
        <f>(H627/H611)*I60</f>
        <v>533.97504165820123</v>
      </c>
      <c r="I673" s="180">
        <f>(I628/I611)*I79</f>
        <v>60.977606958468499</v>
      </c>
      <c r="J673" s="180">
        <f>(J629/J611)*I80</f>
        <v>0</v>
      </c>
      <c r="K673" s="180">
        <f>(K643/K611)*I76</f>
        <v>22258.88158524581</v>
      </c>
      <c r="L673" s="180">
        <f>(L646/L611)*I81</f>
        <v>0</v>
      </c>
      <c r="M673" s="180">
        <f t="shared" si="8"/>
        <v>240333</v>
      </c>
      <c r="N673" s="196" t="s">
        <v>674</v>
      </c>
    </row>
    <row r="674" spans="1:14" ht="12.6" customHeight="1" x14ac:dyDescent="0.25">
      <c r="A674" s="194">
        <v>6170</v>
      </c>
      <c r="B674" s="196" t="s">
        <v>99</v>
      </c>
      <c r="C674" s="180">
        <f>J72</f>
        <v>11164</v>
      </c>
      <c r="D674" s="180">
        <f>(D614/D611)*J77</f>
        <v>0</v>
      </c>
      <c r="E674" s="180">
        <f>(E622/E611)*SUM(C674:D674)</f>
        <v>1661.9646955243438</v>
      </c>
      <c r="F674" s="180">
        <f>(F623/F611)*J64</f>
        <v>0</v>
      </c>
      <c r="G674" s="180">
        <f>(G624/G611)*J78</f>
        <v>0</v>
      </c>
      <c r="H674" s="180">
        <f>(H627/H611)*J60</f>
        <v>129.64826114334926</v>
      </c>
      <c r="I674" s="180">
        <f>(I628/I611)*J79</f>
        <v>14.80526259485449</v>
      </c>
      <c r="J674" s="180">
        <f>(J629/J611)*J80</f>
        <v>731.02506139206378</v>
      </c>
      <c r="K674" s="180">
        <f>(K643/K611)*J76</f>
        <v>6885.4290416301392</v>
      </c>
      <c r="L674" s="180">
        <f>(L646/L611)*J81</f>
        <v>1076.1955053485128</v>
      </c>
      <c r="M674" s="180">
        <f t="shared" si="8"/>
        <v>10499</v>
      </c>
      <c r="N674" s="196" t="s">
        <v>675</v>
      </c>
    </row>
    <row r="675" spans="1:14" ht="12.6" customHeight="1" x14ac:dyDescent="0.25">
      <c r="A675" s="194">
        <v>6200</v>
      </c>
      <c r="B675" s="196" t="s">
        <v>288</v>
      </c>
      <c r="C675" s="180">
        <f>K72</f>
        <v>0</v>
      </c>
      <c r="D675" s="180">
        <f>(D614/D611)*K77</f>
        <v>0</v>
      </c>
      <c r="E675" s="180">
        <f>(E622/E611)*SUM(C675:D675)</f>
        <v>0</v>
      </c>
      <c r="F675" s="180">
        <f>(F623/F611)*K64</f>
        <v>0</v>
      </c>
      <c r="G675" s="180">
        <f>(G624/G611)*K78</f>
        <v>0</v>
      </c>
      <c r="H675" s="180">
        <f>(H627/H611)*K60</f>
        <v>0</v>
      </c>
      <c r="I675" s="180">
        <f>(I628/I611)*K79</f>
        <v>0</v>
      </c>
      <c r="J675" s="180">
        <f>(J629/J611)*K80</f>
        <v>0</v>
      </c>
      <c r="K675" s="180">
        <f>(K643/K611)*K76</f>
        <v>0</v>
      </c>
      <c r="L675" s="180">
        <f>(L646/L611)*K81</f>
        <v>0</v>
      </c>
      <c r="M675" s="180">
        <f t="shared" si="8"/>
        <v>0</v>
      </c>
      <c r="N675" s="196" t="s">
        <v>676</v>
      </c>
    </row>
    <row r="676" spans="1:14" ht="12.6" customHeight="1" x14ac:dyDescent="0.25">
      <c r="A676" s="194">
        <v>6210</v>
      </c>
      <c r="B676" s="196" t="s">
        <v>289</v>
      </c>
      <c r="C676" s="180">
        <f>L72</f>
        <v>2867447</v>
      </c>
      <c r="D676" s="180">
        <f>(D614/D611)*L77</f>
        <v>0</v>
      </c>
      <c r="E676" s="180">
        <f>(E622/E611)*SUM(C676:D676)</f>
        <v>426871.70192468591</v>
      </c>
      <c r="F676" s="180">
        <f>(F623/F611)*L64</f>
        <v>0</v>
      </c>
      <c r="G676" s="180">
        <f>(G624/G611)*L78</f>
        <v>546566.87400333746</v>
      </c>
      <c r="H676" s="180">
        <f>(H627/H611)*L60</f>
        <v>6759.2890046939383</v>
      </c>
      <c r="I676" s="180">
        <f>(I628/I611)*L79</f>
        <v>771.88114816563416</v>
      </c>
      <c r="J676" s="180">
        <f>(J629/J611)*L80</f>
        <v>0</v>
      </c>
      <c r="K676" s="180">
        <f>(K643/K611)*L76</f>
        <v>123650.76423294097</v>
      </c>
      <c r="L676" s="180">
        <f>(L646/L611)*L81</f>
        <v>0</v>
      </c>
      <c r="M676" s="180">
        <f t="shared" si="8"/>
        <v>1104621</v>
      </c>
      <c r="N676" s="196" t="s">
        <v>677</v>
      </c>
    </row>
    <row r="677" spans="1:14" ht="12.6" customHeight="1" x14ac:dyDescent="0.25">
      <c r="A677" s="194">
        <v>6330</v>
      </c>
      <c r="B677" s="196" t="s">
        <v>678</v>
      </c>
      <c r="C677" s="180">
        <f>M72</f>
        <v>0</v>
      </c>
      <c r="D677" s="180">
        <f>(D614/D611)*M77</f>
        <v>0</v>
      </c>
      <c r="E677" s="180">
        <f>(E622/E611)*SUM(C677:D677)</f>
        <v>0</v>
      </c>
      <c r="F677" s="180">
        <f>(F623/F611)*M64</f>
        <v>0</v>
      </c>
      <c r="G677" s="180">
        <f>(G624/G611)*M78</f>
        <v>0</v>
      </c>
      <c r="H677" s="180">
        <f>(H627/H611)*M60</f>
        <v>0</v>
      </c>
      <c r="I677" s="180">
        <f>(I628/I611)*M79</f>
        <v>0</v>
      </c>
      <c r="J677" s="180">
        <f>(J629/J611)*M80</f>
        <v>0</v>
      </c>
      <c r="K677" s="180">
        <f>(K643/K611)*M76</f>
        <v>0</v>
      </c>
      <c r="L677" s="180">
        <f>(L646/L611)*M81</f>
        <v>0</v>
      </c>
      <c r="M677" s="180">
        <f t="shared" si="8"/>
        <v>0</v>
      </c>
      <c r="N677" s="196" t="s">
        <v>679</v>
      </c>
    </row>
    <row r="678" spans="1:14" ht="12.6" customHeight="1" x14ac:dyDescent="0.25">
      <c r="A678" s="194">
        <v>6400</v>
      </c>
      <c r="B678" s="196" t="s">
        <v>680</v>
      </c>
      <c r="C678" s="180">
        <f>N72</f>
        <v>0</v>
      </c>
      <c r="D678" s="180">
        <f>(D614/D611)*N77</f>
        <v>0</v>
      </c>
      <c r="E678" s="180">
        <f>(E622/E611)*SUM(C678:D678)</f>
        <v>0</v>
      </c>
      <c r="F678" s="180">
        <f>(F623/F611)*N64</f>
        <v>0</v>
      </c>
      <c r="G678" s="180">
        <f>(G624/G611)*N78</f>
        <v>0</v>
      </c>
      <c r="H678" s="180">
        <f>(H627/H611)*N60</f>
        <v>0</v>
      </c>
      <c r="I678" s="180">
        <f>(I628/I611)*N79</f>
        <v>0</v>
      </c>
      <c r="J678" s="180">
        <f>(J629/J611)*N80</f>
        <v>0</v>
      </c>
      <c r="K678" s="180">
        <f>(K643/K611)*N76</f>
        <v>0</v>
      </c>
      <c r="L678" s="180">
        <f>(L646/L611)*N81</f>
        <v>0</v>
      </c>
      <c r="M678" s="180">
        <f t="shared" si="8"/>
        <v>0</v>
      </c>
      <c r="N678" s="196" t="s">
        <v>681</v>
      </c>
    </row>
    <row r="679" spans="1:14" ht="12.6" customHeight="1" x14ac:dyDescent="0.25">
      <c r="A679" s="194">
        <v>7010</v>
      </c>
      <c r="B679" s="196" t="s">
        <v>682</v>
      </c>
      <c r="C679" s="180">
        <f>O72</f>
        <v>678571</v>
      </c>
      <c r="D679" s="180">
        <f>(D614/D611)*O77</f>
        <v>24886.046960840042</v>
      </c>
      <c r="E679" s="180">
        <f>(E622/E611)*SUM(C679:D679)</f>
        <v>104722.3913352496</v>
      </c>
      <c r="F679" s="180">
        <f>(F623/F611)*O64</f>
        <v>0</v>
      </c>
      <c r="G679" s="180">
        <f>(G624/G611)*O78</f>
        <v>0</v>
      </c>
      <c r="H679" s="180">
        <f>(H627/H611)*O60</f>
        <v>966.13415137629249</v>
      </c>
      <c r="I679" s="180">
        <f>(I628/I611)*O79</f>
        <v>19924.370339516041</v>
      </c>
      <c r="J679" s="180">
        <f>(J629/J611)*O80</f>
        <v>3217.771181932027</v>
      </c>
      <c r="K679" s="180">
        <f>(K643/K611)*O76</f>
        <v>24506.526196982064</v>
      </c>
      <c r="L679" s="180">
        <f>(L646/L611)*O81</f>
        <v>7975.3368926131752</v>
      </c>
      <c r="M679" s="180">
        <f t="shared" si="8"/>
        <v>186199</v>
      </c>
      <c r="N679" s="196" t="s">
        <v>683</v>
      </c>
    </row>
    <row r="680" spans="1:14" ht="12.6" customHeight="1" x14ac:dyDescent="0.25">
      <c r="A680" s="194">
        <v>7020</v>
      </c>
      <c r="B680" s="196" t="s">
        <v>684</v>
      </c>
      <c r="C680" s="180">
        <f>P72</f>
        <v>970187</v>
      </c>
      <c r="D680" s="180">
        <f>(D614/D611)*P77</f>
        <v>28427.763971639695</v>
      </c>
      <c r="E680" s="180">
        <f>(E622/E611)*SUM(C680:D680)</f>
        <v>148661.99231012547</v>
      </c>
      <c r="F680" s="180">
        <f>(F623/F611)*P64</f>
        <v>0</v>
      </c>
      <c r="G680" s="180">
        <f>(G624/G611)*P78</f>
        <v>0</v>
      </c>
      <c r="H680" s="180">
        <f>(H627/H611)*P60</f>
        <v>1456.7945034412953</v>
      </c>
      <c r="I680" s="180">
        <f>(I628/I611)*P79</f>
        <v>22759.954531411902</v>
      </c>
      <c r="J680" s="180">
        <f>(J629/J611)*P80</f>
        <v>20577.157493611565</v>
      </c>
      <c r="K680" s="180">
        <f>(K643/K611)*P76</f>
        <v>124926.32485151767</v>
      </c>
      <c r="L680" s="180">
        <f>(L646/L611)*P81</f>
        <v>12025.687045324492</v>
      </c>
      <c r="M680" s="180">
        <f t="shared" si="8"/>
        <v>358836</v>
      </c>
      <c r="N680" s="196" t="s">
        <v>685</v>
      </c>
    </row>
    <row r="681" spans="1:14" ht="12.6" customHeight="1" x14ac:dyDescent="0.25">
      <c r="A681" s="194">
        <v>7030</v>
      </c>
      <c r="B681" s="196" t="s">
        <v>686</v>
      </c>
      <c r="C681" s="180">
        <f>Q72</f>
        <v>267688.90000000002</v>
      </c>
      <c r="D681" s="180">
        <f>(D614/D611)*Q77</f>
        <v>15013.119010380831</v>
      </c>
      <c r="E681" s="180">
        <f>(E622/E611)*SUM(C681:D681)</f>
        <v>42085.343510274535</v>
      </c>
      <c r="F681" s="180">
        <f>(F623/F611)*Q64</f>
        <v>0</v>
      </c>
      <c r="G681" s="180">
        <f>(G624/G611)*Q78</f>
        <v>0</v>
      </c>
      <c r="H681" s="180">
        <f>(H627/H611)*Q60</f>
        <v>492.90426427709917</v>
      </c>
      <c r="I681" s="180">
        <f>(I628/I611)*Q79</f>
        <v>12019.865733788645</v>
      </c>
      <c r="J681" s="180">
        <f>(J629/J611)*Q80</f>
        <v>0</v>
      </c>
      <c r="K681" s="180">
        <f>(K643/K611)*Q76</f>
        <v>19944.360021474138</v>
      </c>
      <c r="L681" s="180">
        <f>(L646/L611)*Q81</f>
        <v>4068.87341454139</v>
      </c>
      <c r="M681" s="180">
        <f t="shared" si="8"/>
        <v>93624</v>
      </c>
      <c r="N681" s="196" t="s">
        <v>687</v>
      </c>
    </row>
    <row r="682" spans="1:14" ht="12.6" customHeight="1" x14ac:dyDescent="0.25">
      <c r="A682" s="194">
        <v>7040</v>
      </c>
      <c r="B682" s="196" t="s">
        <v>107</v>
      </c>
      <c r="C682" s="180">
        <f>R72</f>
        <v>661868</v>
      </c>
      <c r="D682" s="180">
        <f>(D614/D611)*R77</f>
        <v>1880.5577048493733</v>
      </c>
      <c r="E682" s="180">
        <f>(E622/E611)*SUM(C682:D682)</f>
        <v>98811.059621162887</v>
      </c>
      <c r="F682" s="180">
        <f>(F623/F611)*R64</f>
        <v>0</v>
      </c>
      <c r="G682" s="180">
        <f>(G624/G611)*R78</f>
        <v>0</v>
      </c>
      <c r="H682" s="180">
        <f>(H627/H611)*R60</f>
        <v>250.69697171868305</v>
      </c>
      <c r="I682" s="180">
        <f>(I628/I611)*R79</f>
        <v>1505.6199249004567</v>
      </c>
      <c r="J682" s="180">
        <f>(J629/J611)*R80</f>
        <v>0</v>
      </c>
      <c r="K682" s="180">
        <f>(K643/K611)*R76</f>
        <v>42192.239131014896</v>
      </c>
      <c r="L682" s="180">
        <f>(L646/L611)*R81</f>
        <v>2069.4774163258885</v>
      </c>
      <c r="M682" s="180">
        <f t="shared" si="8"/>
        <v>146710</v>
      </c>
      <c r="N682" s="196" t="s">
        <v>688</v>
      </c>
    </row>
    <row r="683" spans="1:14" ht="12.6" customHeight="1" x14ac:dyDescent="0.25">
      <c r="A683" s="194">
        <v>7050</v>
      </c>
      <c r="B683" s="196" t="s">
        <v>689</v>
      </c>
      <c r="C683" s="180">
        <f>S72</f>
        <v>942384</v>
      </c>
      <c r="D683" s="180">
        <f>(D614/D611)*S77</f>
        <v>54974.970238430018</v>
      </c>
      <c r="E683" s="180">
        <f>(E622/E611)*SUM(C683:D683)</f>
        <v>148475.0445450363</v>
      </c>
      <c r="F683" s="180">
        <f>(F623/F611)*S64</f>
        <v>0</v>
      </c>
      <c r="G683" s="180">
        <f>(G624/G611)*S78</f>
        <v>0</v>
      </c>
      <c r="H683" s="180">
        <f>(H627/H611)*S60</f>
        <v>1109.5216207674355</v>
      </c>
      <c r="I683" s="180">
        <f>(I628/I611)*S79</f>
        <v>44014.289137923348</v>
      </c>
      <c r="J683" s="180">
        <f>(J629/J611)*S80</f>
        <v>0</v>
      </c>
      <c r="K683" s="180">
        <f>(K643/K611)*S76</f>
        <v>87236.720158512937</v>
      </c>
      <c r="L683" s="180">
        <f>(L646/L611)*S81</f>
        <v>9158.9855328610938</v>
      </c>
      <c r="M683" s="180">
        <f t="shared" si="8"/>
        <v>344970</v>
      </c>
      <c r="N683" s="196" t="s">
        <v>690</v>
      </c>
    </row>
    <row r="684" spans="1:14" ht="12.6" customHeight="1" x14ac:dyDescent="0.25">
      <c r="A684" s="194">
        <v>7060</v>
      </c>
      <c r="B684" s="196" t="s">
        <v>691</v>
      </c>
      <c r="C684" s="180">
        <f>T72</f>
        <v>0</v>
      </c>
      <c r="D684" s="180">
        <f>(D614/D611)*T77</f>
        <v>0</v>
      </c>
      <c r="E684" s="180">
        <f>(E622/E611)*SUM(C684:D684)</f>
        <v>0</v>
      </c>
      <c r="F684" s="180">
        <f>(F623/F611)*T64</f>
        <v>0</v>
      </c>
      <c r="G684" s="180">
        <f>(G624/G611)*T78</f>
        <v>0</v>
      </c>
      <c r="H684" s="180">
        <f>(H627/H611)*T60</f>
        <v>0</v>
      </c>
      <c r="I684" s="180">
        <f>(I628/I611)*T79</f>
        <v>0</v>
      </c>
      <c r="J684" s="180">
        <f>(J629/J611)*T80</f>
        <v>0</v>
      </c>
      <c r="K684" s="180">
        <f>(K643/K611)*T76</f>
        <v>0</v>
      </c>
      <c r="L684" s="180">
        <f>(L646/L611)*T81</f>
        <v>0</v>
      </c>
      <c r="M684" s="180">
        <f t="shared" si="8"/>
        <v>0</v>
      </c>
      <c r="N684" s="196" t="s">
        <v>692</v>
      </c>
    </row>
    <row r="685" spans="1:14" ht="12.6" customHeight="1" x14ac:dyDescent="0.25">
      <c r="A685" s="194">
        <v>7070</v>
      </c>
      <c r="B685" s="196" t="s">
        <v>109</v>
      </c>
      <c r="C685" s="180">
        <f>U72</f>
        <v>1346642</v>
      </c>
      <c r="D685" s="180">
        <f>(D614/D611)*U77</f>
        <v>22848.776113919888</v>
      </c>
      <c r="E685" s="180">
        <f>(E622/E611)*SUM(C685:D685)</f>
        <v>203873.64033926625</v>
      </c>
      <c r="F685" s="180">
        <f>(F623/F611)*U64</f>
        <v>0</v>
      </c>
      <c r="G685" s="180">
        <f>(G624/G611)*U78</f>
        <v>0</v>
      </c>
      <c r="H685" s="180">
        <f>(H627/H611)*U60</f>
        <v>1901.3733080583534</v>
      </c>
      <c r="I685" s="180">
        <f>(I628/I611)*U79</f>
        <v>18293.282087540549</v>
      </c>
      <c r="J685" s="180">
        <f>(J629/J611)*U80</f>
        <v>525.02221408384798</v>
      </c>
      <c r="K685" s="180">
        <f>(K643/K611)*U76</f>
        <v>93259.006257659668</v>
      </c>
      <c r="L685" s="180">
        <f>(L646/L611)*U81</f>
        <v>15695.638818673318</v>
      </c>
      <c r="M685" s="180">
        <f t="shared" si="8"/>
        <v>356397</v>
      </c>
      <c r="N685" s="196" t="s">
        <v>693</v>
      </c>
    </row>
    <row r="686" spans="1:14" ht="12.6" customHeight="1" x14ac:dyDescent="0.25">
      <c r="A686" s="194">
        <v>7110</v>
      </c>
      <c r="B686" s="196" t="s">
        <v>694</v>
      </c>
      <c r="C686" s="180">
        <f>V72</f>
        <v>0</v>
      </c>
      <c r="D686" s="180">
        <f>(D614/D611)*V77</f>
        <v>0</v>
      </c>
      <c r="E686" s="180">
        <f>(E622/E611)*SUM(C686:D686)</f>
        <v>0</v>
      </c>
      <c r="F686" s="180">
        <f>(F623/F611)*V64</f>
        <v>0</v>
      </c>
      <c r="G686" s="180">
        <f>(G624/G611)*V78</f>
        <v>0</v>
      </c>
      <c r="H686" s="180">
        <f>(H627/H611)*V60</f>
        <v>0</v>
      </c>
      <c r="I686" s="180">
        <f>(I628/I611)*V79</f>
        <v>0</v>
      </c>
      <c r="J686" s="180">
        <f>(J629/J611)*V80</f>
        <v>0</v>
      </c>
      <c r="K686" s="180">
        <f>(K643/K611)*V76</f>
        <v>0</v>
      </c>
      <c r="L686" s="180">
        <f>(L646/L611)*V81</f>
        <v>0</v>
      </c>
      <c r="M686" s="180">
        <f t="shared" si="8"/>
        <v>0</v>
      </c>
      <c r="N686" s="196" t="s">
        <v>695</v>
      </c>
    </row>
    <row r="687" spans="1:14" ht="12.6" customHeight="1" x14ac:dyDescent="0.25">
      <c r="A687" s="194">
        <v>7120</v>
      </c>
      <c r="B687" s="196" t="s">
        <v>696</v>
      </c>
      <c r="C687" s="180">
        <f>W72</f>
        <v>0</v>
      </c>
      <c r="D687" s="180">
        <f>(D614/D611)*W77</f>
        <v>0</v>
      </c>
      <c r="E687" s="180">
        <f>(E622/E611)*SUM(C687:D687)</f>
        <v>0</v>
      </c>
      <c r="F687" s="180">
        <f>(F623/F611)*W64</f>
        <v>0</v>
      </c>
      <c r="G687" s="180">
        <f>(G624/G611)*W78</f>
        <v>0</v>
      </c>
      <c r="H687" s="180">
        <f>(H627/H611)*W60</f>
        <v>0</v>
      </c>
      <c r="I687" s="180">
        <f>(I628/I611)*W79</f>
        <v>0</v>
      </c>
      <c r="J687" s="180">
        <f>(J629/J611)*W80</f>
        <v>0</v>
      </c>
      <c r="K687" s="180">
        <f>(K643/K611)*W76</f>
        <v>0</v>
      </c>
      <c r="L687" s="180">
        <f>(L646/L611)*W81</f>
        <v>0</v>
      </c>
      <c r="M687" s="180">
        <f t="shared" si="8"/>
        <v>0</v>
      </c>
      <c r="N687" s="196" t="s">
        <v>697</v>
      </c>
    </row>
    <row r="688" spans="1:14" ht="12.6" customHeight="1" x14ac:dyDescent="0.25">
      <c r="A688" s="194">
        <v>7130</v>
      </c>
      <c r="B688" s="196" t="s">
        <v>698</v>
      </c>
      <c r="C688" s="180">
        <f>X72</f>
        <v>0</v>
      </c>
      <c r="D688" s="180">
        <f>(D614/D611)*X77</f>
        <v>0</v>
      </c>
      <c r="E688" s="180">
        <f>(E622/E611)*SUM(C688:D688)</f>
        <v>0</v>
      </c>
      <c r="F688" s="180">
        <f>(F623/F611)*X64</f>
        <v>0</v>
      </c>
      <c r="G688" s="180">
        <f>(G624/G611)*X78</f>
        <v>0</v>
      </c>
      <c r="H688" s="180">
        <f>(H627/H611)*X60</f>
        <v>0</v>
      </c>
      <c r="I688" s="180">
        <f>(I628/I611)*X79</f>
        <v>0</v>
      </c>
      <c r="J688" s="180">
        <f>(J629/J611)*X80</f>
        <v>0</v>
      </c>
      <c r="K688" s="180">
        <f>(K643/K611)*X76</f>
        <v>0</v>
      </c>
      <c r="L688" s="180">
        <f>(L646/L611)*X81</f>
        <v>0</v>
      </c>
      <c r="M688" s="180">
        <f t="shared" si="8"/>
        <v>0</v>
      </c>
      <c r="N688" s="196" t="s">
        <v>699</v>
      </c>
    </row>
    <row r="689" spans="1:14" ht="12.6" customHeight="1" x14ac:dyDescent="0.25">
      <c r="A689" s="194">
        <v>7140</v>
      </c>
      <c r="B689" s="196" t="s">
        <v>1250</v>
      </c>
      <c r="C689" s="180">
        <f>Y72</f>
        <v>1505724</v>
      </c>
      <c r="D689" s="180">
        <f>(D614/D611)*Y77</f>
        <v>44130.420807131959</v>
      </c>
      <c r="E689" s="180">
        <f>(E622/E611)*SUM(C689:D689)</f>
        <v>230724.05325902754</v>
      </c>
      <c r="F689" s="180">
        <f>(F623/F611)*Y64</f>
        <v>0</v>
      </c>
      <c r="G689" s="180">
        <f>(G624/G611)*Y78</f>
        <v>0</v>
      </c>
      <c r="H689" s="180">
        <f>(H627/H611)*Y60</f>
        <v>1555.8192790422534</v>
      </c>
      <c r="I689" s="180">
        <f>(I628/I611)*Y79</f>
        <v>35331.880904330712</v>
      </c>
      <c r="J689" s="180">
        <f>(J629/J611)*Y80</f>
        <v>20044.757604061546</v>
      </c>
      <c r="K689" s="180">
        <f>(K643/K611)*Y76</f>
        <v>147074.12999644218</v>
      </c>
      <c r="L689" s="180">
        <f>(L646/L611)*Y81</f>
        <v>12843.126264306688</v>
      </c>
      <c r="M689" s="180">
        <f t="shared" si="8"/>
        <v>491704</v>
      </c>
      <c r="N689" s="196" t="s">
        <v>700</v>
      </c>
    </row>
    <row r="690" spans="1:14" ht="12.6" customHeight="1" x14ac:dyDescent="0.25">
      <c r="A690" s="194">
        <v>7150</v>
      </c>
      <c r="B690" s="196" t="s">
        <v>701</v>
      </c>
      <c r="C690" s="180">
        <f>Z72</f>
        <v>0</v>
      </c>
      <c r="D690" s="180">
        <f>(D614/D611)*Z77</f>
        <v>0</v>
      </c>
      <c r="E690" s="180">
        <f>(E622/E611)*SUM(C690:D690)</f>
        <v>0</v>
      </c>
      <c r="F690" s="180">
        <f>(F623/F611)*Z64</f>
        <v>0</v>
      </c>
      <c r="G690" s="180">
        <f>(G624/G611)*Z78</f>
        <v>0</v>
      </c>
      <c r="H690" s="180">
        <f>(H627/H611)*Z60</f>
        <v>0</v>
      </c>
      <c r="I690" s="180">
        <f>(I628/I611)*Z79</f>
        <v>0</v>
      </c>
      <c r="J690" s="180">
        <f>(J629/J611)*Z80</f>
        <v>0</v>
      </c>
      <c r="K690" s="180">
        <f>(K643/K611)*Z76</f>
        <v>0</v>
      </c>
      <c r="L690" s="180">
        <f>(L646/L611)*Z81</f>
        <v>0</v>
      </c>
      <c r="M690" s="180">
        <f t="shared" si="8"/>
        <v>0</v>
      </c>
      <c r="N690" s="196" t="s">
        <v>702</v>
      </c>
    </row>
    <row r="691" spans="1:14" ht="12.6" customHeight="1" x14ac:dyDescent="0.25">
      <c r="A691" s="194">
        <v>7160</v>
      </c>
      <c r="B691" s="196" t="s">
        <v>703</v>
      </c>
      <c r="C691" s="180">
        <f>AA72</f>
        <v>0</v>
      </c>
      <c r="D691" s="180">
        <f>(D614/D611)*AA77</f>
        <v>0</v>
      </c>
      <c r="E691" s="180">
        <f>(E622/E611)*SUM(C691:D691)</f>
        <v>0</v>
      </c>
      <c r="F691" s="180">
        <f>(F623/F611)*AA64</f>
        <v>0</v>
      </c>
      <c r="G691" s="180">
        <f>(G624/G611)*AA78</f>
        <v>0</v>
      </c>
      <c r="H691" s="180">
        <f>(H627/H611)*AA60</f>
        <v>0</v>
      </c>
      <c r="I691" s="180">
        <f>(I628/I611)*AA79</f>
        <v>0</v>
      </c>
      <c r="J691" s="180">
        <f>(J629/J611)*AA80</f>
        <v>0</v>
      </c>
      <c r="K691" s="180">
        <f>(K643/K611)*AA76</f>
        <v>0</v>
      </c>
      <c r="L691" s="180">
        <f>(L646/L611)*AA81</f>
        <v>0</v>
      </c>
      <c r="M691" s="180">
        <f t="shared" si="8"/>
        <v>0</v>
      </c>
      <c r="N691" s="196" t="s">
        <v>704</v>
      </c>
    </row>
    <row r="692" spans="1:14" ht="12.6" customHeight="1" x14ac:dyDescent="0.25">
      <c r="A692" s="194">
        <v>7170</v>
      </c>
      <c r="B692" s="196" t="s">
        <v>115</v>
      </c>
      <c r="C692" s="180">
        <f>AB72</f>
        <v>334871.34999999998</v>
      </c>
      <c r="D692" s="180">
        <f>(D614/D611)*AB77</f>
        <v>12725.107136147426</v>
      </c>
      <c r="E692" s="180">
        <f>(E622/E611)*SUM(C692:D692)</f>
        <v>51746.062347690604</v>
      </c>
      <c r="F692" s="180">
        <f>(F623/F611)*AB64</f>
        <v>0</v>
      </c>
      <c r="G692" s="180">
        <f>(G624/G611)*AB78</f>
        <v>0</v>
      </c>
      <c r="H692" s="180">
        <f>(H627/H611)*AB60</f>
        <v>440.01385891627257</v>
      </c>
      <c r="I692" s="180">
        <f>(I628/I611)*AB79</f>
        <v>10188.028158493089</v>
      </c>
      <c r="J692" s="180">
        <f>(J629/J611)*AB80</f>
        <v>0</v>
      </c>
      <c r="K692" s="180">
        <f>(K643/K611)*AB76</f>
        <v>94144.197951771232</v>
      </c>
      <c r="L692" s="180">
        <f>(L646/L611)*AB81</f>
        <v>3632.2686215749372</v>
      </c>
      <c r="M692" s="180">
        <f t="shared" si="8"/>
        <v>172876</v>
      </c>
      <c r="N692" s="196" t="s">
        <v>705</v>
      </c>
    </row>
    <row r="693" spans="1:14" ht="12.6" customHeight="1" x14ac:dyDescent="0.25">
      <c r="A693" s="194">
        <v>7180</v>
      </c>
      <c r="B693" s="196" t="s">
        <v>706</v>
      </c>
      <c r="C693" s="180">
        <f>AC72</f>
        <v>161635</v>
      </c>
      <c r="D693" s="180">
        <f>(D614/D611)*AC77</f>
        <v>4481.9958632243397</v>
      </c>
      <c r="E693" s="180">
        <f>(E622/E611)*SUM(C693:D693)</f>
        <v>24729.539811110924</v>
      </c>
      <c r="F693" s="180">
        <f>(F623/F611)*AC64</f>
        <v>0</v>
      </c>
      <c r="G693" s="180">
        <f>(G624/G611)*AC78</f>
        <v>0</v>
      </c>
      <c r="H693" s="180">
        <f>(H627/H611)*AC60</f>
        <v>243.96734799408125</v>
      </c>
      <c r="I693" s="180">
        <f>(I628/I611)*AC79</f>
        <v>3588.3941543460883</v>
      </c>
      <c r="J693" s="180">
        <f>(J629/J611)*AC80</f>
        <v>0</v>
      </c>
      <c r="K693" s="180">
        <f>(K643/K611)*AC76</f>
        <v>25439.827739859651</v>
      </c>
      <c r="L693" s="180">
        <f>(L646/L611)*AC81</f>
        <v>2013.9250727018014</v>
      </c>
      <c r="M693" s="180">
        <f t="shared" si="8"/>
        <v>60498</v>
      </c>
      <c r="N693" s="196" t="s">
        <v>707</v>
      </c>
    </row>
    <row r="694" spans="1:14" ht="12.6" customHeight="1" x14ac:dyDescent="0.25">
      <c r="A694" s="194">
        <v>7190</v>
      </c>
      <c r="B694" s="196" t="s">
        <v>117</v>
      </c>
      <c r="C694" s="180">
        <f>AD72</f>
        <v>0</v>
      </c>
      <c r="D694" s="180">
        <f>(D614/D611)*AD77</f>
        <v>0</v>
      </c>
      <c r="E694" s="180">
        <f>(E622/E611)*SUM(C694:D694)</f>
        <v>0</v>
      </c>
      <c r="F694" s="180">
        <f>(F623/F611)*AD64</f>
        <v>0</v>
      </c>
      <c r="G694" s="180">
        <f>(G624/G611)*AD78</f>
        <v>0</v>
      </c>
      <c r="H694" s="180">
        <f>(H627/H611)*AD60</f>
        <v>0</v>
      </c>
      <c r="I694" s="180">
        <f>(I628/I611)*AD79</f>
        <v>0</v>
      </c>
      <c r="J694" s="180">
        <f>(J629/J611)*AD80</f>
        <v>0</v>
      </c>
      <c r="K694" s="180">
        <f>(K643/K611)*AD76</f>
        <v>0</v>
      </c>
      <c r="L694" s="180">
        <f>(L646/L611)*AD81</f>
        <v>0</v>
      </c>
      <c r="M694" s="180">
        <f t="shared" si="8"/>
        <v>0</v>
      </c>
      <c r="N694" s="196" t="s">
        <v>708</v>
      </c>
    </row>
    <row r="695" spans="1:14" ht="12.6" customHeight="1" x14ac:dyDescent="0.25">
      <c r="A695" s="194">
        <v>7200</v>
      </c>
      <c r="B695" s="196" t="s">
        <v>709</v>
      </c>
      <c r="C695" s="180">
        <f>AE72</f>
        <v>539007</v>
      </c>
      <c r="D695" s="180">
        <f>(D614/D611)*AE77</f>
        <v>36169.39318993628</v>
      </c>
      <c r="E695" s="180">
        <f>(E622/E611)*SUM(C695:D695)</f>
        <v>85625.480041266826</v>
      </c>
      <c r="F695" s="180">
        <f>(F623/F611)*AE64</f>
        <v>0</v>
      </c>
      <c r="G695" s="180">
        <f>(G624/G611)*AE78</f>
        <v>0</v>
      </c>
      <c r="H695" s="180">
        <f>(H627/H611)*AE60</f>
        <v>1149.0277870439638</v>
      </c>
      <c r="I695" s="180">
        <f>(I628/I611)*AE79</f>
        <v>28958.089888918781</v>
      </c>
      <c r="J695" s="180">
        <f>(J629/J611)*AE80</f>
        <v>0</v>
      </c>
      <c r="K695" s="180">
        <f>(K643/K611)*AE76</f>
        <v>32006.751297928309</v>
      </c>
      <c r="L695" s="180">
        <f>(L646/L611)*AE81</f>
        <v>9485.1048248269872</v>
      </c>
      <c r="M695" s="180">
        <f t="shared" si="8"/>
        <v>193394</v>
      </c>
      <c r="N695" s="196" t="s">
        <v>710</v>
      </c>
    </row>
    <row r="696" spans="1:14" ht="12.6" customHeight="1" x14ac:dyDescent="0.25">
      <c r="A696" s="194">
        <v>7220</v>
      </c>
      <c r="B696" s="196" t="s">
        <v>711</v>
      </c>
      <c r="C696" s="180">
        <f>AF72</f>
        <v>0</v>
      </c>
      <c r="D696" s="180">
        <f>(D614/D611)*AF77</f>
        <v>0</v>
      </c>
      <c r="E696" s="180">
        <f>(E622/E611)*SUM(C696:D696)</f>
        <v>0</v>
      </c>
      <c r="F696" s="180">
        <f>(F623/F611)*AF64</f>
        <v>0</v>
      </c>
      <c r="G696" s="180">
        <f>(G624/G611)*AF78</f>
        <v>0</v>
      </c>
      <c r="H696" s="180">
        <f>(H627/H611)*AF60</f>
        <v>0</v>
      </c>
      <c r="I696" s="180">
        <f>(I628/I611)*AF79</f>
        <v>0</v>
      </c>
      <c r="J696" s="180">
        <f>(J629/J611)*AF80</f>
        <v>0</v>
      </c>
      <c r="K696" s="180">
        <f>(K643/K611)*AF76</f>
        <v>0</v>
      </c>
      <c r="L696" s="180">
        <f>(L646/L611)*AF81</f>
        <v>0</v>
      </c>
      <c r="M696" s="180">
        <f t="shared" si="8"/>
        <v>0</v>
      </c>
      <c r="N696" s="196" t="s">
        <v>712</v>
      </c>
    </row>
    <row r="697" spans="1:14" ht="12.6" customHeight="1" x14ac:dyDescent="0.25">
      <c r="A697" s="194">
        <v>7230</v>
      </c>
      <c r="B697" s="196" t="s">
        <v>713</v>
      </c>
      <c r="C697" s="180">
        <f>AG72</f>
        <v>2212083</v>
      </c>
      <c r="D697" s="180">
        <f>(D614/D611)*AG77</f>
        <v>44663.245490172616</v>
      </c>
      <c r="E697" s="180">
        <f>(E622/E611)*SUM(C697:D697)</f>
        <v>335957.77380524727</v>
      </c>
      <c r="F697" s="180">
        <f>(F623/F611)*AG64</f>
        <v>0</v>
      </c>
      <c r="G697" s="180">
        <f>(G624/G611)*AG78</f>
        <v>0</v>
      </c>
      <c r="H697" s="180">
        <f>(H627/H611)*AG60</f>
        <v>2561.0771596796412</v>
      </c>
      <c r="I697" s="180">
        <f>(I628/I611)*AG79</f>
        <v>35758.473216385843</v>
      </c>
      <c r="J697" s="180">
        <f>(J629/J611)*AG80</f>
        <v>18085.360308715539</v>
      </c>
      <c r="K697" s="180">
        <f>(K643/K611)*AG76</f>
        <v>225192.22872657611</v>
      </c>
      <c r="L697" s="180">
        <f>(L646/L611)*AG81</f>
        <v>21141.425471116225</v>
      </c>
      <c r="M697" s="180">
        <f t="shared" si="8"/>
        <v>683360</v>
      </c>
      <c r="N697" s="196" t="s">
        <v>714</v>
      </c>
    </row>
    <row r="698" spans="1:14" ht="12.6" customHeight="1" x14ac:dyDescent="0.25">
      <c r="A698" s="194">
        <v>7240</v>
      </c>
      <c r="B698" s="196" t="s">
        <v>119</v>
      </c>
      <c r="C698" s="180">
        <f>AH72</f>
        <v>1567507</v>
      </c>
      <c r="D698" s="180">
        <f>(D614/D611)*AH77</f>
        <v>39052.915004038652</v>
      </c>
      <c r="E698" s="180">
        <f>(E622/E611)*SUM(C698:D698)</f>
        <v>239165.69867263554</v>
      </c>
      <c r="F698" s="180">
        <f>(F623/F611)*AH64</f>
        <v>0</v>
      </c>
      <c r="G698" s="180">
        <f>(G624/G611)*AH78</f>
        <v>0</v>
      </c>
      <c r="H698" s="180">
        <f>(H627/H611)*AH60</f>
        <v>4837.2471945087227</v>
      </c>
      <c r="I698" s="180">
        <f>(I628/I611)*AH79</f>
        <v>31266.707107099483</v>
      </c>
      <c r="J698" s="180">
        <f>(J629/J611)*AH80</f>
        <v>8619.4542383943954</v>
      </c>
      <c r="K698" s="180">
        <f>(K643/K611)*AH76</f>
        <v>54908.441688906751</v>
      </c>
      <c r="L698" s="180">
        <f>(L646/L611)*AH81</f>
        <v>39930.972271395542</v>
      </c>
      <c r="M698" s="180">
        <f t="shared" si="8"/>
        <v>417781</v>
      </c>
      <c r="N698" s="196" t="s">
        <v>715</v>
      </c>
    </row>
    <row r="699" spans="1:14" ht="12.6" customHeight="1" x14ac:dyDescent="0.25">
      <c r="A699" s="194">
        <v>7250</v>
      </c>
      <c r="B699" s="196" t="s">
        <v>716</v>
      </c>
      <c r="C699" s="180">
        <f>AI72</f>
        <v>0</v>
      </c>
      <c r="D699" s="180">
        <f>(D614/D611)*AI77</f>
        <v>0</v>
      </c>
      <c r="E699" s="180">
        <f>(E622/E611)*SUM(C699:D699)</f>
        <v>0</v>
      </c>
      <c r="F699" s="180">
        <f>(F623/F611)*AI64</f>
        <v>0</v>
      </c>
      <c r="G699" s="180">
        <f>(G624/G611)*AI78</f>
        <v>0</v>
      </c>
      <c r="H699" s="180">
        <f>(H627/H611)*AI60</f>
        <v>0</v>
      </c>
      <c r="I699" s="180">
        <f>(I628/I611)*AI79</f>
        <v>0</v>
      </c>
      <c r="J699" s="180">
        <f>(J629/J611)*AI80</f>
        <v>0</v>
      </c>
      <c r="K699" s="180">
        <f>(K643/K611)*AI76</f>
        <v>0</v>
      </c>
      <c r="L699" s="180">
        <f>(L646/L611)*AI81</f>
        <v>0</v>
      </c>
      <c r="M699" s="180">
        <f t="shared" si="8"/>
        <v>0</v>
      </c>
      <c r="N699" s="196" t="s">
        <v>717</v>
      </c>
    </row>
    <row r="700" spans="1:14" ht="12.6" customHeight="1" x14ac:dyDescent="0.25">
      <c r="A700" s="194">
        <v>7260</v>
      </c>
      <c r="B700" s="196" t="s">
        <v>121</v>
      </c>
      <c r="C700" s="180">
        <f>AJ72</f>
        <v>5996879.6500000004</v>
      </c>
      <c r="D700" s="180">
        <f>(D614/D611)*AJ77</f>
        <v>19777.198529332578</v>
      </c>
      <c r="E700" s="180">
        <f>(E622/E611)*SUM(C700:D700)</f>
        <v>895688.9347313249</v>
      </c>
      <c r="F700" s="180">
        <f>(F623/F611)*AJ64</f>
        <v>0</v>
      </c>
      <c r="G700" s="180">
        <f>(G624/G611)*AJ78</f>
        <v>0</v>
      </c>
      <c r="H700" s="180">
        <f>(H627/H611)*AJ60</f>
        <v>8345.3377112488688</v>
      </c>
      <c r="I700" s="180">
        <f>(I628/I611)*AJ79</f>
        <v>15834.102876869802</v>
      </c>
      <c r="J700" s="180">
        <f>(J629/J611)*AJ80</f>
        <v>0</v>
      </c>
      <c r="K700" s="180">
        <f>(K643/K611)*AJ76</f>
        <v>5730.7245399876674</v>
      </c>
      <c r="L700" s="180">
        <f>(L646/L611)*AJ81</f>
        <v>68889.894467581398</v>
      </c>
      <c r="M700" s="180">
        <f t="shared" si="8"/>
        <v>1014266</v>
      </c>
      <c r="N700" s="196" t="s">
        <v>718</v>
      </c>
    </row>
    <row r="701" spans="1:14" ht="12.6" customHeight="1" x14ac:dyDescent="0.25">
      <c r="A701" s="194">
        <v>7310</v>
      </c>
      <c r="B701" s="196" t="s">
        <v>719</v>
      </c>
      <c r="C701" s="180">
        <f>AK72</f>
        <v>111605</v>
      </c>
      <c r="D701" s="180">
        <f>(D614/D611)*AK77</f>
        <v>0</v>
      </c>
      <c r="E701" s="180">
        <f>(E622/E611)*SUM(C701:D701)</f>
        <v>16614.436567896311</v>
      </c>
      <c r="F701" s="180">
        <f>(F623/F611)*AK64</f>
        <v>0</v>
      </c>
      <c r="G701" s="180">
        <f>(G624/G611)*AK78</f>
        <v>0</v>
      </c>
      <c r="H701" s="180">
        <f>(H627/H611)*AK60</f>
        <v>233.3182730892168</v>
      </c>
      <c r="I701" s="180">
        <f>(I628/I611)*AK79</f>
        <v>0</v>
      </c>
      <c r="J701" s="180">
        <f>(J629/J611)*AK80</f>
        <v>0</v>
      </c>
      <c r="K701" s="180">
        <f>(K643/K611)*AK76</f>
        <v>8850.3156229621582</v>
      </c>
      <c r="L701" s="180">
        <f>(L646/L611)*AK81</f>
        <v>1926.0180674065423</v>
      </c>
      <c r="M701" s="180">
        <f t="shared" si="8"/>
        <v>27624</v>
      </c>
      <c r="N701" s="196" t="s">
        <v>720</v>
      </c>
    </row>
    <row r="702" spans="1:14" ht="12.6" customHeight="1" x14ac:dyDescent="0.25">
      <c r="A702" s="194">
        <v>7320</v>
      </c>
      <c r="B702" s="196" t="s">
        <v>721</v>
      </c>
      <c r="C702" s="180">
        <f>AL72</f>
        <v>0</v>
      </c>
      <c r="D702" s="180">
        <f>(D614/D611)*AL77</f>
        <v>0</v>
      </c>
      <c r="E702" s="180">
        <f>(E622/E611)*SUM(C702:D702)</f>
        <v>0</v>
      </c>
      <c r="F702" s="180">
        <f>(F623/F611)*AL64</f>
        <v>0</v>
      </c>
      <c r="G702" s="180">
        <f>(G624/G611)*AL78</f>
        <v>0</v>
      </c>
      <c r="H702" s="180">
        <f>(H627/H611)*AL60</f>
        <v>0</v>
      </c>
      <c r="I702" s="180">
        <f>(I628/I611)*AL79</f>
        <v>0</v>
      </c>
      <c r="J702" s="180">
        <f>(J629/J611)*AL80</f>
        <v>0</v>
      </c>
      <c r="K702" s="180">
        <f>(K643/K611)*AL76</f>
        <v>0</v>
      </c>
      <c r="L702" s="180">
        <f>(L646/L611)*AL81</f>
        <v>0</v>
      </c>
      <c r="M702" s="180">
        <f t="shared" si="8"/>
        <v>0</v>
      </c>
      <c r="N702" s="196" t="s">
        <v>722</v>
      </c>
    </row>
    <row r="703" spans="1:14" ht="12.6" customHeight="1" x14ac:dyDescent="0.25">
      <c r="A703" s="194">
        <v>7330</v>
      </c>
      <c r="B703" s="196" t="s">
        <v>723</v>
      </c>
      <c r="C703" s="180">
        <f>AM72</f>
        <v>0</v>
      </c>
      <c r="D703" s="180">
        <f>(D614/D611)*AM77</f>
        <v>0</v>
      </c>
      <c r="E703" s="180">
        <f>(E622/E611)*SUM(C703:D703)</f>
        <v>0</v>
      </c>
      <c r="F703" s="180">
        <f>(F623/F611)*AM64</f>
        <v>0</v>
      </c>
      <c r="G703" s="180">
        <f>(G624/G611)*AM78</f>
        <v>0</v>
      </c>
      <c r="H703" s="180">
        <f>(H627/H611)*AM60</f>
        <v>0</v>
      </c>
      <c r="I703" s="180">
        <f>(I628/I611)*AM79</f>
        <v>0</v>
      </c>
      <c r="J703" s="180">
        <f>(J629/J611)*AM80</f>
        <v>0</v>
      </c>
      <c r="K703" s="180">
        <f>(K643/K611)*AM76</f>
        <v>0</v>
      </c>
      <c r="L703" s="180">
        <f>(L646/L611)*AM81</f>
        <v>0</v>
      </c>
      <c r="M703" s="180">
        <f t="shared" si="8"/>
        <v>0</v>
      </c>
      <c r="N703" s="196" t="s">
        <v>724</v>
      </c>
    </row>
    <row r="704" spans="1:14" ht="12.6" customHeight="1" x14ac:dyDescent="0.25">
      <c r="A704" s="194">
        <v>7340</v>
      </c>
      <c r="B704" s="196" t="s">
        <v>725</v>
      </c>
      <c r="C704" s="180">
        <f>AN72</f>
        <v>0</v>
      </c>
      <c r="D704" s="180">
        <f>(D614/D611)*AN77</f>
        <v>0</v>
      </c>
      <c r="E704" s="180">
        <f>(E622/E611)*SUM(C704:D704)</f>
        <v>0</v>
      </c>
      <c r="F704" s="180">
        <f>(F623/F611)*AN64</f>
        <v>0</v>
      </c>
      <c r="G704" s="180">
        <f>(G624/G611)*AN78</f>
        <v>0</v>
      </c>
      <c r="H704" s="180">
        <f>(H627/H611)*AN60</f>
        <v>0</v>
      </c>
      <c r="I704" s="180">
        <f>(I628/I611)*AN79</f>
        <v>0</v>
      </c>
      <c r="J704" s="180">
        <f>(J629/J611)*AN80</f>
        <v>0</v>
      </c>
      <c r="K704" s="180">
        <f>(K643/K611)*AN76</f>
        <v>0</v>
      </c>
      <c r="L704" s="180">
        <f>(L646/L611)*AN81</f>
        <v>0</v>
      </c>
      <c r="M704" s="180">
        <f t="shared" si="8"/>
        <v>0</v>
      </c>
      <c r="N704" s="196" t="s">
        <v>726</v>
      </c>
    </row>
    <row r="705" spans="1:82" ht="12.6" customHeight="1" x14ac:dyDescent="0.25">
      <c r="A705" s="194">
        <v>7350</v>
      </c>
      <c r="B705" s="196" t="s">
        <v>727</v>
      </c>
      <c r="C705" s="180">
        <f>AO72</f>
        <v>0</v>
      </c>
      <c r="D705" s="180">
        <f>(D614/D611)*AO77</f>
        <v>0</v>
      </c>
      <c r="E705" s="180">
        <f>(E622/E611)*SUM(C705:D705)</f>
        <v>0</v>
      </c>
      <c r="F705" s="180">
        <f>(F623/F611)*AO64</f>
        <v>0</v>
      </c>
      <c r="G705" s="180">
        <f>(G624/G611)*AO78</f>
        <v>0</v>
      </c>
      <c r="H705" s="180">
        <f>(H627/H611)*AO60</f>
        <v>0</v>
      </c>
      <c r="I705" s="180">
        <f>(I628/I611)*AO79</f>
        <v>0</v>
      </c>
      <c r="J705" s="180">
        <f>(J629/J611)*AO80</f>
        <v>0</v>
      </c>
      <c r="K705" s="180">
        <f>(K643/K611)*AO76</f>
        <v>6547.2715850093036</v>
      </c>
      <c r="L705" s="180">
        <f>(L646/L611)*AO81</f>
        <v>0</v>
      </c>
      <c r="M705" s="180">
        <f t="shared" si="8"/>
        <v>6547</v>
      </c>
      <c r="N705" s="196" t="s">
        <v>728</v>
      </c>
    </row>
    <row r="706" spans="1:82" ht="12.6" customHeight="1" x14ac:dyDescent="0.25">
      <c r="A706" s="194">
        <v>7380</v>
      </c>
      <c r="B706" s="196" t="s">
        <v>729</v>
      </c>
      <c r="C706" s="180">
        <f>AP72</f>
        <v>0</v>
      </c>
      <c r="D706" s="180">
        <f>(D614/D611)*AP77</f>
        <v>0</v>
      </c>
      <c r="E706" s="180">
        <f>(E622/E611)*SUM(C706:D706)</f>
        <v>0</v>
      </c>
      <c r="F706" s="180">
        <f>(F623/F611)*AP64</f>
        <v>0</v>
      </c>
      <c r="G706" s="180">
        <f>(G624/G611)*AP78</f>
        <v>0</v>
      </c>
      <c r="H706" s="180">
        <f>(H627/H611)*AP60</f>
        <v>0</v>
      </c>
      <c r="I706" s="180">
        <f>(I628/I611)*AP79</f>
        <v>0</v>
      </c>
      <c r="J706" s="180">
        <f>(J629/J611)*AP80</f>
        <v>0</v>
      </c>
      <c r="K706" s="180">
        <f>(K643/K611)*AP76</f>
        <v>0</v>
      </c>
      <c r="L706" s="180">
        <f>(L646/L611)*AP81</f>
        <v>0</v>
      </c>
      <c r="M706" s="180">
        <f t="shared" si="8"/>
        <v>0</v>
      </c>
      <c r="N706" s="196" t="s">
        <v>730</v>
      </c>
    </row>
    <row r="707" spans="1:82" ht="12.6" customHeight="1" x14ac:dyDescent="0.25">
      <c r="A707" s="194">
        <v>7390</v>
      </c>
      <c r="B707" s="196" t="s">
        <v>731</v>
      </c>
      <c r="C707" s="180">
        <f>AQ72</f>
        <v>0</v>
      </c>
      <c r="D707" s="180">
        <f>(D614/D611)*AQ77</f>
        <v>0</v>
      </c>
      <c r="E707" s="180">
        <f>(E622/E611)*SUM(C707:D707)</f>
        <v>0</v>
      </c>
      <c r="F707" s="180">
        <f>(F623/F611)*AQ64</f>
        <v>0</v>
      </c>
      <c r="G707" s="180">
        <f>(G624/G611)*AQ78</f>
        <v>0</v>
      </c>
      <c r="H707" s="180">
        <f>(H627/H611)*AQ60</f>
        <v>0</v>
      </c>
      <c r="I707" s="180">
        <f>(I628/I611)*AQ79</f>
        <v>0</v>
      </c>
      <c r="J707" s="180">
        <f>(J629/J611)*AQ80</f>
        <v>0</v>
      </c>
      <c r="K707" s="180">
        <f>(K643/K611)*AQ76</f>
        <v>0</v>
      </c>
      <c r="L707" s="180">
        <f>(L646/L611)*AQ81</f>
        <v>0</v>
      </c>
      <c r="M707" s="180">
        <f t="shared" si="8"/>
        <v>0</v>
      </c>
      <c r="N707" s="196" t="s">
        <v>732</v>
      </c>
    </row>
    <row r="708" spans="1:82" ht="12.6" customHeight="1" x14ac:dyDescent="0.25">
      <c r="A708" s="194">
        <v>7400</v>
      </c>
      <c r="B708" s="196" t="s">
        <v>733</v>
      </c>
      <c r="C708" s="180">
        <f>AR72</f>
        <v>1835</v>
      </c>
      <c r="D708" s="180">
        <f>(D614/D611)*AR77</f>
        <v>0</v>
      </c>
      <c r="E708" s="180">
        <f>(E622/E611)*SUM(C708:D708)</f>
        <v>273.17316519949577</v>
      </c>
      <c r="F708" s="180">
        <f>(F623/F611)*AR64</f>
        <v>0</v>
      </c>
      <c r="G708" s="180">
        <f>(G624/G611)*AR78</f>
        <v>0</v>
      </c>
      <c r="H708" s="180">
        <f>(H627/H611)*AR60</f>
        <v>0</v>
      </c>
      <c r="I708" s="180">
        <f>(I628/I611)*AR79</f>
        <v>0</v>
      </c>
      <c r="J708" s="180">
        <f>(J629/J611)*AR80</f>
        <v>0</v>
      </c>
      <c r="K708" s="180">
        <f>(K643/K611)*AR76</f>
        <v>0</v>
      </c>
      <c r="L708" s="180">
        <f>(L646/L611)*AR81</f>
        <v>0</v>
      </c>
      <c r="M708" s="180">
        <f t="shared" si="8"/>
        <v>273</v>
      </c>
      <c r="N708" s="196" t="s">
        <v>734</v>
      </c>
    </row>
    <row r="709" spans="1:82" ht="12.6" customHeight="1" x14ac:dyDescent="0.25">
      <c r="A709" s="194">
        <v>7410</v>
      </c>
      <c r="B709" s="196" t="s">
        <v>129</v>
      </c>
      <c r="C709" s="180">
        <f>AS72</f>
        <v>0</v>
      </c>
      <c r="D709" s="180">
        <f>(D614/D611)*AS77</f>
        <v>0</v>
      </c>
      <c r="E709" s="180">
        <f>(E622/E611)*SUM(C709:D709)</f>
        <v>0</v>
      </c>
      <c r="F709" s="180">
        <f>(F623/F611)*AS64</f>
        <v>0</v>
      </c>
      <c r="G709" s="180">
        <f>(G624/G611)*AS78</f>
        <v>0</v>
      </c>
      <c r="H709" s="180">
        <f>(H627/H611)*AS60</f>
        <v>0</v>
      </c>
      <c r="I709" s="180">
        <f>(I628/I611)*AS79</f>
        <v>0</v>
      </c>
      <c r="J709" s="180">
        <f>(J629/J611)*AS80</f>
        <v>0</v>
      </c>
      <c r="K709" s="180">
        <f>(K643/K611)*AS76</f>
        <v>0</v>
      </c>
      <c r="L709" s="180">
        <f>(L646/L611)*AS81</f>
        <v>0</v>
      </c>
      <c r="M709" s="180">
        <f t="shared" si="8"/>
        <v>0</v>
      </c>
      <c r="N709" s="196" t="s">
        <v>735</v>
      </c>
    </row>
    <row r="710" spans="1:82" ht="12.6" customHeight="1" x14ac:dyDescent="0.25">
      <c r="A710" s="194">
        <v>7420</v>
      </c>
      <c r="B710" s="196" t="s">
        <v>736</v>
      </c>
      <c r="C710" s="180">
        <f>AT72</f>
        <v>0</v>
      </c>
      <c r="D710" s="180">
        <f>(D614/D611)*AT77</f>
        <v>0</v>
      </c>
      <c r="E710" s="180">
        <f>(E622/E611)*SUM(C710:D710)</f>
        <v>0</v>
      </c>
      <c r="F710" s="180">
        <f>(F623/F611)*AT64</f>
        <v>0</v>
      </c>
      <c r="G710" s="180">
        <f>(G624/G611)*AT78</f>
        <v>0</v>
      </c>
      <c r="H710" s="180">
        <f>(H627/H611)*AT60</f>
        <v>0</v>
      </c>
      <c r="I710" s="180">
        <f>(I628/I611)*AT79</f>
        <v>0</v>
      </c>
      <c r="J710" s="180">
        <f>(J629/J611)*AT80</f>
        <v>0</v>
      </c>
      <c r="K710" s="180">
        <f>(K643/K611)*AT76</f>
        <v>0</v>
      </c>
      <c r="L710" s="180">
        <f>(L646/L611)*AT81</f>
        <v>0</v>
      </c>
      <c r="M710" s="180">
        <f t="shared" si="8"/>
        <v>0</v>
      </c>
      <c r="N710" s="196" t="s">
        <v>737</v>
      </c>
    </row>
    <row r="711" spans="1:82" ht="12.6" customHeight="1" x14ac:dyDescent="0.25">
      <c r="A711" s="194">
        <v>7430</v>
      </c>
      <c r="B711" s="196" t="s">
        <v>738</v>
      </c>
      <c r="C711" s="180">
        <f>AU72</f>
        <v>0</v>
      </c>
      <c r="D711" s="180">
        <f>(D614/D611)*AU77</f>
        <v>0</v>
      </c>
      <c r="E711" s="180">
        <f>(E622/E611)*SUM(C711:D711)</f>
        <v>0</v>
      </c>
      <c r="F711" s="180">
        <f>(F623/F611)*AU64</f>
        <v>0</v>
      </c>
      <c r="G711" s="180">
        <f>(G624/G611)*AU78</f>
        <v>0</v>
      </c>
      <c r="H711" s="180">
        <f>(H627/H611)*AU60</f>
        <v>0</v>
      </c>
      <c r="I711" s="180">
        <f>(I628/I611)*AU79</f>
        <v>0</v>
      </c>
      <c r="J711" s="180">
        <f>(J629/J611)*AU80</f>
        <v>0</v>
      </c>
      <c r="K711" s="180">
        <f>(K643/K611)*AU76</f>
        <v>0</v>
      </c>
      <c r="L711" s="180">
        <f>(L646/L611)*AU81</f>
        <v>0</v>
      </c>
      <c r="M711" s="180">
        <f t="shared" si="8"/>
        <v>0</v>
      </c>
      <c r="N711" s="196" t="s">
        <v>739</v>
      </c>
    </row>
    <row r="712" spans="1:82" ht="12.6" customHeight="1" x14ac:dyDescent="0.25">
      <c r="A712" s="194">
        <v>7490</v>
      </c>
      <c r="B712" s="196" t="s">
        <v>740</v>
      </c>
      <c r="C712" s="180">
        <f>AV72</f>
        <v>279</v>
      </c>
      <c r="D712" s="180">
        <f>(D614/D611)*AV77</f>
        <v>0</v>
      </c>
      <c r="E712" s="180">
        <f>(E622/E611)*SUM(C712:D712)</f>
        <v>41.534230567116801</v>
      </c>
      <c r="F712" s="180">
        <f>(F623/F611)*AV64</f>
        <v>0</v>
      </c>
      <c r="G712" s="180">
        <f>(G624/G611)*AV78</f>
        <v>0</v>
      </c>
      <c r="H712" s="180">
        <f>(H627/H611)*AV60</f>
        <v>0</v>
      </c>
      <c r="I712" s="180">
        <f>(I628/I611)*AV79</f>
        <v>0</v>
      </c>
      <c r="J712" s="180">
        <f>(J629/J611)*AV80</f>
        <v>0</v>
      </c>
      <c r="K712" s="180">
        <f>(K643/K611)*AV76</f>
        <v>0</v>
      </c>
      <c r="L712" s="180">
        <f>(L646/L611)*AV81</f>
        <v>0</v>
      </c>
      <c r="M712" s="180">
        <f t="shared" si="8"/>
        <v>42</v>
      </c>
      <c r="N712" s="197" t="s">
        <v>741</v>
      </c>
    </row>
    <row r="714" spans="1:82" ht="12.6" customHeight="1" x14ac:dyDescent="0.25">
      <c r="C714" s="180">
        <f>SUM(C613:C646)+SUM(C667:C712)</f>
        <v>28018369.16</v>
      </c>
      <c r="D714" s="180">
        <f>SUM(D615:D646)+SUM(D667:D712)</f>
        <v>1047690.0400000002</v>
      </c>
      <c r="E714" s="180">
        <f>SUM(E623:E646)+SUM(E667:E712)</f>
        <v>3630568.2633242579</v>
      </c>
      <c r="F714" s="180">
        <f>SUM(F624:F647)+SUM(F667:F712)</f>
        <v>0</v>
      </c>
      <c r="G714" s="180">
        <f>SUM(G625:G646)+SUM(G667:G712)</f>
        <v>685361.59975031368</v>
      </c>
      <c r="H714" s="180">
        <f>SUM(H628:H646)+SUM(H667:H712)</f>
        <v>39839.809822362055</v>
      </c>
      <c r="I714" s="180">
        <f>SUM(I629:I646)+SUM(I667:I712)</f>
        <v>302353.07271211833</v>
      </c>
      <c r="J714" s="180">
        <f>SUM(J630:J646)+SUM(J667:J712)</f>
        <v>151286.86166210152</v>
      </c>
      <c r="K714" s="180">
        <f>SUM(K667:K712)</f>
        <v>1300442.8464973501</v>
      </c>
      <c r="L714" s="180">
        <f>SUM(L667:L712)</f>
        <v>211932.92968659801</v>
      </c>
      <c r="M714" s="180">
        <f>SUM(M667:M712)</f>
        <v>6646867</v>
      </c>
      <c r="N714" s="196" t="s">
        <v>742</v>
      </c>
    </row>
    <row r="715" spans="1:82" ht="12.6" customHeight="1" x14ac:dyDescent="0.25">
      <c r="C715" s="180">
        <f>CE72</f>
        <v>28018369.16</v>
      </c>
      <c r="D715" s="180">
        <f>D614</f>
        <v>1047690.04</v>
      </c>
      <c r="E715" s="180">
        <f>E622</f>
        <v>3630568.2633242588</v>
      </c>
      <c r="F715" s="180">
        <f>F623</f>
        <v>0</v>
      </c>
      <c r="G715" s="180">
        <f>G624</f>
        <v>685361.59975031368</v>
      </c>
      <c r="H715" s="180">
        <f>H627</f>
        <v>39839.809822362062</v>
      </c>
      <c r="I715" s="180">
        <f>I628</f>
        <v>302353.07271211839</v>
      </c>
      <c r="J715" s="180">
        <f>J629</f>
        <v>151286.8616621015</v>
      </c>
      <c r="K715" s="180">
        <f>K643</f>
        <v>1300442.8464973501</v>
      </c>
      <c r="L715" s="180">
        <f>L646</f>
        <v>211932.92968659798</v>
      </c>
      <c r="M715" s="180">
        <f>C647</f>
        <v>6646865.2600000007</v>
      </c>
      <c r="N715" s="196" t="s">
        <v>743</v>
      </c>
    </row>
    <row r="716" spans="1:82" ht="12.6" customHeight="1" x14ac:dyDescent="0.25">
      <c r="O716" s="196"/>
    </row>
    <row r="717" spans="1:82" ht="12.6" customHeight="1" x14ac:dyDescent="0.25">
      <c r="O717" s="196"/>
    </row>
    <row r="718" spans="1:82" ht="12.6" customHeight="1" x14ac:dyDescent="0.25">
      <c r="O718" s="196"/>
    </row>
    <row r="719" spans="1:82" ht="12.6" customHeight="1" x14ac:dyDescent="0.25">
      <c r="A719" s="199" t="s">
        <v>744</v>
      </c>
      <c r="B719" s="199"/>
      <c r="C719" s="199"/>
      <c r="D719" s="199"/>
      <c r="E719" s="199"/>
      <c r="F719" s="199"/>
      <c r="G719" s="199"/>
      <c r="H719" s="199"/>
      <c r="I719" s="270"/>
      <c r="J719" s="270"/>
      <c r="K719" s="270"/>
      <c r="L719" s="270"/>
      <c r="M719" s="270"/>
      <c r="N719" s="270"/>
      <c r="O719" s="200"/>
      <c r="P719" s="270"/>
      <c r="Q719" s="270"/>
      <c r="R719" s="270"/>
      <c r="S719" s="270"/>
      <c r="T719" s="270"/>
      <c r="U719" s="270"/>
      <c r="V719" s="270"/>
      <c r="W719" s="270"/>
      <c r="X719" s="270"/>
      <c r="Y719" s="270"/>
      <c r="Z719" s="270"/>
      <c r="AA719" s="270"/>
      <c r="AB719" s="270"/>
      <c r="AC719" s="270"/>
      <c r="AD719" s="270"/>
      <c r="AE719" s="270"/>
      <c r="AF719" s="270"/>
      <c r="AG719" s="270"/>
      <c r="AH719" s="270"/>
      <c r="AI719" s="270"/>
      <c r="AJ719" s="270"/>
      <c r="AK719" s="270"/>
      <c r="AL719" s="270"/>
      <c r="AM719" s="270"/>
      <c r="AN719" s="270"/>
      <c r="AO719" s="270"/>
      <c r="AP719" s="270"/>
      <c r="AQ719" s="270"/>
      <c r="AR719" s="270"/>
      <c r="AS719" s="270"/>
      <c r="AT719" s="270"/>
      <c r="AU719" s="270"/>
      <c r="AV719" s="270"/>
      <c r="AW719" s="270"/>
      <c r="AX719" s="270"/>
      <c r="AY719" s="270"/>
      <c r="AZ719" s="270"/>
      <c r="BA719" s="270"/>
      <c r="BB719" s="270"/>
      <c r="BC719" s="270"/>
      <c r="BD719" s="270"/>
      <c r="BE719" s="270"/>
      <c r="BF719" s="270"/>
      <c r="BG719" s="270"/>
      <c r="BH719" s="270"/>
      <c r="BI719" s="270"/>
      <c r="BJ719" s="270"/>
      <c r="BK719" s="270"/>
      <c r="BL719" s="270"/>
      <c r="BM719" s="270"/>
      <c r="BN719" s="270"/>
      <c r="BO719" s="270"/>
      <c r="BP719" s="270"/>
      <c r="BQ719" s="270"/>
      <c r="BR719" s="270"/>
      <c r="BS719" s="270"/>
      <c r="BT719" s="270"/>
      <c r="BU719" s="270"/>
      <c r="BV719" s="270"/>
      <c r="BW719" s="270"/>
      <c r="BX719" s="270"/>
      <c r="BY719" s="270"/>
      <c r="BZ719" s="270"/>
      <c r="CA719" s="270"/>
      <c r="CB719" s="270"/>
      <c r="CC719" s="270"/>
      <c r="CD719" s="270"/>
    </row>
    <row r="720" spans="1:82" ht="12.6" customHeight="1" x14ac:dyDescent="0.25">
      <c r="A720" s="201" t="s">
        <v>745</v>
      </c>
      <c r="B720" s="201" t="s">
        <v>746</v>
      </c>
      <c r="C720" s="201" t="s">
        <v>747</v>
      </c>
      <c r="D720" s="201" t="s">
        <v>748</v>
      </c>
      <c r="E720" s="201" t="s">
        <v>749</v>
      </c>
      <c r="F720" s="201" t="s">
        <v>750</v>
      </c>
      <c r="G720" s="201" t="s">
        <v>751</v>
      </c>
      <c r="H720" s="201" t="s">
        <v>752</v>
      </c>
      <c r="I720" s="201" t="s">
        <v>753</v>
      </c>
      <c r="J720" s="201" t="s">
        <v>754</v>
      </c>
      <c r="K720" s="201" t="s">
        <v>755</v>
      </c>
      <c r="L720" s="201" t="s">
        <v>756</v>
      </c>
      <c r="M720" s="201" t="s">
        <v>757</v>
      </c>
      <c r="N720" s="201" t="s">
        <v>758</v>
      </c>
      <c r="O720" s="201" t="s">
        <v>759</v>
      </c>
      <c r="P720" s="201" t="s">
        <v>760</v>
      </c>
      <c r="Q720" s="201" t="s">
        <v>761</v>
      </c>
      <c r="R720" s="201" t="s">
        <v>762</v>
      </c>
      <c r="S720" s="201" t="s">
        <v>763</v>
      </c>
      <c r="T720" s="201" t="s">
        <v>764</v>
      </c>
      <c r="U720" s="201" t="s">
        <v>765</v>
      </c>
      <c r="V720" s="201" t="s">
        <v>766</v>
      </c>
      <c r="W720" s="201" t="s">
        <v>767</v>
      </c>
      <c r="X720" s="201" t="s">
        <v>768</v>
      </c>
      <c r="Y720" s="201" t="s">
        <v>769</v>
      </c>
      <c r="Z720" s="201" t="s">
        <v>770</v>
      </c>
      <c r="AA720" s="201" t="s">
        <v>771</v>
      </c>
      <c r="AB720" s="201" t="s">
        <v>772</v>
      </c>
      <c r="AC720" s="201" t="s">
        <v>773</v>
      </c>
      <c r="AD720" s="201" t="s">
        <v>774</v>
      </c>
      <c r="AE720" s="201" t="s">
        <v>775</v>
      </c>
      <c r="AF720" s="201" t="s">
        <v>776</v>
      </c>
      <c r="AG720" s="201" t="s">
        <v>777</v>
      </c>
      <c r="AH720" s="201" t="s">
        <v>778</v>
      </c>
      <c r="AI720" s="201" t="s">
        <v>779</v>
      </c>
      <c r="AJ720" s="201" t="s">
        <v>780</v>
      </c>
      <c r="AK720" s="201" t="s">
        <v>781</v>
      </c>
      <c r="AL720" s="201" t="s">
        <v>782</v>
      </c>
      <c r="AM720" s="201" t="s">
        <v>783</v>
      </c>
      <c r="AN720" s="201" t="s">
        <v>784</v>
      </c>
      <c r="AO720" s="201" t="s">
        <v>785</v>
      </c>
      <c r="AP720" s="201" t="s">
        <v>786</v>
      </c>
      <c r="AQ720" s="201" t="s">
        <v>787</v>
      </c>
      <c r="AR720" s="201" t="s">
        <v>788</v>
      </c>
      <c r="AS720" s="201" t="s">
        <v>789</v>
      </c>
      <c r="AT720" s="201" t="s">
        <v>790</v>
      </c>
      <c r="AU720" s="201" t="s">
        <v>791</v>
      </c>
      <c r="AV720" s="201" t="s">
        <v>792</v>
      </c>
      <c r="AW720" s="201" t="s">
        <v>793</v>
      </c>
      <c r="AX720" s="201" t="s">
        <v>794</v>
      </c>
      <c r="AY720" s="201" t="s">
        <v>795</v>
      </c>
      <c r="AZ720" s="201" t="s">
        <v>796</v>
      </c>
      <c r="BA720" s="201" t="s">
        <v>797</v>
      </c>
      <c r="BB720" s="201" t="s">
        <v>798</v>
      </c>
      <c r="BC720" s="201" t="s">
        <v>799</v>
      </c>
      <c r="BD720" s="201" t="s">
        <v>800</v>
      </c>
      <c r="BE720" s="201" t="s">
        <v>801</v>
      </c>
      <c r="BF720" s="201" t="s">
        <v>802</v>
      </c>
      <c r="BG720" s="201" t="s">
        <v>803</v>
      </c>
      <c r="BH720" s="201" t="s">
        <v>804</v>
      </c>
      <c r="BI720" s="201" t="s">
        <v>805</v>
      </c>
      <c r="BJ720" s="201" t="s">
        <v>806</v>
      </c>
      <c r="BK720" s="201" t="s">
        <v>807</v>
      </c>
      <c r="BL720" s="201" t="s">
        <v>808</v>
      </c>
      <c r="BM720" s="201" t="s">
        <v>809</v>
      </c>
      <c r="BN720" s="201" t="s">
        <v>810</v>
      </c>
      <c r="BO720" s="201" t="s">
        <v>811</v>
      </c>
      <c r="BP720" s="201" t="s">
        <v>812</v>
      </c>
      <c r="BQ720" s="201" t="s">
        <v>813</v>
      </c>
      <c r="BR720" s="201" t="s">
        <v>814</v>
      </c>
      <c r="BS720" s="201" t="s">
        <v>815</v>
      </c>
      <c r="BT720" s="201" t="s">
        <v>816</v>
      </c>
      <c r="BU720" s="201" t="s">
        <v>817</v>
      </c>
      <c r="BV720" s="201" t="s">
        <v>818</v>
      </c>
      <c r="BW720" s="201" t="s">
        <v>819</v>
      </c>
      <c r="BX720" s="201" t="s">
        <v>820</v>
      </c>
      <c r="BY720" s="201" t="s">
        <v>821</v>
      </c>
      <c r="BZ720" s="271" t="s">
        <v>822</v>
      </c>
      <c r="CA720" s="201" t="s">
        <v>823</v>
      </c>
      <c r="CB720" s="201" t="s">
        <v>824</v>
      </c>
      <c r="CC720" s="201" t="s">
        <v>825</v>
      </c>
    </row>
    <row r="721" spans="1:84" ht="12.6" customHeight="1" x14ac:dyDescent="0.25">
      <c r="A721" s="272" t="str">
        <f>RIGHT(C84,3)&amp;"*"&amp;RIGHT(C83,4)&amp;"*"&amp;"A"</f>
        <v>043*2018*A</v>
      </c>
      <c r="B721" s="270">
        <f>ROUND(C166,0)</f>
        <v>1170538</v>
      </c>
      <c r="C721" s="270">
        <f>ROUND(C167,0)</f>
        <v>7189</v>
      </c>
      <c r="D721" s="270">
        <f>ROUND(C168,0)</f>
        <v>39720</v>
      </c>
      <c r="E721" s="270">
        <f>ROUND(C169,0)</f>
        <v>1475571</v>
      </c>
      <c r="F721" s="270">
        <f>ROUND(C170,0)</f>
        <v>0</v>
      </c>
      <c r="G721" s="270">
        <f>ROUND(C171,0)</f>
        <v>636282</v>
      </c>
      <c r="H721" s="270">
        <f>ROUND(C172+C173,0)</f>
        <v>53328</v>
      </c>
      <c r="I721" s="270">
        <f>ROUND(C176,0)</f>
        <v>208506</v>
      </c>
      <c r="J721" s="270">
        <f>ROUND(C177,0)</f>
        <v>204028</v>
      </c>
      <c r="K721" s="270">
        <f>ROUND(C180,0)</f>
        <v>243851</v>
      </c>
      <c r="L721" s="270">
        <f>ROUND(C181,0)</f>
        <v>38164</v>
      </c>
      <c r="M721" s="270">
        <f>ROUND(C184,0)</f>
        <v>19175</v>
      </c>
      <c r="N721" s="270">
        <f>ROUND(C185,0)</f>
        <v>150815</v>
      </c>
      <c r="O721" s="270">
        <f>ROUND(C186,0)</f>
        <v>0</v>
      </c>
      <c r="P721" s="270">
        <f>ROUND(C189,0)</f>
        <v>301552</v>
      </c>
      <c r="Q721" s="270">
        <f>ROUND(C190,0)</f>
        <v>12066</v>
      </c>
      <c r="R721" s="270">
        <f>ROUND(B196,0)</f>
        <v>4168630</v>
      </c>
      <c r="S721" s="270">
        <f>ROUND(C196,0)</f>
        <v>0</v>
      </c>
      <c r="T721" s="270">
        <f>ROUND(D196,0)</f>
        <v>0</v>
      </c>
      <c r="U721" s="270">
        <f>ROUND(B197,0)</f>
        <v>619271</v>
      </c>
      <c r="V721" s="270">
        <f>ROUND(C197,0)</f>
        <v>0</v>
      </c>
      <c r="W721" s="270">
        <f>ROUND(D197,0)</f>
        <v>0</v>
      </c>
      <c r="X721" s="270">
        <f>ROUND(B198,0)</f>
        <v>5141340</v>
      </c>
      <c r="Y721" s="270">
        <f>ROUND(C198,0)</f>
        <v>0</v>
      </c>
      <c r="Z721" s="270">
        <f>ROUND(D198,0)</f>
        <v>0</v>
      </c>
      <c r="AA721" s="270">
        <f>ROUND(B199,0)</f>
        <v>948945</v>
      </c>
      <c r="AB721" s="270">
        <f>ROUND(C199,0)</f>
        <v>0</v>
      </c>
      <c r="AC721" s="270">
        <f>ROUND(D199,0)</f>
        <v>0</v>
      </c>
      <c r="AD721" s="270">
        <f>ROUND(B200,0)</f>
        <v>0</v>
      </c>
      <c r="AE721" s="270">
        <f>ROUND(C200,0)</f>
        <v>0</v>
      </c>
      <c r="AF721" s="270">
        <f>ROUND(D200,0)</f>
        <v>0</v>
      </c>
      <c r="AG721" s="270">
        <f>ROUND(B201,0)</f>
        <v>8040470</v>
      </c>
      <c r="AH721" s="270">
        <f>ROUND(C201,0)</f>
        <v>391621</v>
      </c>
      <c r="AI721" s="270">
        <f>ROUND(D201,0)</f>
        <v>272140</v>
      </c>
      <c r="AJ721" s="270">
        <f>ROUND(B202,0)</f>
        <v>0</v>
      </c>
      <c r="AK721" s="270">
        <f>ROUND(C202,0)</f>
        <v>0</v>
      </c>
      <c r="AL721" s="270">
        <f>ROUND(D202,0)</f>
        <v>0</v>
      </c>
      <c r="AM721" s="270">
        <f>ROUND(B203,0)</f>
        <v>0</v>
      </c>
      <c r="AN721" s="270">
        <f>ROUND(C203,0)</f>
        <v>0</v>
      </c>
      <c r="AO721" s="270">
        <f>ROUND(D203,0)</f>
        <v>0</v>
      </c>
      <c r="AP721" s="270">
        <f>ROUND(B204,0)</f>
        <v>954417</v>
      </c>
      <c r="AQ721" s="270">
        <f>ROUND(C204,0)</f>
        <v>266470</v>
      </c>
      <c r="AR721" s="270">
        <f>ROUND(D204,0)</f>
        <v>0</v>
      </c>
      <c r="AS721" s="270"/>
      <c r="AT721" s="270"/>
      <c r="AU721" s="270"/>
      <c r="AV721" s="270">
        <f>ROUND(B210,0)</f>
        <v>392232</v>
      </c>
      <c r="AW721" s="270">
        <f>ROUND(C210,0)</f>
        <v>43247</v>
      </c>
      <c r="AX721" s="270">
        <f>ROUND(D210,0)</f>
        <v>0</v>
      </c>
      <c r="AY721" s="270">
        <f>ROUND(B211,0)</f>
        <v>4042799</v>
      </c>
      <c r="AZ721" s="270">
        <f>ROUND(C211,0)</f>
        <v>140917</v>
      </c>
      <c r="BA721" s="270">
        <f>ROUND(D211,0)</f>
        <v>0</v>
      </c>
      <c r="BB721" s="270">
        <f>ROUND(B212,0)</f>
        <v>839169</v>
      </c>
      <c r="BC721" s="270">
        <f>ROUND(C212,0)</f>
        <v>15705</v>
      </c>
      <c r="BD721" s="270">
        <f>ROUND(D212,0)</f>
        <v>0</v>
      </c>
      <c r="BE721" s="270">
        <f>ROUND(B213,0)</f>
        <v>0</v>
      </c>
      <c r="BF721" s="270">
        <f>ROUND(C213,0)</f>
        <v>0</v>
      </c>
      <c r="BG721" s="270">
        <f>ROUND(D213,0)</f>
        <v>0</v>
      </c>
      <c r="BH721" s="270">
        <f>ROUND(B214,0)</f>
        <v>6292021</v>
      </c>
      <c r="BI721" s="270">
        <f>ROUND(C214,0)</f>
        <v>544020</v>
      </c>
      <c r="BJ721" s="270">
        <f>ROUND(D214,0)</f>
        <v>272140</v>
      </c>
      <c r="BK721" s="270">
        <f>ROUND(B215,0)</f>
        <v>0</v>
      </c>
      <c r="BL721" s="270">
        <f>ROUND(C215,0)</f>
        <v>0</v>
      </c>
      <c r="BM721" s="270">
        <f>ROUND(D215,0)</f>
        <v>0</v>
      </c>
      <c r="BN721" s="270">
        <f>ROUND(B216,0)</f>
        <v>0</v>
      </c>
      <c r="BO721" s="270">
        <f>ROUND(C216,0)</f>
        <v>0</v>
      </c>
      <c r="BP721" s="270">
        <f>ROUND(D216,0)</f>
        <v>0</v>
      </c>
      <c r="BQ721" s="270">
        <f>ROUND(B217,0)</f>
        <v>0</v>
      </c>
      <c r="BR721" s="270">
        <f>ROUND(C217,0)</f>
        <v>0</v>
      </c>
      <c r="BS721" s="270">
        <f>ROUND(D217,0)</f>
        <v>0</v>
      </c>
      <c r="BT721" s="270">
        <f>ROUND(C222,0)</f>
        <v>8854571</v>
      </c>
      <c r="BU721" s="270">
        <f>ROUND(C223,0)</f>
        <v>5878097</v>
      </c>
      <c r="BV721" s="270">
        <f>ROUND(C224,0)</f>
        <v>0</v>
      </c>
      <c r="BW721" s="270">
        <f>ROUND(C225,0)</f>
        <v>0</v>
      </c>
      <c r="BX721" s="270">
        <f>ROUND(C226,0)</f>
        <v>6309477</v>
      </c>
      <c r="BY721" s="270">
        <f>ROUND(C227,0)</f>
        <v>0</v>
      </c>
      <c r="BZ721" s="270">
        <f>ROUND(C230,0)</f>
        <v>169</v>
      </c>
      <c r="CA721" s="270">
        <f>ROUND(C232,0)</f>
        <v>0</v>
      </c>
      <c r="CB721" s="270">
        <f>ROUND(C233,0)</f>
        <v>0</v>
      </c>
      <c r="CC721" s="270">
        <f>ROUND(C237+C238,0)</f>
        <v>15785</v>
      </c>
    </row>
    <row r="723" spans="1:84" ht="12.6" customHeight="1" x14ac:dyDescent="0.25">
      <c r="A723" s="199" t="s">
        <v>148</v>
      </c>
      <c r="B723" s="199"/>
      <c r="C723" s="199"/>
      <c r="D723" s="199"/>
      <c r="E723" s="199"/>
      <c r="F723" s="199"/>
      <c r="G723" s="199"/>
      <c r="H723" s="270"/>
      <c r="I723" s="270"/>
      <c r="J723" s="270"/>
      <c r="K723" s="270"/>
      <c r="L723" s="270"/>
      <c r="M723" s="270"/>
      <c r="N723" s="270"/>
      <c r="O723" s="270"/>
      <c r="P723" s="270"/>
      <c r="Q723" s="270"/>
      <c r="R723" s="270"/>
      <c r="S723" s="270"/>
      <c r="T723" s="270"/>
      <c r="U723" s="270"/>
      <c r="V723" s="270"/>
      <c r="W723" s="270"/>
      <c r="X723" s="270"/>
      <c r="Y723" s="270"/>
      <c r="Z723" s="270"/>
      <c r="AA723" s="270"/>
      <c r="AB723" s="270"/>
      <c r="AC723" s="270"/>
      <c r="AD723" s="270"/>
      <c r="AE723" s="270"/>
      <c r="AF723" s="270"/>
      <c r="AG723" s="270"/>
      <c r="AH723" s="270"/>
      <c r="AI723" s="270"/>
      <c r="AJ723" s="270"/>
      <c r="AK723" s="270"/>
      <c r="AL723" s="270"/>
      <c r="AM723" s="270"/>
      <c r="AN723" s="270"/>
      <c r="AO723" s="270"/>
      <c r="AP723" s="270"/>
      <c r="AQ723" s="270"/>
      <c r="AR723" s="270"/>
      <c r="AS723" s="270"/>
      <c r="AT723" s="270"/>
      <c r="AU723" s="270"/>
      <c r="AV723" s="270"/>
      <c r="AW723" s="270"/>
      <c r="AX723" s="270"/>
      <c r="AY723" s="270"/>
      <c r="AZ723" s="270"/>
      <c r="BA723" s="270"/>
      <c r="BB723" s="270"/>
      <c r="BC723" s="270"/>
      <c r="BD723" s="270"/>
      <c r="BE723" s="270"/>
      <c r="BF723" s="270"/>
      <c r="BG723" s="270"/>
      <c r="BH723" s="270"/>
      <c r="BI723" s="270"/>
      <c r="BJ723" s="270"/>
      <c r="BK723" s="270"/>
      <c r="BL723" s="270"/>
      <c r="BM723" s="270"/>
      <c r="BN723" s="270"/>
      <c r="BO723" s="270"/>
      <c r="BP723" s="270"/>
      <c r="BQ723" s="270"/>
      <c r="BR723" s="270"/>
    </row>
    <row r="724" spans="1:84" ht="12.6" customHeight="1" x14ac:dyDescent="0.25">
      <c r="A724" s="201" t="s">
        <v>745</v>
      </c>
      <c r="B724" s="201" t="s">
        <v>826</v>
      </c>
      <c r="C724" s="201" t="s">
        <v>827</v>
      </c>
      <c r="D724" s="201" t="s">
        <v>828</v>
      </c>
      <c r="E724" s="201" t="s">
        <v>829</v>
      </c>
      <c r="F724" s="201" t="s">
        <v>830</v>
      </c>
      <c r="G724" s="201" t="s">
        <v>831</v>
      </c>
      <c r="H724" s="201" t="s">
        <v>832</v>
      </c>
      <c r="I724" s="201" t="s">
        <v>833</v>
      </c>
      <c r="J724" s="201" t="s">
        <v>834</v>
      </c>
      <c r="K724" s="201" t="s">
        <v>835</v>
      </c>
      <c r="L724" s="201" t="s">
        <v>836</v>
      </c>
      <c r="M724" s="201" t="s">
        <v>837</v>
      </c>
      <c r="N724" s="201" t="s">
        <v>838</v>
      </c>
      <c r="O724" s="201" t="s">
        <v>839</v>
      </c>
      <c r="P724" s="201" t="s">
        <v>840</v>
      </c>
      <c r="Q724" s="201" t="s">
        <v>841</v>
      </c>
      <c r="R724" s="201" t="s">
        <v>842</v>
      </c>
      <c r="S724" s="201" t="s">
        <v>843</v>
      </c>
      <c r="T724" s="201" t="s">
        <v>844</v>
      </c>
      <c r="U724" s="201" t="s">
        <v>845</v>
      </c>
      <c r="V724" s="201" t="s">
        <v>846</v>
      </c>
      <c r="W724" s="201" t="s">
        <v>847</v>
      </c>
      <c r="X724" s="201" t="s">
        <v>848</v>
      </c>
      <c r="Y724" s="201" t="s">
        <v>849</v>
      </c>
      <c r="Z724" s="201" t="s">
        <v>850</v>
      </c>
      <c r="AA724" s="201" t="s">
        <v>851</v>
      </c>
      <c r="AB724" s="201" t="s">
        <v>852</v>
      </c>
      <c r="AC724" s="201" t="s">
        <v>853</v>
      </c>
      <c r="AD724" s="201" t="s">
        <v>854</v>
      </c>
      <c r="AE724" s="201" t="s">
        <v>855</v>
      </c>
      <c r="AF724" s="201" t="s">
        <v>856</v>
      </c>
      <c r="AG724" s="201" t="s">
        <v>857</v>
      </c>
      <c r="AH724" s="201" t="s">
        <v>858</v>
      </c>
      <c r="AI724" s="201" t="s">
        <v>859</v>
      </c>
      <c r="AJ724" s="201" t="s">
        <v>860</v>
      </c>
      <c r="AK724" s="201" t="s">
        <v>861</v>
      </c>
      <c r="AL724" s="201" t="s">
        <v>862</v>
      </c>
      <c r="AM724" s="201" t="s">
        <v>863</v>
      </c>
      <c r="AN724" s="201" t="s">
        <v>864</v>
      </c>
      <c r="AO724" s="201" t="s">
        <v>865</v>
      </c>
      <c r="AP724" s="201" t="s">
        <v>866</v>
      </c>
      <c r="AQ724" s="201" t="s">
        <v>867</v>
      </c>
      <c r="AR724" s="201" t="s">
        <v>868</v>
      </c>
      <c r="AS724" s="201" t="s">
        <v>869</v>
      </c>
      <c r="AT724" s="201" t="s">
        <v>870</v>
      </c>
      <c r="AU724" s="201" t="s">
        <v>871</v>
      </c>
      <c r="AV724" s="201" t="s">
        <v>872</v>
      </c>
      <c r="AW724" s="201" t="s">
        <v>873</v>
      </c>
      <c r="AX724" s="201" t="s">
        <v>874</v>
      </c>
      <c r="AY724" s="201" t="s">
        <v>875</v>
      </c>
      <c r="AZ724" s="201" t="s">
        <v>876</v>
      </c>
      <c r="BA724" s="201" t="s">
        <v>877</v>
      </c>
      <c r="BB724" s="201" t="s">
        <v>878</v>
      </c>
      <c r="BC724" s="201" t="s">
        <v>879</v>
      </c>
      <c r="BD724" s="201" t="s">
        <v>880</v>
      </c>
      <c r="BE724" s="201" t="s">
        <v>881</v>
      </c>
      <c r="BF724" s="201" t="s">
        <v>882</v>
      </c>
      <c r="BG724" s="201" t="s">
        <v>883</v>
      </c>
      <c r="BH724" s="201" t="s">
        <v>884</v>
      </c>
      <c r="BI724" s="201" t="s">
        <v>885</v>
      </c>
      <c r="BJ724" s="201" t="s">
        <v>886</v>
      </c>
      <c r="BK724" s="201" t="s">
        <v>887</v>
      </c>
      <c r="BL724" s="201" t="s">
        <v>888</v>
      </c>
      <c r="BM724" s="201" t="s">
        <v>889</v>
      </c>
      <c r="BN724" s="201" t="s">
        <v>890</v>
      </c>
      <c r="BO724" s="201" t="s">
        <v>891</v>
      </c>
      <c r="BP724" s="201" t="s">
        <v>892</v>
      </c>
      <c r="BQ724" s="201" t="s">
        <v>893</v>
      </c>
      <c r="BR724" s="201" t="s">
        <v>894</v>
      </c>
    </row>
    <row r="725" spans="1:84" ht="12.6" customHeight="1" x14ac:dyDescent="0.25">
      <c r="A725" s="272" t="str">
        <f>RIGHT(C84,3)&amp;"*"&amp;RIGHT(C83,4)&amp;"*"&amp;"A"</f>
        <v>043*2018*A</v>
      </c>
      <c r="B725" s="270">
        <f>ROUND(C112,0)</f>
        <v>224</v>
      </c>
      <c r="C725" s="270">
        <f>ROUND(C113,0)</f>
        <v>333</v>
      </c>
      <c r="D725" s="270">
        <f>ROUND(C114,0)</f>
        <v>175</v>
      </c>
      <c r="E725" s="270">
        <f>ROUND(C115,0)</f>
        <v>106</v>
      </c>
      <c r="F725" s="270">
        <f>ROUND(D112,0)</f>
        <v>737</v>
      </c>
      <c r="G725" s="270">
        <f>ROUND(D113,0)</f>
        <v>4910</v>
      </c>
      <c r="H725" s="270">
        <f>ROUND(D114,0)</f>
        <v>510</v>
      </c>
      <c r="I725" s="270">
        <f>ROUND(D115,0)</f>
        <v>171</v>
      </c>
      <c r="J725" s="270">
        <f>ROUND(C117,0)</f>
        <v>0</v>
      </c>
      <c r="K725" s="270">
        <f>ROUND(C118,0)</f>
        <v>0</v>
      </c>
      <c r="L725" s="270">
        <f>ROUND(C119,0)</f>
        <v>0</v>
      </c>
      <c r="M725" s="270">
        <f>ROUND(C120,0)</f>
        <v>0</v>
      </c>
      <c r="N725" s="270">
        <f>ROUND(C121,0)</f>
        <v>0</v>
      </c>
      <c r="O725" s="270">
        <f>ROUND(C122,0)</f>
        <v>0</v>
      </c>
      <c r="P725" s="270">
        <f>ROUND(C123,0)</f>
        <v>0</v>
      </c>
      <c r="Q725" s="270">
        <f>ROUND(C124,0)</f>
        <v>0</v>
      </c>
      <c r="R725" s="270">
        <f>ROUND(C125,0)</f>
        <v>11</v>
      </c>
      <c r="S725" s="270">
        <f>ROUND(C126,0)</f>
        <v>14</v>
      </c>
      <c r="T725" s="270"/>
      <c r="U725" s="270">
        <f>ROUND(C127,0)</f>
        <v>0</v>
      </c>
      <c r="V725" s="270">
        <f>ROUND(C129,0)</f>
        <v>25</v>
      </c>
      <c r="W725" s="270">
        <f>ROUND(C130,0)</f>
        <v>5</v>
      </c>
      <c r="X725" s="270">
        <f>ROUND(B139,0)</f>
        <v>135</v>
      </c>
      <c r="Y725" s="270">
        <f>ROUND(B140,0)</f>
        <v>374</v>
      </c>
      <c r="Z725" s="270">
        <f>ROUND(B141,0)</f>
        <v>1724</v>
      </c>
      <c r="AA725" s="270">
        <f>ROUND(B142,0)</f>
        <v>4194035</v>
      </c>
      <c r="AB725" s="270">
        <f>ROUND(B143,0)</f>
        <v>10996040</v>
      </c>
      <c r="AC725" s="270">
        <f>ROUND(C139,0)</f>
        <v>34</v>
      </c>
      <c r="AD725" s="270">
        <f>ROUND(C140,0)</f>
        <v>224</v>
      </c>
      <c r="AE725" s="270">
        <f>ROUND(C141,0)</f>
        <v>1274</v>
      </c>
      <c r="AF725" s="270">
        <f>ROUND(C142,0)</f>
        <v>2312740</v>
      </c>
      <c r="AG725" s="270">
        <f>ROUND(C143,0)</f>
        <v>8122046</v>
      </c>
      <c r="AH725" s="270">
        <f>ROUND(D139,0)</f>
        <v>55</v>
      </c>
      <c r="AI725" s="270">
        <f>ROUND(D140,0)</f>
        <v>181</v>
      </c>
      <c r="AJ725" s="270">
        <f>ROUND(D141,0)</f>
        <v>2375</v>
      </c>
      <c r="AK725" s="270">
        <f>ROUND(D142,0)</f>
        <v>1338140</v>
      </c>
      <c r="AL725" s="270">
        <f>ROUND(D143,0)</f>
        <v>15144279</v>
      </c>
      <c r="AM725" s="270">
        <f>ROUND(B145,0)</f>
        <v>301</v>
      </c>
      <c r="AN725" s="270">
        <f>ROUND(B146,0)</f>
        <v>4529</v>
      </c>
      <c r="AO725" s="270">
        <f>ROUND(B147,0)</f>
        <v>0</v>
      </c>
      <c r="AP725" s="270">
        <f>ROUND(B148,0)</f>
        <v>4552471</v>
      </c>
      <c r="AQ725" s="270">
        <f>ROUND(B149,0)</f>
        <v>0</v>
      </c>
      <c r="AR725" s="270">
        <f>ROUND(C145,0)</f>
        <v>0</v>
      </c>
      <c r="AS725" s="270">
        <f>ROUND(C146,0)</f>
        <v>0</v>
      </c>
      <c r="AT725" s="270">
        <f>ROUND(C147,0)</f>
        <v>0</v>
      </c>
      <c r="AU725" s="270">
        <f>ROUND(C148,0)</f>
        <v>0</v>
      </c>
      <c r="AV725" s="270">
        <f>ROUND(C149,0)</f>
        <v>0</v>
      </c>
      <c r="AW725" s="270">
        <f>ROUND(D145,0)</f>
        <v>32</v>
      </c>
      <c r="AX725" s="270">
        <f>ROUND(D146,0)</f>
        <v>381</v>
      </c>
      <c r="AY725" s="270">
        <f>ROUND(D147,0)</f>
        <v>0</v>
      </c>
      <c r="AZ725" s="270">
        <f>ROUND(D148,0)</f>
        <v>298430</v>
      </c>
      <c r="BA725" s="270">
        <f>ROUND(D149,0)</f>
        <v>0</v>
      </c>
      <c r="BB725" s="270">
        <f>ROUND(B151,0)</f>
        <v>161</v>
      </c>
      <c r="BC725" s="270">
        <f>ROUND(B152,0)</f>
        <v>471</v>
      </c>
      <c r="BD725" s="270">
        <f>ROUND(B153,0)</f>
        <v>0</v>
      </c>
      <c r="BE725" s="270">
        <f>ROUND(B154,0)</f>
        <v>548367</v>
      </c>
      <c r="BF725" s="270">
        <f>ROUND(B155,0)</f>
        <v>271142</v>
      </c>
      <c r="BG725" s="270">
        <f>ROUND(C151,0)</f>
        <v>0</v>
      </c>
      <c r="BH725" s="270">
        <f>ROUND(C152,0)</f>
        <v>0</v>
      </c>
      <c r="BI725" s="270">
        <f>ROUND(C153,0)</f>
        <v>0</v>
      </c>
      <c r="BJ725" s="270">
        <f>ROUND(C154,0)</f>
        <v>0</v>
      </c>
      <c r="BK725" s="270">
        <f>ROUND(C155,0)</f>
        <v>11227</v>
      </c>
      <c r="BL725" s="270">
        <f>ROUND(D151,0)</f>
        <v>14</v>
      </c>
      <c r="BM725" s="270">
        <f>ROUND(D152,0)</f>
        <v>39</v>
      </c>
      <c r="BN725" s="270">
        <f>ROUND(D153,0)</f>
        <v>0</v>
      </c>
      <c r="BO725" s="270">
        <f>ROUND(D154,0)</f>
        <v>46320</v>
      </c>
      <c r="BP725" s="270">
        <f>ROUND(D155,0)</f>
        <v>43393</v>
      </c>
      <c r="BQ725" s="270">
        <f>ROUND(B158,0)</f>
        <v>5026362</v>
      </c>
      <c r="BR725" s="270">
        <f>ROUND(C158,0)</f>
        <v>2255945</v>
      </c>
    </row>
    <row r="727" spans="1:84" ht="12.6" customHeight="1" x14ac:dyDescent="0.25">
      <c r="A727" s="199" t="s">
        <v>895</v>
      </c>
      <c r="B727" s="199"/>
      <c r="C727" s="199"/>
      <c r="D727" s="199"/>
      <c r="E727" s="199"/>
      <c r="F727" s="199"/>
      <c r="G727" s="199"/>
      <c r="H727" s="270"/>
      <c r="I727" s="270"/>
      <c r="J727" s="270"/>
      <c r="K727" s="270"/>
      <c r="L727" s="270"/>
      <c r="M727" s="270"/>
      <c r="N727" s="270"/>
      <c r="O727" s="270"/>
      <c r="P727" s="270"/>
      <c r="Q727" s="270"/>
      <c r="R727" s="270"/>
      <c r="S727" s="270"/>
      <c r="T727" s="270"/>
      <c r="U727" s="270"/>
      <c r="V727" s="270"/>
      <c r="W727" s="270"/>
      <c r="X727" s="270"/>
      <c r="Y727" s="270"/>
      <c r="Z727" s="270"/>
      <c r="AA727" s="270"/>
      <c r="AB727" s="270"/>
      <c r="AC727" s="270"/>
      <c r="AD727" s="270"/>
      <c r="AE727" s="270"/>
      <c r="AF727" s="270"/>
      <c r="AG727" s="270"/>
      <c r="AH727" s="270"/>
      <c r="AI727" s="270"/>
      <c r="AJ727" s="270"/>
      <c r="AK727" s="270"/>
      <c r="AL727" s="270"/>
      <c r="AM727" s="270"/>
      <c r="AN727" s="270"/>
      <c r="AO727" s="270"/>
      <c r="AP727" s="270"/>
      <c r="AQ727" s="270"/>
      <c r="AR727" s="270"/>
      <c r="AS727" s="270"/>
      <c r="AT727" s="270"/>
      <c r="AU727" s="270"/>
      <c r="AV727" s="270"/>
      <c r="AW727" s="270"/>
      <c r="AX727" s="270"/>
      <c r="AY727" s="270"/>
      <c r="AZ727" s="270"/>
      <c r="BA727" s="270"/>
      <c r="BB727" s="270"/>
      <c r="BC727" s="270"/>
      <c r="BD727" s="270"/>
      <c r="BE727" s="270"/>
      <c r="BF727" s="270"/>
      <c r="BG727" s="270"/>
      <c r="BH727" s="270"/>
      <c r="BI727" s="270"/>
      <c r="BJ727" s="270"/>
      <c r="BK727" s="270"/>
      <c r="BL727" s="270"/>
      <c r="BM727" s="270"/>
      <c r="BN727" s="270"/>
      <c r="BO727" s="270"/>
      <c r="BP727" s="270"/>
      <c r="BQ727" s="270"/>
      <c r="BR727" s="270"/>
      <c r="BS727" s="270"/>
      <c r="BT727" s="270"/>
      <c r="BU727" s="270"/>
      <c r="BV727" s="270"/>
      <c r="BW727" s="270"/>
      <c r="BX727" s="270"/>
      <c r="BY727" s="270"/>
      <c r="BZ727" s="270"/>
      <c r="CA727" s="270"/>
      <c r="CB727" s="270"/>
      <c r="CC727" s="270"/>
      <c r="CD727" s="270"/>
      <c r="CE727" s="270"/>
      <c r="CF727" s="270"/>
    </row>
    <row r="728" spans="1:84" ht="12.6" customHeight="1" x14ac:dyDescent="0.25">
      <c r="A728" s="201" t="s">
        <v>745</v>
      </c>
      <c r="B728" s="201" t="s">
        <v>896</v>
      </c>
      <c r="C728" s="201" t="s">
        <v>897</v>
      </c>
      <c r="D728" s="201" t="s">
        <v>898</v>
      </c>
      <c r="E728" s="201" t="s">
        <v>899</v>
      </c>
      <c r="F728" s="201" t="s">
        <v>900</v>
      </c>
      <c r="G728" s="201" t="s">
        <v>901</v>
      </c>
      <c r="H728" s="201" t="s">
        <v>902</v>
      </c>
      <c r="I728" s="201" t="s">
        <v>903</v>
      </c>
      <c r="J728" s="201" t="s">
        <v>904</v>
      </c>
      <c r="K728" s="201" t="s">
        <v>905</v>
      </c>
      <c r="L728" s="201" t="s">
        <v>906</v>
      </c>
      <c r="M728" s="201" t="s">
        <v>907</v>
      </c>
      <c r="N728" s="201" t="s">
        <v>908</v>
      </c>
      <c r="O728" s="201" t="s">
        <v>909</v>
      </c>
      <c r="P728" s="201" t="s">
        <v>910</v>
      </c>
      <c r="Q728" s="201" t="s">
        <v>911</v>
      </c>
      <c r="R728" s="201" t="s">
        <v>912</v>
      </c>
      <c r="S728" s="201" t="s">
        <v>913</v>
      </c>
      <c r="T728" s="201" t="s">
        <v>914</v>
      </c>
      <c r="U728" s="201" t="s">
        <v>915</v>
      </c>
      <c r="V728" s="201" t="s">
        <v>916</v>
      </c>
      <c r="W728" s="201" t="s">
        <v>917</v>
      </c>
      <c r="X728" s="201" t="s">
        <v>918</v>
      </c>
      <c r="Y728" s="201" t="s">
        <v>919</v>
      </c>
      <c r="Z728" s="201" t="s">
        <v>920</v>
      </c>
      <c r="AA728" s="201" t="s">
        <v>921</v>
      </c>
      <c r="AB728" s="201" t="s">
        <v>922</v>
      </c>
      <c r="AC728" s="201" t="s">
        <v>923</v>
      </c>
      <c r="AD728" s="201" t="s">
        <v>924</v>
      </c>
      <c r="AE728" s="201" t="s">
        <v>925</v>
      </c>
      <c r="AF728" s="201" t="s">
        <v>926</v>
      </c>
      <c r="AG728" s="201" t="s">
        <v>927</v>
      </c>
      <c r="AH728" s="201" t="s">
        <v>928</v>
      </c>
      <c r="AI728" s="201" t="s">
        <v>929</v>
      </c>
      <c r="AJ728" s="201" t="s">
        <v>930</v>
      </c>
      <c r="AK728" s="201" t="s">
        <v>931</v>
      </c>
      <c r="AL728" s="201" t="s">
        <v>932</v>
      </c>
      <c r="AM728" s="201" t="s">
        <v>933</v>
      </c>
      <c r="AN728" s="201" t="s">
        <v>934</v>
      </c>
      <c r="AO728" s="201" t="s">
        <v>935</v>
      </c>
      <c r="AP728" s="201" t="s">
        <v>936</v>
      </c>
      <c r="AQ728" s="201" t="s">
        <v>937</v>
      </c>
      <c r="AR728" s="201" t="s">
        <v>938</v>
      </c>
      <c r="AS728" s="201" t="s">
        <v>939</v>
      </c>
      <c r="AT728" s="201" t="s">
        <v>940</v>
      </c>
      <c r="AU728" s="201" t="s">
        <v>941</v>
      </c>
      <c r="AV728" s="201" t="s">
        <v>942</v>
      </c>
      <c r="AW728" s="201" t="s">
        <v>943</v>
      </c>
      <c r="AX728" s="201" t="s">
        <v>944</v>
      </c>
      <c r="AY728" s="201" t="s">
        <v>945</v>
      </c>
      <c r="AZ728" s="201" t="s">
        <v>946</v>
      </c>
      <c r="BA728" s="201" t="s">
        <v>947</v>
      </c>
      <c r="BB728" s="201" t="s">
        <v>948</v>
      </c>
      <c r="BC728" s="201" t="s">
        <v>949</v>
      </c>
      <c r="BD728" s="201" t="s">
        <v>950</v>
      </c>
      <c r="BE728" s="201" t="s">
        <v>951</v>
      </c>
      <c r="BF728" s="201" t="s">
        <v>952</v>
      </c>
      <c r="BG728" s="201" t="s">
        <v>953</v>
      </c>
      <c r="BH728" s="201" t="s">
        <v>954</v>
      </c>
      <c r="BI728" s="201" t="s">
        <v>955</v>
      </c>
      <c r="BJ728" s="201" t="s">
        <v>956</v>
      </c>
      <c r="BK728" s="201" t="s">
        <v>957</v>
      </c>
      <c r="BL728" s="201" t="s">
        <v>958</v>
      </c>
      <c r="BM728" s="201" t="s">
        <v>959</v>
      </c>
      <c r="BN728" s="201" t="s">
        <v>960</v>
      </c>
      <c r="BO728" s="201" t="s">
        <v>961</v>
      </c>
      <c r="BP728" s="201" t="s">
        <v>962</v>
      </c>
      <c r="BQ728" s="201" t="s">
        <v>963</v>
      </c>
      <c r="BR728" s="201" t="s">
        <v>964</v>
      </c>
      <c r="BS728" s="201" t="s">
        <v>965</v>
      </c>
      <c r="BT728" s="201" t="s">
        <v>966</v>
      </c>
      <c r="BU728" s="201" t="s">
        <v>967</v>
      </c>
      <c r="BV728" s="201" t="s">
        <v>968</v>
      </c>
      <c r="BW728" s="201" t="s">
        <v>969</v>
      </c>
      <c r="BX728" s="201" t="s">
        <v>970</v>
      </c>
      <c r="BY728" s="201" t="s">
        <v>971</v>
      </c>
      <c r="BZ728" s="201" t="s">
        <v>972</v>
      </c>
      <c r="CA728" s="201" t="s">
        <v>973</v>
      </c>
      <c r="CB728" s="201" t="s">
        <v>974</v>
      </c>
      <c r="CC728" s="201" t="s">
        <v>975</v>
      </c>
      <c r="CD728" s="201" t="s">
        <v>976</v>
      </c>
      <c r="CE728" s="201" t="s">
        <v>977</v>
      </c>
      <c r="CF728" s="201" t="s">
        <v>978</v>
      </c>
    </row>
    <row r="729" spans="1:84" ht="12.6" customHeight="1" x14ac:dyDescent="0.25">
      <c r="A729" s="272" t="str">
        <f>RIGHT(C84,3)&amp;"*"&amp;RIGHT(C83,4)&amp;"*"&amp;"A"</f>
        <v>043*2018*A</v>
      </c>
      <c r="B729" s="270">
        <f>ROUND(C249,0)</f>
        <v>1073220</v>
      </c>
      <c r="C729" s="270">
        <f>ROUND(C250,0)</f>
        <v>0</v>
      </c>
      <c r="D729" s="270">
        <f>ROUND(C251,0)</f>
        <v>7194510</v>
      </c>
      <c r="E729" s="270">
        <f>ROUND(C252,0)</f>
        <v>3367650</v>
      </c>
      <c r="F729" s="270">
        <f>ROUND(C253,0)</f>
        <v>0</v>
      </c>
      <c r="G729" s="270">
        <f>ROUND(C254,0)</f>
        <v>339982</v>
      </c>
      <c r="H729" s="270">
        <f>ROUND(C255,0)</f>
        <v>0</v>
      </c>
      <c r="I729" s="270">
        <f>ROUND(C256,0)</f>
        <v>180147</v>
      </c>
      <c r="J729" s="270">
        <f>ROUND(C257,0)</f>
        <v>198615</v>
      </c>
      <c r="K729" s="270">
        <f>ROUND(C258,0)</f>
        <v>0</v>
      </c>
      <c r="L729" s="270">
        <f>ROUND(C261,0)</f>
        <v>22811241</v>
      </c>
      <c r="M729" s="270">
        <f>ROUND(C262,0)</f>
        <v>0</v>
      </c>
      <c r="N729" s="270">
        <f>ROUND(C263,0)</f>
        <v>490</v>
      </c>
      <c r="O729" s="270">
        <f>ROUND(C266,0)</f>
        <v>4168630</v>
      </c>
      <c r="P729" s="270">
        <f>ROUND(C267,0)</f>
        <v>619271</v>
      </c>
      <c r="Q729" s="270">
        <f>ROUND(C268,0)</f>
        <v>6090285</v>
      </c>
      <c r="R729" s="270">
        <f>ROUND(C269,0)</f>
        <v>0</v>
      </c>
      <c r="S729" s="270">
        <f>ROUND(C270,0)</f>
        <v>1912588</v>
      </c>
      <c r="T729" s="270">
        <f>ROUND(C271,0)</f>
        <v>6247363</v>
      </c>
      <c r="U729" s="270">
        <f>ROUND(C272,0)</f>
        <v>0</v>
      </c>
      <c r="V729" s="270">
        <f>ROUND(C273,0)</f>
        <v>1220887</v>
      </c>
      <c r="W729" s="270">
        <f>ROUND(C274,0)</f>
        <v>0</v>
      </c>
      <c r="X729" s="270">
        <f>ROUND(C275,0)</f>
        <v>12037970</v>
      </c>
      <c r="Y729" s="270">
        <f>ROUND(C278,0)</f>
        <v>0</v>
      </c>
      <c r="Z729" s="270">
        <f>ROUND(C279,0)</f>
        <v>0</v>
      </c>
      <c r="AA729" s="270">
        <f>ROUND(C280,0)</f>
        <v>0</v>
      </c>
      <c r="AB729" s="270">
        <f>ROUND(C281,0)</f>
        <v>383147</v>
      </c>
      <c r="AC729" s="270">
        <f>ROUND(C285,0)</f>
        <v>0</v>
      </c>
      <c r="AD729" s="270">
        <f>ROUND(C286,0)</f>
        <v>0</v>
      </c>
      <c r="AE729" s="270">
        <f>ROUND(C287,0)</f>
        <v>0</v>
      </c>
      <c r="AF729" s="270">
        <f>ROUND(C288,0)</f>
        <v>0</v>
      </c>
      <c r="AG729" s="270">
        <f>ROUND(C303,0)</f>
        <v>0</v>
      </c>
      <c r="AH729" s="270">
        <f>ROUND(C304,0)</f>
        <v>464463</v>
      </c>
      <c r="AI729" s="270">
        <f>ROUND(C305,0)</f>
        <v>1220697</v>
      </c>
      <c r="AJ729" s="270">
        <f>ROUND(C306,0)</f>
        <v>21522</v>
      </c>
      <c r="AK729" s="270">
        <f>ROUND(C307,0)</f>
        <v>0</v>
      </c>
      <c r="AL729" s="270">
        <f>ROUND(C308,0)</f>
        <v>341872</v>
      </c>
      <c r="AM729" s="270">
        <f>ROUND(C309,0)</f>
        <v>0</v>
      </c>
      <c r="AN729" s="270">
        <f>ROUND(C310,0)</f>
        <v>0</v>
      </c>
      <c r="AO729" s="270">
        <f>ROUND(C311,0)</f>
        <v>0</v>
      </c>
      <c r="AP729" s="270">
        <f>ROUND(C312,0)</f>
        <v>688215</v>
      </c>
      <c r="AQ729" s="270">
        <f>ROUND(C315,0)</f>
        <v>0</v>
      </c>
      <c r="AR729" s="270">
        <f>ROUND(C316,0)</f>
        <v>0</v>
      </c>
      <c r="AS729" s="270">
        <f>ROUND(C317,0)</f>
        <v>0</v>
      </c>
      <c r="AT729" s="270">
        <f>ROUND(C320,0)</f>
        <v>0</v>
      </c>
      <c r="AU729" s="270">
        <f>ROUND(C321,0)</f>
        <v>0</v>
      </c>
      <c r="AV729" s="270">
        <f>ROUND(C322,0)</f>
        <v>0</v>
      </c>
      <c r="AW729" s="270">
        <f>ROUND(C323,0)</f>
        <v>312552</v>
      </c>
      <c r="AX729" s="270">
        <f>ROUND(C324,0)</f>
        <v>26253998</v>
      </c>
      <c r="AY729" s="270">
        <f>ROUND(C325,0)</f>
        <v>0</v>
      </c>
      <c r="AZ729" s="270">
        <f>ROUND(C326,0)</f>
        <v>548344</v>
      </c>
      <c r="BA729" s="270">
        <f>ROUND(C327,0)</f>
        <v>0</v>
      </c>
      <c r="BB729" s="270">
        <f>ROUND(C331,0)</f>
        <v>7183091</v>
      </c>
      <c r="BC729" s="270"/>
      <c r="BD729" s="270"/>
      <c r="BE729" s="270">
        <f>ROUND(C336,0)</f>
        <v>0</v>
      </c>
      <c r="BF729" s="270">
        <f>ROUND(C335,0)</f>
        <v>0</v>
      </c>
      <c r="BG729" s="270"/>
      <c r="BH729" s="270"/>
      <c r="BI729" s="273">
        <f>ROUND(CE60,2)</f>
        <v>218.14</v>
      </c>
      <c r="BJ729" s="270">
        <f>ROUND(C358,0)</f>
        <v>13290714</v>
      </c>
      <c r="BK729" s="270">
        <f>ROUND(C359,0)</f>
        <v>34587909</v>
      </c>
      <c r="BL729" s="270">
        <f>ROUND(C362,0)</f>
        <v>607795</v>
      </c>
      <c r="BM729" s="270">
        <f>ROUND(C363,0)</f>
        <v>20466272</v>
      </c>
      <c r="BN729" s="270">
        <f>ROUND(C364,0)</f>
        <v>575873</v>
      </c>
      <c r="BO729" s="270">
        <f>ROUND(C368,0)</f>
        <v>0</v>
      </c>
      <c r="BP729" s="270">
        <f>ROUND(C369,0)</f>
        <v>639543</v>
      </c>
      <c r="BQ729" s="270">
        <f>ROUND(C376,0)</f>
        <v>0</v>
      </c>
      <c r="BR729" s="270">
        <f>ROUND(C377,0)</f>
        <v>17307571</v>
      </c>
      <c r="BS729" s="270">
        <f>ROUND(C378,0)</f>
        <v>3382628</v>
      </c>
      <c r="BT729" s="270">
        <f>ROUND(C379,0)</f>
        <v>459903</v>
      </c>
      <c r="BU729" s="270">
        <f>ROUND(C380,0)</f>
        <v>2248888</v>
      </c>
      <c r="BV729" s="270">
        <f>ROUND(C381,0)</f>
        <v>200270</v>
      </c>
      <c r="BW729" s="270">
        <f>ROUND(C382,0)</f>
        <v>2123626</v>
      </c>
      <c r="BX729" s="270">
        <f>ROUND(C383,0)</f>
        <v>816817</v>
      </c>
      <c r="BY729" s="270">
        <f>ROUND(C384,0)</f>
        <v>412534</v>
      </c>
      <c r="BZ729" s="270">
        <f>ROUND(C385,0)</f>
        <v>282015</v>
      </c>
      <c r="CA729" s="270">
        <f>ROUND(C386,0)</f>
        <v>169990</v>
      </c>
      <c r="CB729" s="270">
        <f>ROUND(C387,0)</f>
        <v>313618</v>
      </c>
      <c r="CC729" s="270">
        <f>ROUND(C388,0)</f>
        <v>1217952</v>
      </c>
      <c r="CD729" s="270">
        <f>ROUND(C391,0)</f>
        <v>223024</v>
      </c>
      <c r="CE729" s="270">
        <f>ROUND(C393,0)</f>
        <v>-183037</v>
      </c>
      <c r="CF729" s="270">
        <f>ROUND(C394,0)</f>
        <v>0</v>
      </c>
    </row>
    <row r="731" spans="1:84" ht="12.6" customHeight="1" x14ac:dyDescent="0.25">
      <c r="A731" s="199" t="s">
        <v>979</v>
      </c>
      <c r="B731" s="199"/>
      <c r="C731" s="199"/>
      <c r="D731" s="199"/>
      <c r="E731" s="199"/>
      <c r="F731" s="199"/>
      <c r="G731" s="199"/>
      <c r="H731" s="270"/>
      <c r="I731" s="270"/>
      <c r="J731" s="270"/>
      <c r="K731" s="270"/>
      <c r="L731" s="270"/>
      <c r="M731" s="270"/>
      <c r="N731" s="270"/>
      <c r="O731" s="270"/>
      <c r="P731" s="270"/>
      <c r="Q731" s="270"/>
      <c r="R731" s="270"/>
      <c r="S731" s="270"/>
      <c r="T731" s="270"/>
      <c r="U731" s="270"/>
      <c r="V731" s="270"/>
      <c r="W731" s="270"/>
      <c r="X731" s="270"/>
      <c r="BL731" s="195"/>
    </row>
    <row r="732" spans="1:84" ht="12.6" customHeight="1" x14ac:dyDescent="0.25">
      <c r="A732" s="201" t="s">
        <v>745</v>
      </c>
      <c r="B732" s="201" t="s">
        <v>980</v>
      </c>
      <c r="C732" s="201" t="s">
        <v>981</v>
      </c>
      <c r="D732" s="201" t="s">
        <v>982</v>
      </c>
      <c r="E732" s="201" t="s">
        <v>983</v>
      </c>
      <c r="F732" s="201" t="s">
        <v>984</v>
      </c>
      <c r="G732" s="201" t="s">
        <v>985</v>
      </c>
      <c r="H732" s="201" t="s">
        <v>986</v>
      </c>
      <c r="I732" s="201" t="s">
        <v>987</v>
      </c>
      <c r="J732" s="201" t="s">
        <v>988</v>
      </c>
      <c r="K732" s="201" t="s">
        <v>989</v>
      </c>
      <c r="L732" s="201" t="s">
        <v>990</v>
      </c>
      <c r="M732" s="201" t="s">
        <v>991</v>
      </c>
      <c r="N732" s="201" t="s">
        <v>992</v>
      </c>
      <c r="O732" s="201" t="s">
        <v>993</v>
      </c>
      <c r="P732" s="201" t="s">
        <v>994</v>
      </c>
      <c r="Q732" s="201" t="s">
        <v>995</v>
      </c>
      <c r="R732" s="201" t="s">
        <v>996</v>
      </c>
      <c r="S732" s="201" t="s">
        <v>997</v>
      </c>
      <c r="T732" s="201" t="s">
        <v>998</v>
      </c>
      <c r="U732" s="201" t="s">
        <v>999</v>
      </c>
      <c r="V732" s="201" t="s">
        <v>1263</v>
      </c>
      <c r="W732" s="201" t="s">
        <v>1000</v>
      </c>
      <c r="X732" s="201" t="s">
        <v>1001</v>
      </c>
      <c r="Y732" s="201" t="s">
        <v>1002</v>
      </c>
      <c r="Z732" s="201" t="s">
        <v>1003</v>
      </c>
    </row>
    <row r="733" spans="1:84" ht="12.6" customHeight="1" x14ac:dyDescent="0.25">
      <c r="A733" s="207" t="str">
        <f>RIGHT($C$84,3)&amp;"*"&amp;RIGHT($C$83,4)&amp;"*"&amp;C$55&amp;"*"&amp;"A"</f>
        <v>043*2018*6010*A</v>
      </c>
      <c r="B733" s="270">
        <f>ROUND(C59,0)</f>
        <v>0</v>
      </c>
      <c r="C733" s="273">
        <f>ROUND(C60,2)</f>
        <v>0</v>
      </c>
      <c r="D733" s="270">
        <f>ROUND(C61,0)</f>
        <v>0</v>
      </c>
      <c r="E733" s="270">
        <f>ROUND(C62,0)</f>
        <v>0</v>
      </c>
      <c r="F733" s="270">
        <f>ROUND(C63,0)</f>
        <v>0</v>
      </c>
      <c r="G733" s="270">
        <f>ROUND(C64,0)</f>
        <v>0</v>
      </c>
      <c r="H733" s="270">
        <f>ROUND(C65,0)</f>
        <v>0</v>
      </c>
      <c r="I733" s="270">
        <f>ROUND(C66,0)</f>
        <v>0</v>
      </c>
      <c r="J733" s="270">
        <f>ROUND(C67,0)</f>
        <v>0</v>
      </c>
      <c r="K733" s="270">
        <f>ROUND(C68,0)</f>
        <v>0</v>
      </c>
      <c r="L733" s="270">
        <f>ROUND(C70,0)</f>
        <v>0</v>
      </c>
      <c r="M733" s="270">
        <f>ROUND(C71,0)</f>
        <v>0</v>
      </c>
      <c r="N733" s="270">
        <f>ROUND(C76,0)</f>
        <v>0</v>
      </c>
      <c r="O733" s="270">
        <f>ROUND(C74,0)</f>
        <v>0</v>
      </c>
      <c r="P733" s="270">
        <f>IF(C77&gt;0,ROUND(C77,0),0)</f>
        <v>0</v>
      </c>
      <c r="Q733" s="270">
        <f>IF(C78&gt;0,ROUND(C78,0),0)</f>
        <v>0</v>
      </c>
      <c r="R733" s="270">
        <f>IF(C79&gt;0,ROUND(C79,0),0)</f>
        <v>0</v>
      </c>
      <c r="S733" s="270">
        <f>IF(C80&gt;0,ROUND(C80,0),0)</f>
        <v>0</v>
      </c>
      <c r="T733" s="273">
        <f>IF(C81&gt;0,ROUND(C81,2),0)</f>
        <v>0</v>
      </c>
      <c r="U733" s="270"/>
      <c r="X733" s="270"/>
      <c r="Y733" s="270"/>
      <c r="Z733" s="270">
        <f>IF(M667&lt;&gt;0,ROUND(M667,0),0)</f>
        <v>0</v>
      </c>
    </row>
    <row r="734" spans="1:84" ht="12.6" customHeight="1" x14ac:dyDescent="0.25">
      <c r="A734" s="207" t="str">
        <f>RIGHT($C$84,3)&amp;"*"&amp;RIGHT($C$83,4)&amp;"*"&amp;D$55&amp;"*"&amp;"A"</f>
        <v>043*2018*6030*A</v>
      </c>
      <c r="B734" s="270">
        <f>ROUND(D59,0)</f>
        <v>0</v>
      </c>
      <c r="C734" s="273">
        <f>ROUND(D60,2)</f>
        <v>0</v>
      </c>
      <c r="D734" s="270">
        <f>ROUND(D61,0)</f>
        <v>0</v>
      </c>
      <c r="E734" s="270">
        <f>ROUND(D62,0)</f>
        <v>0</v>
      </c>
      <c r="F734" s="270">
        <f>ROUND(D63,0)</f>
        <v>0</v>
      </c>
      <c r="G734" s="270">
        <f>ROUND(D64,0)</f>
        <v>0</v>
      </c>
      <c r="H734" s="270">
        <f>ROUND(D65,0)</f>
        <v>0</v>
      </c>
      <c r="I734" s="270">
        <f>ROUND(D66,0)</f>
        <v>0</v>
      </c>
      <c r="J734" s="270">
        <f>ROUND(D67,0)</f>
        <v>0</v>
      </c>
      <c r="K734" s="270">
        <f>ROUND(D68,0)</f>
        <v>0</v>
      </c>
      <c r="L734" s="270">
        <f>ROUND(D70,0)</f>
        <v>0</v>
      </c>
      <c r="M734" s="270">
        <f>ROUND(D71,0)</f>
        <v>0</v>
      </c>
      <c r="N734" s="270">
        <f>ROUND(D76,0)</f>
        <v>0</v>
      </c>
      <c r="O734" s="270">
        <f>ROUND(D74,0)</f>
        <v>0</v>
      </c>
      <c r="P734" s="270">
        <f>IF(D77&gt;0,ROUND(D77,0),0)</f>
        <v>0</v>
      </c>
      <c r="Q734" s="270">
        <f>IF(D78&gt;0,ROUND(D78,0),0)</f>
        <v>0</v>
      </c>
      <c r="R734" s="270">
        <f>IF(D79&gt;0,ROUND(D79,0),0)</f>
        <v>0</v>
      </c>
      <c r="S734" s="270">
        <f>IF(D80&gt;0,ROUND(D80,0),0)</f>
        <v>0</v>
      </c>
      <c r="T734" s="273">
        <f>IF(D81&gt;0,ROUND(D81,2),0)</f>
        <v>0</v>
      </c>
      <c r="U734" s="270"/>
      <c r="X734" s="270"/>
      <c r="Y734" s="270"/>
      <c r="Z734" s="270">
        <f t="shared" ref="Z734:Z778" si="9">IF(M668&lt;&gt;0,ROUND(M668,0),0)</f>
        <v>0</v>
      </c>
    </row>
    <row r="735" spans="1:84" ht="12.6" customHeight="1" x14ac:dyDescent="0.25">
      <c r="A735" s="207" t="str">
        <f>RIGHT($C$84,3)&amp;"*"&amp;RIGHT($C$83,4)&amp;"*"&amp;E$55&amp;"*"&amp;"A"</f>
        <v>043*2018*6070*A</v>
      </c>
      <c r="B735" s="270">
        <f>ROUND(E59,0)</f>
        <v>737</v>
      </c>
      <c r="C735" s="273">
        <f>ROUND(E60,2)</f>
        <v>9.1999999999999993</v>
      </c>
      <c r="D735" s="270">
        <f>ROUND(E61,0)</f>
        <v>693387</v>
      </c>
      <c r="E735" s="270">
        <f>ROUND(E62,0)</f>
        <v>135517</v>
      </c>
      <c r="F735" s="270">
        <f>ROUND(E63,0)</f>
        <v>0</v>
      </c>
      <c r="G735" s="270">
        <f>ROUND(E64,0)</f>
        <v>29326</v>
      </c>
      <c r="H735" s="270">
        <f>ROUND(E65,0)</f>
        <v>0</v>
      </c>
      <c r="I735" s="270">
        <f>ROUND(E66,0)</f>
        <v>12637</v>
      </c>
      <c r="J735" s="270">
        <f>ROUND(E67,0)</f>
        <v>41309</v>
      </c>
      <c r="K735" s="270">
        <f>ROUND(E68,0)</f>
        <v>7097</v>
      </c>
      <c r="L735" s="270">
        <f>ROUND(E70,0)</f>
        <v>27787</v>
      </c>
      <c r="M735" s="270">
        <f>ROUND(E71,0)</f>
        <v>0</v>
      </c>
      <c r="N735" s="270">
        <f>ROUND(E76,0)</f>
        <v>5732017</v>
      </c>
      <c r="O735" s="270">
        <f>ROUND(E74,0)</f>
        <v>1543347</v>
      </c>
      <c r="P735" s="270">
        <f>IF(E77&gt;0,ROUND(E77,0),0)</f>
        <v>7661</v>
      </c>
      <c r="Q735" s="270">
        <f>IF(E78&gt;0,ROUND(E78,0),0)</f>
        <v>2210</v>
      </c>
      <c r="R735" s="270">
        <f>IF(E79&gt;0,ROUND(E79,0),0)</f>
        <v>9</v>
      </c>
      <c r="S735" s="270">
        <f>IF(E80&gt;0,ROUND(E80,0),0)</f>
        <v>50368</v>
      </c>
      <c r="T735" s="273">
        <f>IF(E81&gt;0,ROUND(E81,2),0)</f>
        <v>0</v>
      </c>
      <c r="U735" s="270"/>
      <c r="X735" s="270"/>
      <c r="Y735" s="270"/>
      <c r="Z735" s="270">
        <f t="shared" si="9"/>
        <v>736313</v>
      </c>
    </row>
    <row r="736" spans="1:84" ht="12.6" customHeight="1" x14ac:dyDescent="0.25">
      <c r="A736" s="207" t="str">
        <f>RIGHT($C$84,3)&amp;"*"&amp;RIGHT($C$83,4)&amp;"*"&amp;F$55&amp;"*"&amp;"A"</f>
        <v>043*2018*6100*A</v>
      </c>
      <c r="B736" s="270">
        <f>ROUND(F59,0)</f>
        <v>0</v>
      </c>
      <c r="C736" s="273">
        <f>ROUND(F60,2)</f>
        <v>0</v>
      </c>
      <c r="D736" s="270">
        <f>ROUND(F61,0)</f>
        <v>0</v>
      </c>
      <c r="E736" s="270">
        <f>ROUND(F62,0)</f>
        <v>0</v>
      </c>
      <c r="F736" s="270">
        <f>ROUND(F63,0)</f>
        <v>0</v>
      </c>
      <c r="G736" s="270">
        <f>ROUND(F64,0)</f>
        <v>0</v>
      </c>
      <c r="H736" s="270">
        <f>ROUND(F65,0)</f>
        <v>0</v>
      </c>
      <c r="I736" s="270">
        <f>ROUND(F66,0)</f>
        <v>0</v>
      </c>
      <c r="J736" s="270">
        <f>ROUND(F67,0)</f>
        <v>0</v>
      </c>
      <c r="K736" s="270">
        <f>ROUND(F68,0)</f>
        <v>0</v>
      </c>
      <c r="L736" s="270">
        <f>ROUND(F70,0)</f>
        <v>0</v>
      </c>
      <c r="M736" s="270">
        <f>ROUND(F71,0)</f>
        <v>0</v>
      </c>
      <c r="N736" s="270">
        <f>ROUND(F76,0)</f>
        <v>0</v>
      </c>
      <c r="O736" s="270">
        <f>ROUND(F74,0)</f>
        <v>0</v>
      </c>
      <c r="P736" s="270">
        <f>IF(F77&gt;0,ROUND(F77,0),0)</f>
        <v>0</v>
      </c>
      <c r="Q736" s="270">
        <f>IF(F78&gt;0,ROUND(F78,0),0)</f>
        <v>0</v>
      </c>
      <c r="R736" s="270">
        <f>IF(F79&gt;0,ROUND(F79,0),0)</f>
        <v>0</v>
      </c>
      <c r="S736" s="270">
        <f>IF(F80&gt;0,ROUND(F80,0),0)</f>
        <v>0</v>
      </c>
      <c r="T736" s="273">
        <f>IF(F81&gt;0,ROUND(F81,2),0)</f>
        <v>0</v>
      </c>
      <c r="U736" s="270"/>
      <c r="X736" s="270"/>
      <c r="Y736" s="270"/>
      <c r="Z736" s="270">
        <f t="shared" si="9"/>
        <v>0</v>
      </c>
    </row>
    <row r="737" spans="1:26" ht="12.6" customHeight="1" x14ac:dyDescent="0.25">
      <c r="A737" s="207" t="str">
        <f>RIGHT($C$84,3)&amp;"*"&amp;RIGHT($C$83,4)&amp;"*"&amp;G$55&amp;"*"&amp;"A"</f>
        <v>043*2018*6120*A</v>
      </c>
      <c r="B737" s="270">
        <f>ROUND(G59,0)</f>
        <v>0</v>
      </c>
      <c r="C737" s="273">
        <f>ROUND(G60,2)</f>
        <v>0</v>
      </c>
      <c r="D737" s="270">
        <f>ROUND(G61,0)</f>
        <v>0</v>
      </c>
      <c r="E737" s="270">
        <f>ROUND(G62,0)</f>
        <v>0</v>
      </c>
      <c r="F737" s="270">
        <f>ROUND(G63,0)</f>
        <v>0</v>
      </c>
      <c r="G737" s="270">
        <f>ROUND(G64,0)</f>
        <v>0</v>
      </c>
      <c r="H737" s="270">
        <f>ROUND(G65,0)</f>
        <v>0</v>
      </c>
      <c r="I737" s="270">
        <f>ROUND(G66,0)</f>
        <v>0</v>
      </c>
      <c r="J737" s="270">
        <f>ROUND(G67,0)</f>
        <v>0</v>
      </c>
      <c r="K737" s="270">
        <f>ROUND(G68,0)</f>
        <v>0</v>
      </c>
      <c r="L737" s="270">
        <f>ROUND(G70,0)</f>
        <v>0</v>
      </c>
      <c r="M737" s="270">
        <f>ROUND(G71,0)</f>
        <v>0</v>
      </c>
      <c r="N737" s="270">
        <f>ROUND(G76,0)</f>
        <v>0</v>
      </c>
      <c r="O737" s="270">
        <f>ROUND(G74,0)</f>
        <v>0</v>
      </c>
      <c r="P737" s="270">
        <f>IF(G77&gt;0,ROUND(G77,0),0)</f>
        <v>0</v>
      </c>
      <c r="Q737" s="270">
        <f>IF(G78&gt;0,ROUND(G78,0),0)</f>
        <v>0</v>
      </c>
      <c r="R737" s="270">
        <f>IF(G79&gt;0,ROUND(G79,0),0)</f>
        <v>0</v>
      </c>
      <c r="S737" s="270">
        <f>IF(G80&gt;0,ROUND(G80,0),0)</f>
        <v>0</v>
      </c>
      <c r="T737" s="273">
        <f>IF(G81&gt;0,ROUND(G81,2),0)</f>
        <v>0</v>
      </c>
      <c r="U737" s="270"/>
      <c r="X737" s="270"/>
      <c r="Y737" s="270"/>
      <c r="Z737" s="270">
        <f t="shared" si="9"/>
        <v>0</v>
      </c>
    </row>
    <row r="738" spans="1:26" ht="12.6" customHeight="1" x14ac:dyDescent="0.25">
      <c r="A738" s="207" t="str">
        <f>RIGHT($C$84,3)&amp;"*"&amp;RIGHT($C$83,4)&amp;"*"&amp;H$55&amp;"*"&amp;"A"</f>
        <v>043*2018*6140*A</v>
      </c>
      <c r="B738" s="270">
        <f>ROUND(H59,0)</f>
        <v>0</v>
      </c>
      <c r="C738" s="273">
        <f>ROUND(H60,2)</f>
        <v>0</v>
      </c>
      <c r="D738" s="270">
        <f>ROUND(H61,0)</f>
        <v>0</v>
      </c>
      <c r="E738" s="270">
        <f>ROUND(H62,0)</f>
        <v>0</v>
      </c>
      <c r="F738" s="270">
        <f>ROUND(H63,0)</f>
        <v>0</v>
      </c>
      <c r="G738" s="270">
        <f>ROUND(H64,0)</f>
        <v>0</v>
      </c>
      <c r="H738" s="270">
        <f>ROUND(H65,0)</f>
        <v>0</v>
      </c>
      <c r="I738" s="270">
        <f>ROUND(H66,0)</f>
        <v>0</v>
      </c>
      <c r="J738" s="270">
        <f>ROUND(H67,0)</f>
        <v>0</v>
      </c>
      <c r="K738" s="270">
        <f>ROUND(H68,0)</f>
        <v>0</v>
      </c>
      <c r="L738" s="270">
        <f>ROUND(H70,0)</f>
        <v>0</v>
      </c>
      <c r="M738" s="270">
        <f>ROUND(H71,0)</f>
        <v>0</v>
      </c>
      <c r="N738" s="270">
        <f>ROUND(H76,0)</f>
        <v>0</v>
      </c>
      <c r="O738" s="270">
        <f>ROUND(H74,0)</f>
        <v>0</v>
      </c>
      <c r="P738" s="270">
        <f>IF(H77&gt;0,ROUND(H77,0),0)</f>
        <v>0</v>
      </c>
      <c r="Q738" s="270">
        <f>IF(H78&gt;0,ROUND(H78,0),0)</f>
        <v>0</v>
      </c>
      <c r="R738" s="270">
        <f>IF(H79&gt;0,ROUND(H79,0),0)</f>
        <v>0</v>
      </c>
      <c r="S738" s="270">
        <f>IF(H80&gt;0,ROUND(H80,0),0)</f>
        <v>0</v>
      </c>
      <c r="T738" s="273">
        <f>IF(H81&gt;0,ROUND(H81,2),0)</f>
        <v>0</v>
      </c>
      <c r="U738" s="270"/>
      <c r="X738" s="270"/>
      <c r="Y738" s="270"/>
      <c r="Z738" s="270">
        <f t="shared" si="9"/>
        <v>0</v>
      </c>
    </row>
    <row r="739" spans="1:26" ht="12.6" customHeight="1" x14ac:dyDescent="0.25">
      <c r="A739" s="207" t="str">
        <f>RIGHT($C$84,3)&amp;"*"&amp;RIGHT($C$83,4)&amp;"*"&amp;I$55&amp;"*"&amp;"A"</f>
        <v>043*2018*6150*A</v>
      </c>
      <c r="B739" s="270">
        <f>ROUND(I59,0)</f>
        <v>510</v>
      </c>
      <c r="C739" s="273">
        <f>ROUND(I60,2)</f>
        <v>2.4300000000000002</v>
      </c>
      <c r="D739" s="270">
        <f>ROUND(I61,0)</f>
        <v>177553</v>
      </c>
      <c r="E739" s="270">
        <f>ROUND(I62,0)</f>
        <v>34701</v>
      </c>
      <c r="F739" s="270">
        <f>ROUND(I63,0)</f>
        <v>0</v>
      </c>
      <c r="G739" s="270">
        <f>ROUND(I64,0)</f>
        <v>2076</v>
      </c>
      <c r="H739" s="270">
        <f>ROUND(I65,0)</f>
        <v>344</v>
      </c>
      <c r="I739" s="270">
        <f>ROUND(I66,0)</f>
        <v>0</v>
      </c>
      <c r="J739" s="270">
        <f>ROUND(I67,0)</f>
        <v>27260</v>
      </c>
      <c r="K739" s="270">
        <f>ROUND(I68,0)</f>
        <v>2654</v>
      </c>
      <c r="L739" s="270">
        <f>ROUND(I70,0)</f>
        <v>2478</v>
      </c>
      <c r="M739" s="270">
        <f>ROUND(I71,0)</f>
        <v>0</v>
      </c>
      <c r="N739" s="270">
        <f>ROUND(I76,0)</f>
        <v>819509</v>
      </c>
      <c r="O739" s="270">
        <f>ROUND(I74,0)</f>
        <v>727383</v>
      </c>
      <c r="P739" s="270">
        <f>IF(I77&gt;0,ROUND(I77,0),0)</f>
        <v>3442</v>
      </c>
      <c r="Q739" s="270">
        <f>IF(I78&gt;0,ROUND(I78,0),0)</f>
        <v>1529</v>
      </c>
      <c r="R739" s="270">
        <f>IF(I79&gt;0,ROUND(I79,0),0)</f>
        <v>2</v>
      </c>
      <c r="S739" s="270">
        <f>IF(I80&gt;0,ROUND(I80,0),0)</f>
        <v>0</v>
      </c>
      <c r="T739" s="273">
        <f>IF(I81&gt;0,ROUND(I81,2),0)</f>
        <v>0</v>
      </c>
      <c r="U739" s="270"/>
      <c r="X739" s="270"/>
      <c r="Y739" s="270"/>
      <c r="Z739" s="270">
        <f t="shared" si="9"/>
        <v>240333</v>
      </c>
    </row>
    <row r="740" spans="1:26" ht="12.6" customHeight="1" x14ac:dyDescent="0.25">
      <c r="A740" s="207" t="str">
        <f>RIGHT($C$84,3)&amp;"*"&amp;RIGHT($C$83,4)&amp;"*"&amp;J$55&amp;"*"&amp;"A"</f>
        <v>043*2018*6170*A</v>
      </c>
      <c r="B740" s="270">
        <f>ROUND(J59,0)</f>
        <v>0</v>
      </c>
      <c r="C740" s="273">
        <f>ROUND(J60,2)</f>
        <v>0.59</v>
      </c>
      <c r="D740" s="270">
        <f>ROUND(J61,0)</f>
        <v>0</v>
      </c>
      <c r="E740" s="270">
        <f>ROUND(J62,0)</f>
        <v>0</v>
      </c>
      <c r="F740" s="270">
        <f>ROUND(J63,0)</f>
        <v>0</v>
      </c>
      <c r="G740" s="270">
        <f>ROUND(J64,0)</f>
        <v>11164</v>
      </c>
      <c r="H740" s="270">
        <f>ROUND(J65,0)</f>
        <v>0</v>
      </c>
      <c r="I740" s="270">
        <f>ROUND(J66,0)</f>
        <v>0</v>
      </c>
      <c r="J740" s="270">
        <f>ROUND(J67,0)</f>
        <v>0</v>
      </c>
      <c r="K740" s="270">
        <f>ROUND(J68,0)</f>
        <v>0</v>
      </c>
      <c r="L740" s="270">
        <f>ROUND(J70,0)</f>
        <v>0</v>
      </c>
      <c r="M740" s="270">
        <f>ROUND(J71,0)</f>
        <v>0</v>
      </c>
      <c r="N740" s="270">
        <f>ROUND(J76,0)</f>
        <v>253502</v>
      </c>
      <c r="O740" s="270">
        <f>ROUND(J74,0)</f>
        <v>253502</v>
      </c>
      <c r="P740" s="270">
        <f>IF(J77&gt;0,ROUND(J77,0),0)</f>
        <v>0</v>
      </c>
      <c r="Q740" s="270">
        <f>IF(J78&gt;0,ROUND(J78,0),0)</f>
        <v>0</v>
      </c>
      <c r="R740" s="270">
        <f>IF(J79&gt;0,ROUND(J79,0),0)</f>
        <v>1</v>
      </c>
      <c r="S740" s="270">
        <f>IF(J80&gt;0,ROUND(J80,0),0)</f>
        <v>463</v>
      </c>
      <c r="T740" s="273">
        <f>IF(J81&gt;0,ROUND(J81,2),0)</f>
        <v>0.59</v>
      </c>
      <c r="U740" s="270"/>
      <c r="X740" s="270"/>
      <c r="Y740" s="270"/>
      <c r="Z740" s="270">
        <f t="shared" si="9"/>
        <v>10499</v>
      </c>
    </row>
    <row r="741" spans="1:26" ht="12.6" customHeight="1" x14ac:dyDescent="0.25">
      <c r="A741" s="207" t="str">
        <f>RIGHT($C$84,3)&amp;"*"&amp;RIGHT($C$83,4)&amp;"*"&amp;K$55&amp;"*"&amp;"A"</f>
        <v>043*2018*6200*A</v>
      </c>
      <c r="B741" s="270">
        <f>ROUND(K59,0)</f>
        <v>0</v>
      </c>
      <c r="C741" s="273">
        <f>ROUND(K60,2)</f>
        <v>0</v>
      </c>
      <c r="D741" s="270">
        <f>ROUND(K61,0)</f>
        <v>0</v>
      </c>
      <c r="E741" s="270">
        <f>ROUND(K62,0)</f>
        <v>0</v>
      </c>
      <c r="F741" s="270">
        <f>ROUND(K63,0)</f>
        <v>0</v>
      </c>
      <c r="G741" s="270">
        <f>ROUND(K64,0)</f>
        <v>0</v>
      </c>
      <c r="H741" s="270">
        <f>ROUND(K65,0)</f>
        <v>0</v>
      </c>
      <c r="I741" s="270">
        <f>ROUND(K66,0)</f>
        <v>0</v>
      </c>
      <c r="J741" s="270">
        <f>ROUND(K67,0)</f>
        <v>0</v>
      </c>
      <c r="K741" s="270">
        <f>ROUND(K68,0)</f>
        <v>0</v>
      </c>
      <c r="L741" s="270">
        <f>ROUND(K70,0)</f>
        <v>0</v>
      </c>
      <c r="M741" s="270">
        <f>ROUND(K71,0)</f>
        <v>0</v>
      </c>
      <c r="N741" s="270">
        <f>ROUND(K76,0)</f>
        <v>0</v>
      </c>
      <c r="O741" s="270">
        <f>ROUND(K74,0)</f>
        <v>0</v>
      </c>
      <c r="P741" s="270">
        <f>IF(K77&gt;0,ROUND(K77,0),0)</f>
        <v>0</v>
      </c>
      <c r="Q741" s="270">
        <f>IF(K78&gt;0,ROUND(K78,0),0)</f>
        <v>0</v>
      </c>
      <c r="R741" s="270">
        <f>IF(K79&gt;0,ROUND(K79,0),0)</f>
        <v>0</v>
      </c>
      <c r="S741" s="270">
        <f>IF(K80&gt;0,ROUND(K80,0),0)</f>
        <v>0</v>
      </c>
      <c r="T741" s="273">
        <f>IF(K81&gt;0,ROUND(K81,2),0)</f>
        <v>0</v>
      </c>
      <c r="U741" s="270"/>
      <c r="X741" s="270"/>
      <c r="Y741" s="270"/>
      <c r="Z741" s="270">
        <f t="shared" si="9"/>
        <v>0</v>
      </c>
    </row>
    <row r="742" spans="1:26" ht="12.6" customHeight="1" x14ac:dyDescent="0.25">
      <c r="A742" s="207" t="str">
        <f>RIGHT($C$84,3)&amp;"*"&amp;RIGHT($C$83,4)&amp;"*"&amp;L$55&amp;"*"&amp;"A"</f>
        <v>043*2018*6210*A</v>
      </c>
      <c r="B742" s="270">
        <f>ROUND(L59,0)</f>
        <v>4910</v>
      </c>
      <c r="C742" s="273">
        <f>ROUND(L60,2)</f>
        <v>30.76</v>
      </c>
      <c r="D742" s="270">
        <f>ROUND(L61,0)</f>
        <v>2278432</v>
      </c>
      <c r="E742" s="270">
        <f>ROUND(L62,0)</f>
        <v>445302</v>
      </c>
      <c r="F742" s="270">
        <f>ROUND(L63,0)</f>
        <v>0</v>
      </c>
      <c r="G742" s="270">
        <f>ROUND(L64,0)</f>
        <v>55241</v>
      </c>
      <c r="H742" s="270">
        <f>ROUND(L65,0)</f>
        <v>2607</v>
      </c>
      <c r="I742" s="270">
        <f>ROUND(L66,0)</f>
        <v>0</v>
      </c>
      <c r="J742" s="270">
        <f>ROUND(L67,0)</f>
        <v>0</v>
      </c>
      <c r="K742" s="270">
        <f>ROUND(L68,0)</f>
        <v>29653</v>
      </c>
      <c r="L742" s="270">
        <f>ROUND(L70,0)</f>
        <v>56212</v>
      </c>
      <c r="M742" s="270">
        <f>ROUND(L71,0)</f>
        <v>0</v>
      </c>
      <c r="N742" s="270">
        <f>ROUND(L76,0)</f>
        <v>4552471</v>
      </c>
      <c r="O742" s="270">
        <f>ROUND(L74,0)</f>
        <v>4552471</v>
      </c>
      <c r="P742" s="270">
        <f>IF(L77&gt;0,ROUND(L77,0),0)</f>
        <v>0</v>
      </c>
      <c r="Q742" s="270">
        <f>IF(L78&gt;0,ROUND(L78,0),0)</f>
        <v>14724</v>
      </c>
      <c r="R742" s="270">
        <f>IF(L79&gt;0,ROUND(L79,0),0)</f>
        <v>31</v>
      </c>
      <c r="S742" s="270">
        <f>IF(L80&gt;0,ROUND(L80,0),0)</f>
        <v>0</v>
      </c>
      <c r="T742" s="273">
        <f>IF(L81&gt;0,ROUND(L81,2),0)</f>
        <v>0</v>
      </c>
      <c r="U742" s="270"/>
      <c r="X742" s="270"/>
      <c r="Y742" s="270"/>
      <c r="Z742" s="270">
        <f t="shared" si="9"/>
        <v>1104621</v>
      </c>
    </row>
    <row r="743" spans="1:26" ht="12.6" customHeight="1" x14ac:dyDescent="0.25">
      <c r="A743" s="207" t="str">
        <f>RIGHT($C$84,3)&amp;"*"&amp;RIGHT($C$83,4)&amp;"*"&amp;M$55&amp;"*"&amp;"A"</f>
        <v>043*2018*6330*A</v>
      </c>
      <c r="B743" s="270">
        <f>ROUND(M59,0)</f>
        <v>0</v>
      </c>
      <c r="C743" s="273">
        <f>ROUND(M60,2)</f>
        <v>0</v>
      </c>
      <c r="D743" s="270">
        <f>ROUND(M61,0)</f>
        <v>0</v>
      </c>
      <c r="E743" s="270">
        <f>ROUND(M62,0)</f>
        <v>0</v>
      </c>
      <c r="F743" s="270">
        <f>ROUND(M63,0)</f>
        <v>0</v>
      </c>
      <c r="G743" s="270">
        <f>ROUND(M64,0)</f>
        <v>0</v>
      </c>
      <c r="H743" s="270">
        <f>ROUND(M65,0)</f>
        <v>0</v>
      </c>
      <c r="I743" s="270">
        <f>ROUND(M66,0)</f>
        <v>0</v>
      </c>
      <c r="J743" s="270">
        <f>ROUND(M67,0)</f>
        <v>0</v>
      </c>
      <c r="K743" s="270">
        <f>ROUND(M68,0)</f>
        <v>0</v>
      </c>
      <c r="L743" s="270">
        <f>ROUND(M70,0)</f>
        <v>0</v>
      </c>
      <c r="M743" s="270">
        <f>ROUND(M71,0)</f>
        <v>0</v>
      </c>
      <c r="N743" s="270">
        <f>ROUND(M76,0)</f>
        <v>0</v>
      </c>
      <c r="O743" s="270">
        <f>ROUND(M74,0)</f>
        <v>0</v>
      </c>
      <c r="P743" s="270">
        <f>IF(M77&gt;0,ROUND(M77,0),0)</f>
        <v>0</v>
      </c>
      <c r="Q743" s="270">
        <f>IF(M78&gt;0,ROUND(M78,0),0)</f>
        <v>0</v>
      </c>
      <c r="R743" s="270">
        <f>IF(M79&gt;0,ROUND(M79,0),0)</f>
        <v>0</v>
      </c>
      <c r="S743" s="270">
        <f>IF(M80&gt;0,ROUND(M80,0),0)</f>
        <v>0</v>
      </c>
      <c r="T743" s="273">
        <f>IF(M81&gt;0,ROUND(M81,2),0)</f>
        <v>0</v>
      </c>
      <c r="U743" s="270"/>
      <c r="X743" s="270"/>
      <c r="Y743" s="270"/>
      <c r="Z743" s="270">
        <f t="shared" si="9"/>
        <v>0</v>
      </c>
    </row>
    <row r="744" spans="1:26" ht="12.6" customHeight="1" x14ac:dyDescent="0.25">
      <c r="A744" s="207" t="str">
        <f>RIGHT($C$84,3)&amp;"*"&amp;RIGHT($C$83,4)&amp;"*"&amp;N$55&amp;"*"&amp;"A"</f>
        <v>043*2018*6400*A</v>
      </c>
      <c r="B744" s="270">
        <f>ROUND(N59,0)</f>
        <v>0</v>
      </c>
      <c r="C744" s="273">
        <f>ROUND(N60,2)</f>
        <v>0</v>
      </c>
      <c r="D744" s="270">
        <f>ROUND(N61,0)</f>
        <v>0</v>
      </c>
      <c r="E744" s="270">
        <f>ROUND(N62,0)</f>
        <v>0</v>
      </c>
      <c r="F744" s="270">
        <f>ROUND(N63,0)</f>
        <v>0</v>
      </c>
      <c r="G744" s="270">
        <f>ROUND(N64,0)</f>
        <v>0</v>
      </c>
      <c r="H744" s="270">
        <f>ROUND(N65,0)</f>
        <v>0</v>
      </c>
      <c r="I744" s="270">
        <f>ROUND(N66,0)</f>
        <v>0</v>
      </c>
      <c r="J744" s="270">
        <f>ROUND(N67,0)</f>
        <v>0</v>
      </c>
      <c r="K744" s="270">
        <f>ROUND(N68,0)</f>
        <v>0</v>
      </c>
      <c r="L744" s="270">
        <f>ROUND(N70,0)</f>
        <v>0</v>
      </c>
      <c r="M744" s="270">
        <f>ROUND(N71,0)</f>
        <v>0</v>
      </c>
      <c r="N744" s="270">
        <f>ROUND(N76,0)</f>
        <v>0</v>
      </c>
      <c r="O744" s="270">
        <f>ROUND(N74,0)</f>
        <v>0</v>
      </c>
      <c r="P744" s="270">
        <f>IF(N77&gt;0,ROUND(N77,0),0)</f>
        <v>0</v>
      </c>
      <c r="Q744" s="270">
        <f>IF(N78&gt;0,ROUND(N78,0),0)</f>
        <v>0</v>
      </c>
      <c r="R744" s="270">
        <f>IF(N79&gt;0,ROUND(N79,0),0)</f>
        <v>0</v>
      </c>
      <c r="S744" s="270">
        <f>IF(N80&gt;0,ROUND(N80,0),0)</f>
        <v>0</v>
      </c>
      <c r="T744" s="273">
        <f>IF(N81&gt;0,ROUND(N81,2),0)</f>
        <v>0</v>
      </c>
      <c r="U744" s="270"/>
      <c r="X744" s="270"/>
      <c r="Y744" s="270"/>
      <c r="Z744" s="270">
        <f t="shared" si="9"/>
        <v>0</v>
      </c>
    </row>
    <row r="745" spans="1:26" ht="12.6" customHeight="1" x14ac:dyDescent="0.25">
      <c r="A745" s="207" t="str">
        <f>RIGHT($C$84,3)&amp;"*"&amp;RIGHT($C$83,4)&amp;"*"&amp;O$55&amp;"*"&amp;"A"</f>
        <v>043*2018*7010*A</v>
      </c>
      <c r="B745" s="270">
        <f>ROUND(O59,0)</f>
        <v>0</v>
      </c>
      <c r="C745" s="273">
        <f>ROUND(O60,2)</f>
        <v>4.4000000000000004</v>
      </c>
      <c r="D745" s="270">
        <f>ROUND(O61,0)</f>
        <v>374899</v>
      </c>
      <c r="E745" s="270">
        <f>ROUND(O62,0)</f>
        <v>73271</v>
      </c>
      <c r="F745" s="270">
        <f>ROUND(O63,0)</f>
        <v>0</v>
      </c>
      <c r="G745" s="270">
        <f>ROUND(O64,0)</f>
        <v>8585</v>
      </c>
      <c r="H745" s="270">
        <f>ROUND(O65,0)</f>
        <v>0</v>
      </c>
      <c r="I745" s="270">
        <f>ROUND(O66,0)</f>
        <v>106066</v>
      </c>
      <c r="J745" s="270">
        <f>ROUND(O67,0)</f>
        <v>70712</v>
      </c>
      <c r="K745" s="270">
        <f>ROUND(O68,0)</f>
        <v>4459</v>
      </c>
      <c r="L745" s="270">
        <f>ROUND(O70,0)</f>
        <v>40579</v>
      </c>
      <c r="M745" s="270">
        <f>ROUND(O71,0)</f>
        <v>0</v>
      </c>
      <c r="N745" s="270">
        <f>ROUND(O76,0)</f>
        <v>902261</v>
      </c>
      <c r="O745" s="270">
        <f>ROUND(O74,0)</f>
        <v>794599</v>
      </c>
      <c r="P745" s="270">
        <f>IF(O77&gt;0,ROUND(O77,0),0)</f>
        <v>794</v>
      </c>
      <c r="Q745" s="270">
        <f>IF(O78&gt;0,ROUND(O78,0),0)</f>
        <v>0</v>
      </c>
      <c r="R745" s="270">
        <f>IF(O79&gt;0,ROUND(O79,0),0)</f>
        <v>794</v>
      </c>
      <c r="S745" s="270">
        <f>IF(O80&gt;0,ROUND(O80,0),0)</f>
        <v>2039</v>
      </c>
      <c r="T745" s="273">
        <f>IF(O81&gt;0,ROUND(O81,2),0)</f>
        <v>4.4000000000000004</v>
      </c>
      <c r="U745" s="270"/>
      <c r="X745" s="270"/>
      <c r="Y745" s="270"/>
      <c r="Z745" s="270">
        <f t="shared" si="9"/>
        <v>186199</v>
      </c>
    </row>
    <row r="746" spans="1:26" ht="12.6" customHeight="1" x14ac:dyDescent="0.25">
      <c r="A746" s="207" t="str">
        <f>RIGHT($C$84,3)&amp;"*"&amp;RIGHT($C$83,4)&amp;"*"&amp;P$55&amp;"*"&amp;"A"</f>
        <v>043*2018*7020*A</v>
      </c>
      <c r="B746" s="270">
        <f>ROUND(P59,0)</f>
        <v>51987</v>
      </c>
      <c r="C746" s="273">
        <f>ROUND(P60,2)</f>
        <v>6.63</v>
      </c>
      <c r="D746" s="270">
        <f>ROUND(P61,0)</f>
        <v>513248</v>
      </c>
      <c r="E746" s="270">
        <f>ROUND(P62,0)</f>
        <v>100310</v>
      </c>
      <c r="F746" s="270">
        <f>ROUND(P63,0)</f>
        <v>0</v>
      </c>
      <c r="G746" s="270">
        <f>ROUND(P64,0)</f>
        <v>73675</v>
      </c>
      <c r="H746" s="270">
        <f>ROUND(P65,0)</f>
        <v>1305</v>
      </c>
      <c r="I746" s="270">
        <f>ROUND(P66,0)</f>
        <v>3490</v>
      </c>
      <c r="J746" s="270">
        <f>ROUND(P67,0)</f>
        <v>147338</v>
      </c>
      <c r="K746" s="270">
        <f>ROUND(P68,0)</f>
        <v>18092</v>
      </c>
      <c r="L746" s="270">
        <f>ROUND(P70,0)</f>
        <v>112729</v>
      </c>
      <c r="M746" s="270">
        <f>ROUND(P71,0)</f>
        <v>0</v>
      </c>
      <c r="N746" s="270">
        <f>ROUND(P76,0)</f>
        <v>4599434</v>
      </c>
      <c r="O746" s="270">
        <f>ROUND(P74,0)</f>
        <v>454390</v>
      </c>
      <c r="P746" s="270">
        <f>IF(P77&gt;0,ROUND(P77,0),0)</f>
        <v>907</v>
      </c>
      <c r="Q746" s="270">
        <f>IF(P78&gt;0,ROUND(P78,0),0)</f>
        <v>0</v>
      </c>
      <c r="R746" s="270">
        <f>IF(P79&gt;0,ROUND(P79,0),0)</f>
        <v>907</v>
      </c>
      <c r="S746" s="270">
        <f>IF(P80&gt;0,ROUND(P80,0),0)</f>
        <v>13039</v>
      </c>
      <c r="T746" s="273">
        <f>IF(P81&gt;0,ROUND(P81,2),0)</f>
        <v>6.63</v>
      </c>
      <c r="U746" s="270"/>
      <c r="X746" s="270"/>
      <c r="Y746" s="270"/>
      <c r="Z746" s="270">
        <f t="shared" si="9"/>
        <v>358836</v>
      </c>
    </row>
    <row r="747" spans="1:26" ht="12.6" customHeight="1" x14ac:dyDescent="0.25">
      <c r="A747" s="207" t="str">
        <f>RIGHT($C$84,3)&amp;"*"&amp;RIGHT($C$83,4)&amp;"*"&amp;Q$55&amp;"*"&amp;"A"</f>
        <v>043*2018*7030*A</v>
      </c>
      <c r="B747" s="270">
        <f>ROUND(Q59,0)</f>
        <v>39961</v>
      </c>
      <c r="C747" s="273">
        <f>ROUND(Q60,2)</f>
        <v>2.2400000000000002</v>
      </c>
      <c r="D747" s="270">
        <f>ROUND(Q61,0)</f>
        <v>205116</v>
      </c>
      <c r="E747" s="270">
        <f>ROUND(Q62,0)</f>
        <v>40088</v>
      </c>
      <c r="F747" s="270">
        <f>ROUND(Q63,0)</f>
        <v>0</v>
      </c>
      <c r="G747" s="270">
        <f>ROUND(Q64,0)</f>
        <v>18781</v>
      </c>
      <c r="H747" s="270">
        <f>ROUND(Q65,0)</f>
        <v>500</v>
      </c>
      <c r="I747" s="270">
        <f>ROUND(Q66,0)</f>
        <v>0</v>
      </c>
      <c r="J747" s="270">
        <f>ROUND(Q67,0)</f>
        <v>3020</v>
      </c>
      <c r="K747" s="270">
        <f>ROUND(Q68,0)</f>
        <v>0</v>
      </c>
      <c r="L747" s="270">
        <f>ROUND(Q70,0)</f>
        <v>184</v>
      </c>
      <c r="M747" s="270">
        <f>ROUND(Q71,0)</f>
        <v>0</v>
      </c>
      <c r="N747" s="270">
        <f>ROUND(Q76,0)</f>
        <v>734295</v>
      </c>
      <c r="O747" s="270">
        <f>ROUND(Q74,0)</f>
        <v>197848</v>
      </c>
      <c r="P747" s="270">
        <f>IF(Q77&gt;0,ROUND(Q77,0),0)</f>
        <v>479</v>
      </c>
      <c r="Q747" s="270">
        <f>IF(Q78&gt;0,ROUND(Q78,0),0)</f>
        <v>0</v>
      </c>
      <c r="R747" s="270">
        <f>IF(Q79&gt;0,ROUND(Q79,0),0)</f>
        <v>479</v>
      </c>
      <c r="S747" s="270">
        <f>IF(Q80&gt;0,ROUND(Q80,0),0)</f>
        <v>0</v>
      </c>
      <c r="T747" s="273">
        <f>IF(Q81&gt;0,ROUND(Q81,2),0)</f>
        <v>2.2400000000000002</v>
      </c>
      <c r="U747" s="270"/>
      <c r="X747" s="270"/>
      <c r="Y747" s="270"/>
      <c r="Z747" s="270">
        <f t="shared" si="9"/>
        <v>93624</v>
      </c>
    </row>
    <row r="748" spans="1:26" ht="12.6" customHeight="1" x14ac:dyDescent="0.25">
      <c r="A748" s="207" t="str">
        <f>RIGHT($C$84,3)&amp;"*"&amp;RIGHT($C$83,4)&amp;"*"&amp;R$55&amp;"*"&amp;"A"</f>
        <v>043*2018*7040*A</v>
      </c>
      <c r="B748" s="270">
        <f>ROUND(R59,0)</f>
        <v>46218</v>
      </c>
      <c r="C748" s="273">
        <f>ROUND(R60,2)</f>
        <v>1.1399999999999999</v>
      </c>
      <c r="D748" s="270">
        <f>ROUND(R61,0)</f>
        <v>455950</v>
      </c>
      <c r="E748" s="270">
        <f>ROUND(R62,0)</f>
        <v>89112</v>
      </c>
      <c r="F748" s="270">
        <f>ROUND(R63,0)</f>
        <v>0</v>
      </c>
      <c r="G748" s="270">
        <f>ROUND(R64,0)</f>
        <v>4920</v>
      </c>
      <c r="H748" s="270">
        <f>ROUND(R65,0)</f>
        <v>0</v>
      </c>
      <c r="I748" s="270">
        <f>ROUND(R66,0)</f>
        <v>79391</v>
      </c>
      <c r="J748" s="270">
        <f>ROUND(R67,0)</f>
        <v>23002</v>
      </c>
      <c r="K748" s="270">
        <f>ROUND(R68,0)</f>
        <v>469</v>
      </c>
      <c r="L748" s="270">
        <f>ROUND(R70,0)</f>
        <v>9024</v>
      </c>
      <c r="M748" s="270">
        <f>ROUND(R71,0)</f>
        <v>0</v>
      </c>
      <c r="N748" s="270">
        <f>ROUND(R76,0)</f>
        <v>1553399</v>
      </c>
      <c r="O748" s="270">
        <f>ROUND(R74,0)</f>
        <v>342346</v>
      </c>
      <c r="P748" s="270">
        <f>IF(R77&gt;0,ROUND(R77,0),0)</f>
        <v>60</v>
      </c>
      <c r="Q748" s="270">
        <f>IF(R78&gt;0,ROUND(R78,0),0)</f>
        <v>0</v>
      </c>
      <c r="R748" s="270">
        <f>IF(R79&gt;0,ROUND(R79,0),0)</f>
        <v>60</v>
      </c>
      <c r="S748" s="270">
        <f>IF(R80&gt;0,ROUND(R80,0),0)</f>
        <v>0</v>
      </c>
      <c r="T748" s="273">
        <f>IF(R81&gt;0,ROUND(R81,2),0)</f>
        <v>1.1399999999999999</v>
      </c>
      <c r="U748" s="270"/>
      <c r="X748" s="270"/>
      <c r="Y748" s="270"/>
      <c r="Z748" s="270">
        <f t="shared" si="9"/>
        <v>146710</v>
      </c>
    </row>
    <row r="749" spans="1:26" ht="12.6" customHeight="1" x14ac:dyDescent="0.25">
      <c r="A749" s="207" t="str">
        <f>RIGHT($C$84,3)&amp;"*"&amp;RIGHT($C$83,4)&amp;"*"&amp;S$55&amp;"*"&amp;"A"</f>
        <v>043*2018*7050*A</v>
      </c>
      <c r="B749" s="270"/>
      <c r="C749" s="273">
        <f>ROUND(S60,2)</f>
        <v>5.05</v>
      </c>
      <c r="D749" s="270">
        <f>ROUND(S61,0)</f>
        <v>247643</v>
      </c>
      <c r="E749" s="270">
        <f>ROUND(S62,0)</f>
        <v>48400</v>
      </c>
      <c r="F749" s="270">
        <f>ROUND(S63,0)</f>
        <v>0</v>
      </c>
      <c r="G749" s="270">
        <f>ROUND(S64,0)</f>
        <v>616920</v>
      </c>
      <c r="H749" s="270">
        <f>ROUND(S65,0)</f>
        <v>0</v>
      </c>
      <c r="I749" s="270">
        <f>ROUND(S66,0)</f>
        <v>38</v>
      </c>
      <c r="J749" s="270">
        <f>ROUND(S67,0)</f>
        <v>9458</v>
      </c>
      <c r="K749" s="270">
        <f>ROUND(S68,0)</f>
        <v>95</v>
      </c>
      <c r="L749" s="270">
        <f>ROUND(S70,0)</f>
        <v>19830</v>
      </c>
      <c r="M749" s="270">
        <f>ROUND(S71,0)</f>
        <v>0</v>
      </c>
      <c r="N749" s="270">
        <f>ROUND(S76,0)</f>
        <v>3211809</v>
      </c>
      <c r="O749" s="270">
        <f>ROUND(S74,0)</f>
        <v>265467</v>
      </c>
      <c r="P749" s="270">
        <f>IF(S77&gt;0,ROUND(S77,0),0)</f>
        <v>1754</v>
      </c>
      <c r="Q749" s="270">
        <f>IF(S78&gt;0,ROUND(S78,0),0)</f>
        <v>0</v>
      </c>
      <c r="R749" s="270">
        <f>IF(S79&gt;0,ROUND(S79,0),0)</f>
        <v>1754</v>
      </c>
      <c r="S749" s="270">
        <f>IF(S80&gt;0,ROUND(S80,0),0)</f>
        <v>0</v>
      </c>
      <c r="T749" s="273">
        <f>IF(S81&gt;0,ROUND(S81,2),0)</f>
        <v>5.05</v>
      </c>
      <c r="U749" s="270"/>
      <c r="X749" s="270"/>
      <c r="Y749" s="270"/>
      <c r="Z749" s="270">
        <f t="shared" si="9"/>
        <v>344970</v>
      </c>
    </row>
    <row r="750" spans="1:26" ht="12.6" customHeight="1" x14ac:dyDescent="0.25">
      <c r="A750" s="207" t="str">
        <f>RIGHT($C$84,3)&amp;"*"&amp;RIGHT($C$83,4)&amp;"*"&amp;T$55&amp;"*"&amp;"A"</f>
        <v>043*2018*7060*A</v>
      </c>
      <c r="B750" s="270"/>
      <c r="C750" s="273">
        <f>ROUND(T60,2)</f>
        <v>0</v>
      </c>
      <c r="D750" s="270">
        <f>ROUND(T61,0)</f>
        <v>0</v>
      </c>
      <c r="E750" s="270">
        <f>ROUND(T62,0)</f>
        <v>0</v>
      </c>
      <c r="F750" s="270">
        <f>ROUND(T63,0)</f>
        <v>0</v>
      </c>
      <c r="G750" s="270">
        <f>ROUND(T64,0)</f>
        <v>0</v>
      </c>
      <c r="H750" s="270">
        <f>ROUND(T65,0)</f>
        <v>0</v>
      </c>
      <c r="I750" s="270">
        <f>ROUND(T66,0)</f>
        <v>0</v>
      </c>
      <c r="J750" s="270">
        <f>ROUND(T67,0)</f>
        <v>0</v>
      </c>
      <c r="K750" s="270">
        <f>ROUND(T68,0)</f>
        <v>0</v>
      </c>
      <c r="L750" s="270">
        <f>ROUND(T70,0)</f>
        <v>0</v>
      </c>
      <c r="M750" s="270">
        <f>ROUND(T71,0)</f>
        <v>0</v>
      </c>
      <c r="N750" s="270">
        <f>ROUND(T76,0)</f>
        <v>0</v>
      </c>
      <c r="O750" s="270">
        <f>ROUND(T74,0)</f>
        <v>0</v>
      </c>
      <c r="P750" s="270">
        <f>IF(T77&gt;0,ROUND(T77,0),0)</f>
        <v>0</v>
      </c>
      <c r="Q750" s="270">
        <f>IF(T78&gt;0,ROUND(T78,0),0)</f>
        <v>0</v>
      </c>
      <c r="R750" s="270">
        <f>IF(T79&gt;0,ROUND(T79,0),0)</f>
        <v>0</v>
      </c>
      <c r="S750" s="270">
        <f>IF(T80&gt;0,ROUND(T80,0),0)</f>
        <v>0</v>
      </c>
      <c r="T750" s="273">
        <f>IF(T81&gt;0,ROUND(T81,2),0)</f>
        <v>0</v>
      </c>
      <c r="U750" s="270"/>
      <c r="X750" s="270"/>
      <c r="Y750" s="270"/>
      <c r="Z750" s="270">
        <f t="shared" si="9"/>
        <v>0</v>
      </c>
    </row>
    <row r="751" spans="1:26" ht="12.6" customHeight="1" x14ac:dyDescent="0.25">
      <c r="A751" s="207" t="str">
        <f>RIGHT($C$84,3)&amp;"*"&amp;RIGHT($C$83,4)&amp;"*"&amp;U$55&amp;"*"&amp;"A"</f>
        <v>043*2018*7070*A</v>
      </c>
      <c r="B751" s="270">
        <f>ROUND(U59,0)</f>
        <v>44695</v>
      </c>
      <c r="C751" s="273">
        <f>ROUND(U60,2)</f>
        <v>8.65</v>
      </c>
      <c r="D751" s="270">
        <f>ROUND(U61,0)</f>
        <v>558087</v>
      </c>
      <c r="E751" s="270">
        <f>ROUND(U62,0)</f>
        <v>109074</v>
      </c>
      <c r="F751" s="270">
        <f>ROUND(U63,0)</f>
        <v>7200</v>
      </c>
      <c r="G751" s="270">
        <f>ROUND(U64,0)</f>
        <v>358616</v>
      </c>
      <c r="H751" s="270">
        <f>ROUND(U65,0)</f>
        <v>302</v>
      </c>
      <c r="I751" s="270">
        <f>ROUND(U66,0)</f>
        <v>248043</v>
      </c>
      <c r="J751" s="270">
        <f>ROUND(U67,0)</f>
        <v>22846</v>
      </c>
      <c r="K751" s="270">
        <f>ROUND(U68,0)</f>
        <v>1282</v>
      </c>
      <c r="L751" s="270">
        <f>ROUND(U70,0)</f>
        <v>41192</v>
      </c>
      <c r="M751" s="270">
        <f>ROUND(U71,0)</f>
        <v>0</v>
      </c>
      <c r="N751" s="270">
        <f>ROUND(U76,0)</f>
        <v>3433533</v>
      </c>
      <c r="O751" s="270">
        <f>ROUND(U74,0)</f>
        <v>579336</v>
      </c>
      <c r="P751" s="270">
        <f>IF(U77&gt;0,ROUND(U77,0),0)</f>
        <v>729</v>
      </c>
      <c r="Q751" s="270">
        <f>IF(U78&gt;0,ROUND(U78,0),0)</f>
        <v>0</v>
      </c>
      <c r="R751" s="270">
        <f>IF(U79&gt;0,ROUND(U79,0),0)</f>
        <v>729</v>
      </c>
      <c r="S751" s="270">
        <f>IF(U80&gt;0,ROUND(U80,0),0)</f>
        <v>333</v>
      </c>
      <c r="T751" s="273">
        <f>IF(U81&gt;0,ROUND(U81,2),0)</f>
        <v>8.65</v>
      </c>
      <c r="U751" s="270"/>
      <c r="X751" s="270"/>
      <c r="Y751" s="270"/>
      <c r="Z751" s="270">
        <f t="shared" si="9"/>
        <v>356397</v>
      </c>
    </row>
    <row r="752" spans="1:26" ht="12.6" customHeight="1" x14ac:dyDescent="0.25">
      <c r="A752" s="207" t="str">
        <f>RIGHT($C$84,3)&amp;"*"&amp;RIGHT($C$83,4)&amp;"*"&amp;V$55&amp;"*"&amp;"A"</f>
        <v>043*2018*7110*A</v>
      </c>
      <c r="B752" s="270">
        <f>ROUND(V59,0)</f>
        <v>0</v>
      </c>
      <c r="C752" s="273">
        <f>ROUND(V60,2)</f>
        <v>0</v>
      </c>
      <c r="D752" s="270">
        <f>ROUND(V61,0)</f>
        <v>0</v>
      </c>
      <c r="E752" s="270">
        <f>ROUND(V62,0)</f>
        <v>0</v>
      </c>
      <c r="F752" s="270">
        <f>ROUND(V63,0)</f>
        <v>0</v>
      </c>
      <c r="G752" s="270">
        <f>ROUND(V64,0)</f>
        <v>0</v>
      </c>
      <c r="H752" s="270">
        <f>ROUND(V65,0)</f>
        <v>0</v>
      </c>
      <c r="I752" s="270">
        <f>ROUND(V66,0)</f>
        <v>0</v>
      </c>
      <c r="J752" s="270">
        <f>ROUND(V67,0)</f>
        <v>0</v>
      </c>
      <c r="K752" s="270">
        <f>ROUND(V68,0)</f>
        <v>0</v>
      </c>
      <c r="L752" s="270">
        <f>ROUND(V70,0)</f>
        <v>0</v>
      </c>
      <c r="M752" s="270">
        <f>ROUND(V71,0)</f>
        <v>0</v>
      </c>
      <c r="N752" s="270">
        <f>ROUND(V76,0)</f>
        <v>0</v>
      </c>
      <c r="O752" s="270">
        <f>ROUND(V74,0)</f>
        <v>0</v>
      </c>
      <c r="P752" s="270">
        <f>IF(V77&gt;0,ROUND(V77,0),0)</f>
        <v>0</v>
      </c>
      <c r="Q752" s="270">
        <f>IF(V78&gt;0,ROUND(V78,0),0)</f>
        <v>0</v>
      </c>
      <c r="R752" s="270">
        <f>IF(V79&gt;0,ROUND(V79,0),0)</f>
        <v>0</v>
      </c>
      <c r="S752" s="270">
        <f>IF(V80&gt;0,ROUND(V80,0),0)</f>
        <v>0</v>
      </c>
      <c r="T752" s="273">
        <f>IF(V81&gt;0,ROUND(V81,2),0)</f>
        <v>0</v>
      </c>
      <c r="U752" s="270"/>
      <c r="X752" s="270"/>
      <c r="Y752" s="270"/>
      <c r="Z752" s="270">
        <f t="shared" si="9"/>
        <v>0</v>
      </c>
    </row>
    <row r="753" spans="1:26" ht="12.6" customHeight="1" x14ac:dyDescent="0.25">
      <c r="A753" s="207" t="str">
        <f>RIGHT($C$84,3)&amp;"*"&amp;RIGHT($C$83,4)&amp;"*"&amp;W$55&amp;"*"&amp;"A"</f>
        <v>043*2018*7120*A</v>
      </c>
      <c r="B753" s="270">
        <f>ROUND(W59,0)</f>
        <v>0</v>
      </c>
      <c r="C753" s="273">
        <f>ROUND(W60,2)</f>
        <v>0</v>
      </c>
      <c r="D753" s="270">
        <f>ROUND(W61,0)</f>
        <v>0</v>
      </c>
      <c r="E753" s="270">
        <f>ROUND(W62,0)</f>
        <v>0</v>
      </c>
      <c r="F753" s="270">
        <f>ROUND(W63,0)</f>
        <v>0</v>
      </c>
      <c r="G753" s="270">
        <f>ROUND(W64,0)</f>
        <v>0</v>
      </c>
      <c r="H753" s="270">
        <f>ROUND(W65,0)</f>
        <v>0</v>
      </c>
      <c r="I753" s="270">
        <f>ROUND(W66,0)</f>
        <v>0</v>
      </c>
      <c r="J753" s="270">
        <f>ROUND(W67,0)</f>
        <v>0</v>
      </c>
      <c r="K753" s="270">
        <f>ROUND(W68,0)</f>
        <v>0</v>
      </c>
      <c r="L753" s="270">
        <f>ROUND(W70,0)</f>
        <v>0</v>
      </c>
      <c r="M753" s="270">
        <f>ROUND(W71,0)</f>
        <v>0</v>
      </c>
      <c r="N753" s="270">
        <f>ROUND(W76,0)</f>
        <v>0</v>
      </c>
      <c r="O753" s="270">
        <f>ROUND(W74,0)</f>
        <v>0</v>
      </c>
      <c r="P753" s="270">
        <f>IF(W77&gt;0,ROUND(W77,0),0)</f>
        <v>0</v>
      </c>
      <c r="Q753" s="270">
        <f>IF(W78&gt;0,ROUND(W78,0),0)</f>
        <v>0</v>
      </c>
      <c r="R753" s="270">
        <f>IF(W79&gt;0,ROUND(W79,0),0)</f>
        <v>0</v>
      </c>
      <c r="S753" s="270">
        <f>IF(W80&gt;0,ROUND(W80,0),0)</f>
        <v>0</v>
      </c>
      <c r="T753" s="273">
        <f>IF(W81&gt;0,ROUND(W81,2),0)</f>
        <v>0</v>
      </c>
      <c r="U753" s="270"/>
      <c r="X753" s="270"/>
      <c r="Y753" s="270"/>
      <c r="Z753" s="270">
        <f t="shared" si="9"/>
        <v>0</v>
      </c>
    </row>
    <row r="754" spans="1:26" ht="12.6" customHeight="1" x14ac:dyDescent="0.25">
      <c r="A754" s="207" t="str">
        <f>RIGHT($C$84,3)&amp;"*"&amp;RIGHT($C$83,4)&amp;"*"&amp;X$55&amp;"*"&amp;"A"</f>
        <v>043*2018*7130*A</v>
      </c>
      <c r="B754" s="270">
        <f>ROUND(X59,0)</f>
        <v>0</v>
      </c>
      <c r="C754" s="273">
        <f>ROUND(X60,2)</f>
        <v>0</v>
      </c>
      <c r="D754" s="270">
        <f>ROUND(X61,0)</f>
        <v>0</v>
      </c>
      <c r="E754" s="270">
        <f>ROUND(X62,0)</f>
        <v>0</v>
      </c>
      <c r="F754" s="270">
        <f>ROUND(X63,0)</f>
        <v>0</v>
      </c>
      <c r="G754" s="270">
        <f>ROUND(X64,0)</f>
        <v>0</v>
      </c>
      <c r="H754" s="270">
        <f>ROUND(X65,0)</f>
        <v>0</v>
      </c>
      <c r="I754" s="270">
        <f>ROUND(X66,0)</f>
        <v>0</v>
      </c>
      <c r="J754" s="270">
        <f>ROUND(X67,0)</f>
        <v>0</v>
      </c>
      <c r="K754" s="270">
        <f>ROUND(X68,0)</f>
        <v>0</v>
      </c>
      <c r="L754" s="270">
        <f>ROUND(X70,0)</f>
        <v>0</v>
      </c>
      <c r="M754" s="270">
        <f>ROUND(X71,0)</f>
        <v>0</v>
      </c>
      <c r="N754" s="270">
        <f>ROUND(X76,0)</f>
        <v>0</v>
      </c>
      <c r="O754" s="270">
        <f>ROUND(X74,0)</f>
        <v>0</v>
      </c>
      <c r="P754" s="270">
        <f>IF(X77&gt;0,ROUND(X77,0),0)</f>
        <v>0</v>
      </c>
      <c r="Q754" s="270">
        <f>IF(X78&gt;0,ROUND(X78,0),0)</f>
        <v>0</v>
      </c>
      <c r="R754" s="270">
        <f>IF(X79&gt;0,ROUND(X79,0),0)</f>
        <v>0</v>
      </c>
      <c r="S754" s="270">
        <f>IF(X80&gt;0,ROUND(X80,0),0)</f>
        <v>0</v>
      </c>
      <c r="T754" s="273">
        <f>IF(X81&gt;0,ROUND(X81,2),0)</f>
        <v>0</v>
      </c>
      <c r="U754" s="270"/>
      <c r="X754" s="270"/>
      <c r="Y754" s="270"/>
      <c r="Z754" s="270">
        <f t="shared" si="9"/>
        <v>0</v>
      </c>
    </row>
    <row r="755" spans="1:26" ht="12.6" customHeight="1" x14ac:dyDescent="0.25">
      <c r="A755" s="207" t="str">
        <f>RIGHT($C$84,3)&amp;"*"&amp;RIGHT($C$83,4)&amp;"*"&amp;Y$55&amp;"*"&amp;"A"</f>
        <v>043*2018*7140*A</v>
      </c>
      <c r="B755" s="270">
        <f>ROUND(Y59,0)</f>
        <v>6865</v>
      </c>
      <c r="C755" s="273">
        <f>ROUND(Y60,2)</f>
        <v>7.08</v>
      </c>
      <c r="D755" s="270">
        <f>ROUND(Y61,0)</f>
        <v>506640</v>
      </c>
      <c r="E755" s="270">
        <f>ROUND(Y62,0)</f>
        <v>99019</v>
      </c>
      <c r="F755" s="270">
        <f>ROUND(Y63,0)</f>
        <v>335205</v>
      </c>
      <c r="G755" s="270">
        <f>ROUND(Y64,0)</f>
        <v>42904</v>
      </c>
      <c r="H755" s="270">
        <f>ROUND(Y65,0)</f>
        <v>890</v>
      </c>
      <c r="I755" s="270">
        <f>ROUND(Y66,0)</f>
        <v>182557</v>
      </c>
      <c r="J755" s="270">
        <f>ROUND(Y67,0)</f>
        <v>95101</v>
      </c>
      <c r="K755" s="270">
        <f>ROUND(Y68,0)</f>
        <v>1042</v>
      </c>
      <c r="L755" s="270">
        <f>ROUND(Y70,0)</f>
        <v>242366</v>
      </c>
      <c r="M755" s="270">
        <f>ROUND(Y71,0)</f>
        <v>0</v>
      </c>
      <c r="N755" s="270">
        <f>ROUND(Y76,0)</f>
        <v>5414853</v>
      </c>
      <c r="O755" s="270">
        <f>ROUND(Y74,0)</f>
        <v>242204</v>
      </c>
      <c r="P755" s="270">
        <f>IF(Y77&gt;0,ROUND(Y77,0),0)</f>
        <v>1408</v>
      </c>
      <c r="Q755" s="270">
        <f>IF(Y78&gt;0,ROUND(Y78,0),0)</f>
        <v>0</v>
      </c>
      <c r="R755" s="270">
        <f>IF(Y79&gt;0,ROUND(Y79,0),0)</f>
        <v>1408</v>
      </c>
      <c r="S755" s="270">
        <f>IF(Y80&gt;0,ROUND(Y80,0),0)</f>
        <v>12702</v>
      </c>
      <c r="T755" s="273">
        <f>IF(Y81&gt;0,ROUND(Y81,2),0)</f>
        <v>7.08</v>
      </c>
      <c r="U755" s="270"/>
      <c r="X755" s="270"/>
      <c r="Y755" s="270"/>
      <c r="Z755" s="270">
        <f t="shared" si="9"/>
        <v>491704</v>
      </c>
    </row>
    <row r="756" spans="1:26" ht="12.6" customHeight="1" x14ac:dyDescent="0.25">
      <c r="A756" s="207" t="str">
        <f>RIGHT($C$84,3)&amp;"*"&amp;RIGHT($C$83,4)&amp;"*"&amp;Z$55&amp;"*"&amp;"A"</f>
        <v>043*2018*7150*A</v>
      </c>
      <c r="B756" s="270">
        <f>ROUND(Z59,0)</f>
        <v>0</v>
      </c>
      <c r="C756" s="273">
        <f>ROUND(Z60,2)</f>
        <v>0</v>
      </c>
      <c r="D756" s="270">
        <f>ROUND(Z61,0)</f>
        <v>0</v>
      </c>
      <c r="E756" s="270">
        <f>ROUND(Z62,0)</f>
        <v>0</v>
      </c>
      <c r="F756" s="270">
        <f>ROUND(Z63,0)</f>
        <v>0</v>
      </c>
      <c r="G756" s="270">
        <f>ROUND(Z64,0)</f>
        <v>0</v>
      </c>
      <c r="H756" s="270">
        <f>ROUND(Z65,0)</f>
        <v>0</v>
      </c>
      <c r="I756" s="270">
        <f>ROUND(Z66,0)</f>
        <v>0</v>
      </c>
      <c r="J756" s="270">
        <f>ROUND(Z67,0)</f>
        <v>0</v>
      </c>
      <c r="K756" s="270">
        <f>ROUND(Z68,0)</f>
        <v>0</v>
      </c>
      <c r="L756" s="270">
        <f>ROUND(Z70,0)</f>
        <v>0</v>
      </c>
      <c r="M756" s="270">
        <f>ROUND(Z71,0)</f>
        <v>0</v>
      </c>
      <c r="N756" s="270">
        <f>ROUND(Z76,0)</f>
        <v>0</v>
      </c>
      <c r="O756" s="270">
        <f>ROUND(Z74,0)</f>
        <v>0</v>
      </c>
      <c r="P756" s="270">
        <f>IF(Z77&gt;0,ROUND(Z77,0),0)</f>
        <v>0</v>
      </c>
      <c r="Q756" s="270">
        <f>IF(Z78&gt;0,ROUND(Z78,0),0)</f>
        <v>0</v>
      </c>
      <c r="R756" s="270">
        <f>IF(Z79&gt;0,ROUND(Z79,0),0)</f>
        <v>0</v>
      </c>
      <c r="S756" s="270">
        <f>IF(Z80&gt;0,ROUND(Z80,0),0)</f>
        <v>0</v>
      </c>
      <c r="T756" s="273">
        <f>IF(Z81&gt;0,ROUND(Z81,2),0)</f>
        <v>0</v>
      </c>
      <c r="U756" s="270"/>
      <c r="X756" s="270"/>
      <c r="Y756" s="270"/>
      <c r="Z756" s="270">
        <f t="shared" si="9"/>
        <v>0</v>
      </c>
    </row>
    <row r="757" spans="1:26" ht="12.6" customHeight="1" x14ac:dyDescent="0.25">
      <c r="A757" s="207" t="str">
        <f>RIGHT($C$84,3)&amp;"*"&amp;RIGHT($C$83,4)&amp;"*"&amp;AA$55&amp;"*"&amp;"A"</f>
        <v>043*2018*7160*A</v>
      </c>
      <c r="B757" s="270">
        <f>ROUND(AA59,0)</f>
        <v>0</v>
      </c>
      <c r="C757" s="273">
        <f>ROUND(AA60,2)</f>
        <v>0</v>
      </c>
      <c r="D757" s="270">
        <f>ROUND(AA61,0)</f>
        <v>0</v>
      </c>
      <c r="E757" s="270">
        <f>ROUND(AA62,0)</f>
        <v>0</v>
      </c>
      <c r="F757" s="270">
        <f>ROUND(AA63,0)</f>
        <v>0</v>
      </c>
      <c r="G757" s="270">
        <f>ROUND(AA64,0)</f>
        <v>0</v>
      </c>
      <c r="H757" s="270">
        <f>ROUND(AA65,0)</f>
        <v>0</v>
      </c>
      <c r="I757" s="270">
        <f>ROUND(AA66,0)</f>
        <v>0</v>
      </c>
      <c r="J757" s="270">
        <f>ROUND(AA67,0)</f>
        <v>0</v>
      </c>
      <c r="K757" s="270">
        <f>ROUND(AA68,0)</f>
        <v>0</v>
      </c>
      <c r="L757" s="270">
        <f>ROUND(AA70,0)</f>
        <v>0</v>
      </c>
      <c r="M757" s="270">
        <f>ROUND(AA71,0)</f>
        <v>0</v>
      </c>
      <c r="N757" s="270">
        <f>ROUND(AA76,0)</f>
        <v>0</v>
      </c>
      <c r="O757" s="270">
        <f>ROUND(AA74,0)</f>
        <v>0</v>
      </c>
      <c r="P757" s="270">
        <f>IF(AA77&gt;0,ROUND(AA77,0),0)</f>
        <v>0</v>
      </c>
      <c r="Q757" s="270">
        <f>IF(AA78&gt;0,ROUND(AA78,0),0)</f>
        <v>0</v>
      </c>
      <c r="R757" s="270">
        <f>IF(AA79&gt;0,ROUND(AA79,0),0)</f>
        <v>0</v>
      </c>
      <c r="S757" s="270">
        <f>IF(AA80&gt;0,ROUND(AA80,0),0)</f>
        <v>0</v>
      </c>
      <c r="T757" s="273">
        <f>IF(AA81&gt;0,ROUND(AA81,2),0)</f>
        <v>0</v>
      </c>
      <c r="U757" s="270"/>
      <c r="X757" s="270"/>
      <c r="Y757" s="270"/>
      <c r="Z757" s="270">
        <f t="shared" si="9"/>
        <v>0</v>
      </c>
    </row>
    <row r="758" spans="1:26" ht="12.6" customHeight="1" x14ac:dyDescent="0.25">
      <c r="A758" s="207" t="str">
        <f>RIGHT($C$84,3)&amp;"*"&amp;RIGHT($C$83,4)&amp;"*"&amp;AB$55&amp;"*"&amp;"A"</f>
        <v>043*2018*7170*A</v>
      </c>
      <c r="B758" s="270"/>
      <c r="C758" s="273">
        <f>ROUND(AB60,2)</f>
        <v>2</v>
      </c>
      <c r="D758" s="270">
        <f>ROUND(AB61,0)</f>
        <v>209047</v>
      </c>
      <c r="E758" s="270">
        <f>ROUND(AB62,0)</f>
        <v>40857</v>
      </c>
      <c r="F758" s="270">
        <f>ROUND(AB63,0)</f>
        <v>0</v>
      </c>
      <c r="G758" s="270">
        <f>ROUND(AB64,0)</f>
        <v>286476</v>
      </c>
      <c r="H758" s="270">
        <f>ROUND(AB65,0)</f>
        <v>0</v>
      </c>
      <c r="I758" s="270">
        <f>ROUND(AB66,0)</f>
        <v>173936</v>
      </c>
      <c r="J758" s="270">
        <f>ROUND(AB67,0)</f>
        <v>3888</v>
      </c>
      <c r="K758" s="270">
        <f>ROUND(AB68,0)</f>
        <v>14006</v>
      </c>
      <c r="L758" s="270">
        <f>ROUND(AB70,0)</f>
        <v>13781</v>
      </c>
      <c r="M758" s="270">
        <f>ROUND(AB71,0)</f>
        <v>407120</v>
      </c>
      <c r="N758" s="270">
        <f>ROUND(AB76,0)</f>
        <v>3466123</v>
      </c>
      <c r="O758" s="270">
        <f>ROUND(AB74,0)</f>
        <v>2215457</v>
      </c>
      <c r="P758" s="270">
        <f>IF(AB77&gt;0,ROUND(AB77,0),0)</f>
        <v>406</v>
      </c>
      <c r="Q758" s="270">
        <f>IF(AB78&gt;0,ROUND(AB78,0),0)</f>
        <v>0</v>
      </c>
      <c r="R758" s="270">
        <f>IF(AB79&gt;0,ROUND(AB79,0),0)</f>
        <v>406</v>
      </c>
      <c r="S758" s="270">
        <f>IF(AB80&gt;0,ROUND(AB80,0),0)</f>
        <v>0</v>
      </c>
      <c r="T758" s="273">
        <f>IF(AB81&gt;0,ROUND(AB81,2),0)</f>
        <v>2</v>
      </c>
      <c r="U758" s="270"/>
      <c r="X758" s="270"/>
      <c r="Y758" s="270"/>
      <c r="Z758" s="270">
        <f t="shared" si="9"/>
        <v>172876</v>
      </c>
    </row>
    <row r="759" spans="1:26" ht="12.6" customHeight="1" x14ac:dyDescent="0.25">
      <c r="A759" s="207" t="str">
        <f>RIGHT($C$84,3)&amp;"*"&amp;RIGHT($C$83,4)&amp;"*"&amp;AC$55&amp;"*"&amp;"A"</f>
        <v>043*2018*7180*A</v>
      </c>
      <c r="B759" s="270">
        <f>ROUND(AC59,0)</f>
        <v>1798</v>
      </c>
      <c r="C759" s="273">
        <f>ROUND(AC60,2)</f>
        <v>1.1100000000000001</v>
      </c>
      <c r="D759" s="270">
        <f>ROUND(AC61,0)</f>
        <v>113825</v>
      </c>
      <c r="E759" s="270">
        <f>ROUND(AC62,0)</f>
        <v>22246</v>
      </c>
      <c r="F759" s="270">
        <f>ROUND(AC63,0)</f>
        <v>0</v>
      </c>
      <c r="G759" s="270">
        <f>ROUND(AC64,0)</f>
        <v>17764</v>
      </c>
      <c r="H759" s="270">
        <f>ROUND(AC65,0)</f>
        <v>0</v>
      </c>
      <c r="I759" s="270">
        <f>ROUND(AC66,0)</f>
        <v>0</v>
      </c>
      <c r="J759" s="270">
        <f>ROUND(AC67,0)</f>
        <v>771</v>
      </c>
      <c r="K759" s="270">
        <f>ROUND(AC68,0)</f>
        <v>3978</v>
      </c>
      <c r="L759" s="270">
        <f>ROUND(AC70,0)</f>
        <v>3051</v>
      </c>
      <c r="M759" s="270">
        <f>ROUND(AC71,0)</f>
        <v>0</v>
      </c>
      <c r="N759" s="270">
        <f>ROUND(AC76,0)</f>
        <v>936622</v>
      </c>
      <c r="O759" s="270">
        <f>ROUND(AC74,0)</f>
        <v>537321</v>
      </c>
      <c r="P759" s="270">
        <f>IF(AC77&gt;0,ROUND(AC77,0),0)</f>
        <v>143</v>
      </c>
      <c r="Q759" s="270">
        <f>IF(AC78&gt;0,ROUND(AC78,0),0)</f>
        <v>0</v>
      </c>
      <c r="R759" s="270">
        <f>IF(AC79&gt;0,ROUND(AC79,0),0)</f>
        <v>143</v>
      </c>
      <c r="S759" s="270">
        <f>IF(AC80&gt;0,ROUND(AC80,0),0)</f>
        <v>0</v>
      </c>
      <c r="T759" s="273">
        <f>IF(AC81&gt;0,ROUND(AC81,2),0)</f>
        <v>1.1100000000000001</v>
      </c>
      <c r="U759" s="270"/>
      <c r="X759" s="270"/>
      <c r="Y759" s="270"/>
      <c r="Z759" s="270">
        <f t="shared" si="9"/>
        <v>60498</v>
      </c>
    </row>
    <row r="760" spans="1:26" ht="12.6" customHeight="1" x14ac:dyDescent="0.25">
      <c r="A760" s="207" t="str">
        <f>RIGHT($C$84,3)&amp;"*"&amp;RIGHT($C$83,4)&amp;"*"&amp;AD$55&amp;"*"&amp;"A"</f>
        <v>043*2018*7190*A</v>
      </c>
      <c r="B760" s="270">
        <f>ROUND(AD59,0)</f>
        <v>0</v>
      </c>
      <c r="C760" s="273">
        <f>ROUND(AD60,2)</f>
        <v>0</v>
      </c>
      <c r="D760" s="270">
        <f>ROUND(AD61,0)</f>
        <v>0</v>
      </c>
      <c r="E760" s="270">
        <f>ROUND(AD62,0)</f>
        <v>0</v>
      </c>
      <c r="F760" s="270">
        <f>ROUND(AD63,0)</f>
        <v>0</v>
      </c>
      <c r="G760" s="270">
        <f>ROUND(AD64,0)</f>
        <v>0</v>
      </c>
      <c r="H760" s="270">
        <f>ROUND(AD65,0)</f>
        <v>0</v>
      </c>
      <c r="I760" s="270">
        <f>ROUND(AD66,0)</f>
        <v>0</v>
      </c>
      <c r="J760" s="270">
        <f>ROUND(AD67,0)</f>
        <v>0</v>
      </c>
      <c r="K760" s="270">
        <f>ROUND(AD68,0)</f>
        <v>0</v>
      </c>
      <c r="L760" s="270">
        <f>ROUND(AD70,0)</f>
        <v>0</v>
      </c>
      <c r="M760" s="270">
        <f>ROUND(AD71,0)</f>
        <v>0</v>
      </c>
      <c r="N760" s="270">
        <f>ROUND(AD76,0)</f>
        <v>0</v>
      </c>
      <c r="O760" s="270">
        <f>ROUND(AD74,0)</f>
        <v>0</v>
      </c>
      <c r="P760" s="270">
        <f>IF(AD77&gt;0,ROUND(AD77,0),0)</f>
        <v>0</v>
      </c>
      <c r="Q760" s="270">
        <f>IF(AD78&gt;0,ROUND(AD78,0),0)</f>
        <v>0</v>
      </c>
      <c r="R760" s="270">
        <f>IF(AD79&gt;0,ROUND(AD79,0),0)</f>
        <v>0</v>
      </c>
      <c r="S760" s="270">
        <f>IF(AD80&gt;0,ROUND(AD80,0),0)</f>
        <v>0</v>
      </c>
      <c r="T760" s="273">
        <f>IF(AD81&gt;0,ROUND(AD81,2),0)</f>
        <v>0</v>
      </c>
      <c r="U760" s="270"/>
      <c r="X760" s="270"/>
      <c r="Y760" s="270"/>
      <c r="Z760" s="270">
        <f t="shared" si="9"/>
        <v>0</v>
      </c>
    </row>
    <row r="761" spans="1:26" ht="12.6" customHeight="1" x14ac:dyDescent="0.25">
      <c r="A761" s="207" t="str">
        <f>RIGHT($C$84,3)&amp;"*"&amp;RIGHT($C$83,4)&amp;"*"&amp;AE$55&amp;"*"&amp;"A"</f>
        <v>043*2018*7200*A</v>
      </c>
      <c r="B761" s="270">
        <f>ROUND(AE59,0)</f>
        <v>19913</v>
      </c>
      <c r="C761" s="273">
        <f>ROUND(AE60,2)</f>
        <v>5.23</v>
      </c>
      <c r="D761" s="270">
        <f>ROUND(AE61,0)</f>
        <v>431807</v>
      </c>
      <c r="E761" s="270">
        <f>ROUND(AE62,0)</f>
        <v>84393</v>
      </c>
      <c r="F761" s="270">
        <f>ROUND(AE63,0)</f>
        <v>0</v>
      </c>
      <c r="G761" s="270">
        <f>ROUND(AE64,0)</f>
        <v>6164</v>
      </c>
      <c r="H761" s="270">
        <f>ROUND(AE65,0)</f>
        <v>1271</v>
      </c>
      <c r="I761" s="270">
        <f>ROUND(AE66,0)</f>
        <v>171</v>
      </c>
      <c r="J761" s="270">
        <f>ROUND(AE67,0)</f>
        <v>6223</v>
      </c>
      <c r="K761" s="270">
        <f>ROUND(AE68,0)</f>
        <v>1331</v>
      </c>
      <c r="L761" s="270">
        <f>ROUND(AE70,0)</f>
        <v>7647</v>
      </c>
      <c r="M761" s="270">
        <f>ROUND(AE71,0)</f>
        <v>0</v>
      </c>
      <c r="N761" s="270">
        <f>ROUND(AE76,0)</f>
        <v>1178398</v>
      </c>
      <c r="O761" s="270">
        <f>ROUND(AE74,0)</f>
        <v>173816</v>
      </c>
      <c r="P761" s="270">
        <f>IF(AE77&gt;0,ROUND(AE77,0),0)</f>
        <v>1154</v>
      </c>
      <c r="Q761" s="270">
        <f>IF(AE78&gt;0,ROUND(AE78,0),0)</f>
        <v>0</v>
      </c>
      <c r="R761" s="270">
        <f>IF(AE79&gt;0,ROUND(AE79,0),0)</f>
        <v>1154</v>
      </c>
      <c r="S761" s="270">
        <f>IF(AE80&gt;0,ROUND(AE80,0),0)</f>
        <v>0</v>
      </c>
      <c r="T761" s="273">
        <f>IF(AE81&gt;0,ROUND(AE81,2),0)</f>
        <v>5.23</v>
      </c>
      <c r="U761" s="270"/>
      <c r="X761" s="270"/>
      <c r="Y761" s="270"/>
      <c r="Z761" s="270">
        <f t="shared" si="9"/>
        <v>193394</v>
      </c>
    </row>
    <row r="762" spans="1:26" ht="12.6" customHeight="1" x14ac:dyDescent="0.25">
      <c r="A762" s="207" t="str">
        <f>RIGHT($C$84,3)&amp;"*"&amp;RIGHT($C$83,4)&amp;"*"&amp;AF$55&amp;"*"&amp;"A"</f>
        <v>043*2018*7220*A</v>
      </c>
      <c r="B762" s="270">
        <f>ROUND(AF59,0)</f>
        <v>0</v>
      </c>
      <c r="C762" s="273">
        <f>ROUND(AF60,2)</f>
        <v>0</v>
      </c>
      <c r="D762" s="270">
        <f>ROUND(AF61,0)</f>
        <v>0</v>
      </c>
      <c r="E762" s="270">
        <f>ROUND(AF62,0)</f>
        <v>0</v>
      </c>
      <c r="F762" s="270">
        <f>ROUND(AF63,0)</f>
        <v>0</v>
      </c>
      <c r="G762" s="270">
        <f>ROUND(AF64,0)</f>
        <v>0</v>
      </c>
      <c r="H762" s="270">
        <f>ROUND(AF65,0)</f>
        <v>0</v>
      </c>
      <c r="I762" s="270">
        <f>ROUND(AF66,0)</f>
        <v>0</v>
      </c>
      <c r="J762" s="270">
        <f>ROUND(AF67,0)</f>
        <v>0</v>
      </c>
      <c r="K762" s="270">
        <f>ROUND(AF68,0)</f>
        <v>0</v>
      </c>
      <c r="L762" s="270">
        <f>ROUND(AF70,0)</f>
        <v>0</v>
      </c>
      <c r="M762" s="270">
        <f>ROUND(AF71,0)</f>
        <v>0</v>
      </c>
      <c r="N762" s="270">
        <f>ROUND(AF76,0)</f>
        <v>0</v>
      </c>
      <c r="O762" s="270">
        <f>ROUND(AF74,0)</f>
        <v>0</v>
      </c>
      <c r="P762" s="270">
        <f>IF(AF77&gt;0,ROUND(AF77,0),0)</f>
        <v>0</v>
      </c>
      <c r="Q762" s="270">
        <f>IF(AF78&gt;0,ROUND(AF78,0),0)</f>
        <v>0</v>
      </c>
      <c r="R762" s="270">
        <f>IF(AF79&gt;0,ROUND(AF79,0),0)</f>
        <v>0</v>
      </c>
      <c r="S762" s="270">
        <f>IF(AF80&gt;0,ROUND(AF80,0),0)</f>
        <v>0</v>
      </c>
      <c r="T762" s="273">
        <f>IF(AF81&gt;0,ROUND(AF81,2),0)</f>
        <v>0</v>
      </c>
      <c r="U762" s="270"/>
      <c r="X762" s="270"/>
      <c r="Y762" s="270"/>
      <c r="Z762" s="270">
        <f t="shared" si="9"/>
        <v>0</v>
      </c>
    </row>
    <row r="763" spans="1:26" ht="12.6" customHeight="1" x14ac:dyDescent="0.25">
      <c r="A763" s="207" t="str">
        <f>RIGHT($C$84,3)&amp;"*"&amp;RIGHT($C$83,4)&amp;"*"&amp;AG$55&amp;"*"&amp;"A"</f>
        <v>043*2018*7230*A</v>
      </c>
      <c r="B763" s="270">
        <f>ROUND(AG59,0)</f>
        <v>5373</v>
      </c>
      <c r="C763" s="273">
        <f>ROUND(AG60,2)</f>
        <v>11.65</v>
      </c>
      <c r="D763" s="270">
        <f>ROUND(AG61,0)</f>
        <v>1607647</v>
      </c>
      <c r="E763" s="270">
        <f>ROUND(AG62,0)</f>
        <v>314202</v>
      </c>
      <c r="F763" s="270">
        <f>ROUND(AG63,0)</f>
        <v>117498</v>
      </c>
      <c r="G763" s="270">
        <f>ROUND(AG64,0)</f>
        <v>37378</v>
      </c>
      <c r="H763" s="270">
        <f>ROUND(AG65,0)</f>
        <v>2123</v>
      </c>
      <c r="I763" s="270">
        <f>ROUND(AG66,0)</f>
        <v>8912</v>
      </c>
      <c r="J763" s="270">
        <f>ROUND(AG67,0)</f>
        <v>27106</v>
      </c>
      <c r="K763" s="270">
        <f>ROUND(AG68,0)</f>
        <v>13977</v>
      </c>
      <c r="L763" s="270">
        <f>ROUND(AG70,0)</f>
        <v>83240</v>
      </c>
      <c r="M763" s="270">
        <f>ROUND(AG71,0)</f>
        <v>0</v>
      </c>
      <c r="N763" s="270">
        <f>ROUND(AG76,0)</f>
        <v>8290940</v>
      </c>
      <c r="O763" s="270">
        <f>ROUND(AG74,0)</f>
        <v>152352</v>
      </c>
      <c r="P763" s="270">
        <f>IF(AG77&gt;0,ROUND(AG77,0),0)</f>
        <v>1425</v>
      </c>
      <c r="Q763" s="270">
        <f>IF(AG78&gt;0,ROUND(AG78,0),0)</f>
        <v>0</v>
      </c>
      <c r="R763" s="270">
        <f>IF(AG79&gt;0,ROUND(AG79,0),0)</f>
        <v>1425</v>
      </c>
      <c r="S763" s="270">
        <f>IF(AG80&gt;0,ROUND(AG80,0),0)</f>
        <v>11460</v>
      </c>
      <c r="T763" s="273">
        <f>IF(AG81&gt;0,ROUND(AG81,2),0)</f>
        <v>11.65</v>
      </c>
      <c r="U763" s="270"/>
      <c r="X763" s="270"/>
      <c r="Y763" s="270"/>
      <c r="Z763" s="270">
        <f t="shared" si="9"/>
        <v>683360</v>
      </c>
    </row>
    <row r="764" spans="1:26" ht="12.6" customHeight="1" x14ac:dyDescent="0.25">
      <c r="A764" s="207" t="str">
        <f>RIGHT($C$84,3)&amp;"*"&amp;RIGHT($C$83,4)&amp;"*"&amp;AH$55&amp;"*"&amp;"A"</f>
        <v>043*2018*7240*A</v>
      </c>
      <c r="B764" s="270">
        <f>ROUND(AH59,0)</f>
        <v>1359</v>
      </c>
      <c r="C764" s="273">
        <f>ROUND(AH60,2)</f>
        <v>22.01</v>
      </c>
      <c r="D764" s="270">
        <f>ROUND(AH61,0)</f>
        <v>1149277</v>
      </c>
      <c r="E764" s="270">
        <f>ROUND(AH62,0)</f>
        <v>224617</v>
      </c>
      <c r="F764" s="270">
        <f>ROUND(AH63,0)</f>
        <v>0</v>
      </c>
      <c r="G764" s="270">
        <f>ROUND(AH64,0)</f>
        <v>45029</v>
      </c>
      <c r="H764" s="270">
        <f>ROUND(AH65,0)</f>
        <v>11535</v>
      </c>
      <c r="I764" s="270">
        <f>ROUND(AH66,0)</f>
        <v>95886</v>
      </c>
      <c r="J764" s="270">
        <f>ROUND(AH67,0)</f>
        <v>33729</v>
      </c>
      <c r="K764" s="270">
        <f>ROUND(AH68,0)</f>
        <v>5095</v>
      </c>
      <c r="L764" s="270">
        <f>ROUND(AH70,0)</f>
        <v>64115</v>
      </c>
      <c r="M764" s="270">
        <f>ROUND(AH71,0)</f>
        <v>61776</v>
      </c>
      <c r="N764" s="270">
        <f>ROUND(AH76,0)</f>
        <v>2021573</v>
      </c>
      <c r="O764" s="270">
        <f>ROUND(AH74,0)</f>
        <v>0</v>
      </c>
      <c r="P764" s="270">
        <f>IF(AH77&gt;0,ROUND(AH77,0),0)</f>
        <v>1246</v>
      </c>
      <c r="Q764" s="270">
        <f>IF(AH78&gt;0,ROUND(AH78,0),0)</f>
        <v>0</v>
      </c>
      <c r="R764" s="270">
        <f>IF(AH79&gt;0,ROUND(AH79,0),0)</f>
        <v>1246</v>
      </c>
      <c r="S764" s="270">
        <f>IF(AH80&gt;0,ROUND(AH80,0),0)</f>
        <v>5462</v>
      </c>
      <c r="T764" s="273">
        <f>IF(AH81&gt;0,ROUND(AH81,2),0)</f>
        <v>22.01</v>
      </c>
      <c r="U764" s="270"/>
      <c r="X764" s="270"/>
      <c r="Y764" s="270"/>
      <c r="Z764" s="270">
        <f t="shared" si="9"/>
        <v>417781</v>
      </c>
    </row>
    <row r="765" spans="1:26" ht="12.6" customHeight="1" x14ac:dyDescent="0.25">
      <c r="A765" s="207" t="str">
        <f>RIGHT($C$84,3)&amp;"*"&amp;RIGHT($C$83,4)&amp;"*"&amp;AI$55&amp;"*"&amp;"A"</f>
        <v>043*2018*7250*A</v>
      </c>
      <c r="B765" s="270">
        <f>ROUND(AI59,0)</f>
        <v>0</v>
      </c>
      <c r="C765" s="273">
        <f>ROUND(AI60,2)</f>
        <v>0</v>
      </c>
      <c r="D765" s="270">
        <f>ROUND(AI61,0)</f>
        <v>0</v>
      </c>
      <c r="E765" s="270">
        <f>ROUND(AI62,0)</f>
        <v>0</v>
      </c>
      <c r="F765" s="270">
        <f>ROUND(AI63,0)</f>
        <v>0</v>
      </c>
      <c r="G765" s="270">
        <f>ROUND(AI64,0)</f>
        <v>0</v>
      </c>
      <c r="H765" s="270">
        <f>ROUND(AI65,0)</f>
        <v>0</v>
      </c>
      <c r="I765" s="270">
        <f>ROUND(AI66,0)</f>
        <v>0</v>
      </c>
      <c r="J765" s="270">
        <f>ROUND(AI67,0)</f>
        <v>0</v>
      </c>
      <c r="K765" s="270">
        <f>ROUND(AI68,0)</f>
        <v>0</v>
      </c>
      <c r="L765" s="270">
        <f>ROUND(AI70,0)</f>
        <v>0</v>
      </c>
      <c r="M765" s="270">
        <f>ROUND(AI71,0)</f>
        <v>0</v>
      </c>
      <c r="N765" s="270">
        <f>ROUND(AI76,0)</f>
        <v>0</v>
      </c>
      <c r="O765" s="270">
        <f>ROUND(AI74,0)</f>
        <v>0</v>
      </c>
      <c r="P765" s="270">
        <f>IF(AI77&gt;0,ROUND(AI77,0),0)</f>
        <v>0</v>
      </c>
      <c r="Q765" s="270">
        <f>IF(AI78&gt;0,ROUND(AI78,0),0)</f>
        <v>0</v>
      </c>
      <c r="R765" s="270">
        <f>IF(AI79&gt;0,ROUND(AI79,0),0)</f>
        <v>0</v>
      </c>
      <c r="S765" s="270">
        <f>IF(AI80&gt;0,ROUND(AI80,0),0)</f>
        <v>0</v>
      </c>
      <c r="T765" s="273">
        <f>IF(AI81&gt;0,ROUND(AI81,2),0)</f>
        <v>0</v>
      </c>
      <c r="U765" s="270"/>
      <c r="X765" s="270"/>
      <c r="Y765" s="270"/>
      <c r="Z765" s="270">
        <f t="shared" si="9"/>
        <v>0</v>
      </c>
    </row>
    <row r="766" spans="1:26" ht="12.6" customHeight="1" x14ac:dyDescent="0.25">
      <c r="A766" s="207" t="str">
        <f>RIGHT($C$84,3)&amp;"*"&amp;RIGHT($C$83,4)&amp;"*"&amp;AJ$55&amp;"*"&amp;"A"</f>
        <v>043*2018*7260*A</v>
      </c>
      <c r="B766" s="270">
        <f>ROUND(AJ59,0)</f>
        <v>0</v>
      </c>
      <c r="C766" s="273">
        <f>ROUND(AJ60,2)</f>
        <v>37.979999999999997</v>
      </c>
      <c r="D766" s="270">
        <f>ROUND(AJ61,0)</f>
        <v>4124409</v>
      </c>
      <c r="E766" s="270">
        <f>ROUND(AJ62,0)</f>
        <v>806083</v>
      </c>
      <c r="F766" s="270">
        <f>ROUND(AJ63,0)</f>
        <v>0</v>
      </c>
      <c r="G766" s="270">
        <f>ROUND(AJ64,0)</f>
        <v>250169</v>
      </c>
      <c r="H766" s="270">
        <f>ROUND(AJ65,0)</f>
        <v>22945</v>
      </c>
      <c r="I766" s="270">
        <f>ROUND(AJ66,0)</f>
        <v>432798</v>
      </c>
      <c r="J766" s="270">
        <f>ROUND(AJ67,0)</f>
        <v>66120</v>
      </c>
      <c r="K766" s="270">
        <f>ROUND(AJ68,0)</f>
        <v>205977</v>
      </c>
      <c r="L766" s="270">
        <f>ROUND(AJ70,0)</f>
        <v>88379</v>
      </c>
      <c r="M766" s="270">
        <f>ROUND(AJ71,0)</f>
        <v>0</v>
      </c>
      <c r="N766" s="270">
        <f>ROUND(AJ76,0)</f>
        <v>210989</v>
      </c>
      <c r="O766" s="270">
        <f>ROUND(AJ74,0)</f>
        <v>185401</v>
      </c>
      <c r="P766" s="270">
        <f>IF(AJ77&gt;0,ROUND(AJ77,0),0)</f>
        <v>631</v>
      </c>
      <c r="Q766" s="270">
        <f>IF(AJ78&gt;0,ROUND(AJ78,0),0)</f>
        <v>0</v>
      </c>
      <c r="R766" s="270">
        <f>IF(AJ79&gt;0,ROUND(AJ79,0),0)</f>
        <v>631</v>
      </c>
      <c r="S766" s="270">
        <f>IF(AJ80&gt;0,ROUND(AJ80,0),0)</f>
        <v>0</v>
      </c>
      <c r="T766" s="273">
        <f>IF(AJ81&gt;0,ROUND(AJ81,2),0)</f>
        <v>37.979999999999997</v>
      </c>
      <c r="U766" s="270"/>
      <c r="X766" s="270"/>
      <c r="Y766" s="270"/>
      <c r="Z766" s="270">
        <f t="shared" si="9"/>
        <v>1014266</v>
      </c>
    </row>
    <row r="767" spans="1:26" ht="12.6" customHeight="1" x14ac:dyDescent="0.25">
      <c r="A767" s="207" t="str">
        <f>RIGHT($C$84,3)&amp;"*"&amp;RIGHT($C$83,4)&amp;"*"&amp;AK$55&amp;"*"&amp;"A"</f>
        <v>043*2018*7310*A</v>
      </c>
      <c r="B767" s="270">
        <f>ROUND(AK59,0)</f>
        <v>0</v>
      </c>
      <c r="C767" s="273">
        <f>ROUND(AK60,2)</f>
        <v>1.06</v>
      </c>
      <c r="D767" s="270">
        <f>ROUND(AK61,0)</f>
        <v>92213</v>
      </c>
      <c r="E767" s="270">
        <f>ROUND(AK62,0)</f>
        <v>18022</v>
      </c>
      <c r="F767" s="270">
        <f>ROUND(AK63,0)</f>
        <v>0</v>
      </c>
      <c r="G767" s="270">
        <f>ROUND(AK64,0)</f>
        <v>368</v>
      </c>
      <c r="H767" s="270">
        <f>ROUND(AK65,0)</f>
        <v>0</v>
      </c>
      <c r="I767" s="270">
        <f>ROUND(AK66,0)</f>
        <v>0</v>
      </c>
      <c r="J767" s="270">
        <f>ROUND(AK67,0)</f>
        <v>0</v>
      </c>
      <c r="K767" s="270">
        <f>ROUND(AK68,0)</f>
        <v>0</v>
      </c>
      <c r="L767" s="270">
        <f>ROUND(AK70,0)</f>
        <v>1002</v>
      </c>
      <c r="M767" s="270">
        <f>ROUND(AK71,0)</f>
        <v>0</v>
      </c>
      <c r="N767" s="270">
        <f>ROUND(AK76,0)</f>
        <v>325844</v>
      </c>
      <c r="O767" s="270">
        <f>ROUND(AK74,0)</f>
        <v>73266</v>
      </c>
      <c r="P767" s="270">
        <f>IF(AK77&gt;0,ROUND(AK77,0),0)</f>
        <v>0</v>
      </c>
      <c r="Q767" s="270">
        <f>IF(AK78&gt;0,ROUND(AK78,0),0)</f>
        <v>0</v>
      </c>
      <c r="R767" s="270">
        <f>IF(AK79&gt;0,ROUND(AK79,0),0)</f>
        <v>0</v>
      </c>
      <c r="S767" s="270">
        <f>IF(AK80&gt;0,ROUND(AK80,0),0)</f>
        <v>0</v>
      </c>
      <c r="T767" s="273">
        <f>IF(AK81&gt;0,ROUND(AK81,2),0)</f>
        <v>1.06</v>
      </c>
      <c r="U767" s="270"/>
      <c r="X767" s="270"/>
      <c r="Y767" s="270"/>
      <c r="Z767" s="270">
        <f t="shared" si="9"/>
        <v>27624</v>
      </c>
    </row>
    <row r="768" spans="1:26" ht="12.6" customHeight="1" x14ac:dyDescent="0.25">
      <c r="A768" s="207" t="str">
        <f>RIGHT($C$84,3)&amp;"*"&amp;RIGHT($C$83,4)&amp;"*"&amp;AL$55&amp;"*"&amp;"A"</f>
        <v>043*2018*7320*A</v>
      </c>
      <c r="B768" s="270">
        <f>ROUND(AL59,0)</f>
        <v>0</v>
      </c>
      <c r="C768" s="273">
        <f>ROUND(AL60,2)</f>
        <v>0</v>
      </c>
      <c r="D768" s="270">
        <f>ROUND(AL61,0)</f>
        <v>0</v>
      </c>
      <c r="E768" s="270">
        <f>ROUND(AL62,0)</f>
        <v>0</v>
      </c>
      <c r="F768" s="270">
        <f>ROUND(AL63,0)</f>
        <v>0</v>
      </c>
      <c r="G768" s="270">
        <f>ROUND(AL64,0)</f>
        <v>0</v>
      </c>
      <c r="H768" s="270">
        <f>ROUND(AL65,0)</f>
        <v>0</v>
      </c>
      <c r="I768" s="270">
        <f>ROUND(AL66,0)</f>
        <v>0</v>
      </c>
      <c r="J768" s="270">
        <f>ROUND(AL67,0)</f>
        <v>0</v>
      </c>
      <c r="K768" s="270">
        <f>ROUND(AL68,0)</f>
        <v>0</v>
      </c>
      <c r="L768" s="270">
        <f>ROUND(AL70,0)</f>
        <v>0</v>
      </c>
      <c r="M768" s="270">
        <f>ROUND(AL71,0)</f>
        <v>0</v>
      </c>
      <c r="N768" s="270">
        <f>ROUND(AL76,0)</f>
        <v>0</v>
      </c>
      <c r="O768" s="270">
        <f>ROUND(AL74,0)</f>
        <v>0</v>
      </c>
      <c r="P768" s="270">
        <f>IF(AL77&gt;0,ROUND(AL77,0),0)</f>
        <v>0</v>
      </c>
      <c r="Q768" s="270">
        <f>IF(AL78&gt;0,ROUND(AL78,0),0)</f>
        <v>0</v>
      </c>
      <c r="R768" s="270">
        <f>IF(AL79&gt;0,ROUND(AL79,0),0)</f>
        <v>0</v>
      </c>
      <c r="S768" s="270">
        <f>IF(AL80&gt;0,ROUND(AL80,0),0)</f>
        <v>0</v>
      </c>
      <c r="T768" s="273">
        <f>IF(AL81&gt;0,ROUND(AL81,2),0)</f>
        <v>0</v>
      </c>
      <c r="U768" s="270"/>
      <c r="X768" s="270"/>
      <c r="Y768" s="270"/>
      <c r="Z768" s="270">
        <f t="shared" si="9"/>
        <v>0</v>
      </c>
    </row>
    <row r="769" spans="1:26" ht="12.6" customHeight="1" x14ac:dyDescent="0.25">
      <c r="A769" s="207" t="str">
        <f>RIGHT($C$84,3)&amp;"*"&amp;RIGHT($C$83,4)&amp;"*"&amp;AM$55&amp;"*"&amp;"A"</f>
        <v>043*2018*7330*A</v>
      </c>
      <c r="B769" s="270">
        <f>ROUND(AM59,0)</f>
        <v>0</v>
      </c>
      <c r="C769" s="273">
        <f>ROUND(AM60,2)</f>
        <v>0</v>
      </c>
      <c r="D769" s="270">
        <f>ROUND(AM61,0)</f>
        <v>0</v>
      </c>
      <c r="E769" s="270">
        <f>ROUND(AM62,0)</f>
        <v>0</v>
      </c>
      <c r="F769" s="270">
        <f>ROUND(AM63,0)</f>
        <v>0</v>
      </c>
      <c r="G769" s="270">
        <f>ROUND(AM64,0)</f>
        <v>0</v>
      </c>
      <c r="H769" s="270">
        <f>ROUND(AM65,0)</f>
        <v>0</v>
      </c>
      <c r="I769" s="270">
        <f>ROUND(AM66,0)</f>
        <v>0</v>
      </c>
      <c r="J769" s="270">
        <f>ROUND(AM67,0)</f>
        <v>0</v>
      </c>
      <c r="K769" s="270">
        <f>ROUND(AM68,0)</f>
        <v>0</v>
      </c>
      <c r="L769" s="270">
        <f>ROUND(AM70,0)</f>
        <v>0</v>
      </c>
      <c r="M769" s="270">
        <f>ROUND(AM71,0)</f>
        <v>0</v>
      </c>
      <c r="N769" s="270">
        <f>ROUND(AM76,0)</f>
        <v>0</v>
      </c>
      <c r="O769" s="270">
        <f>ROUND(AM74,0)</f>
        <v>0</v>
      </c>
      <c r="P769" s="270">
        <f>IF(AM77&gt;0,ROUND(AM77,0),0)</f>
        <v>0</v>
      </c>
      <c r="Q769" s="270">
        <f>IF(AM78&gt;0,ROUND(AM78,0),0)</f>
        <v>0</v>
      </c>
      <c r="R769" s="270">
        <f>IF(AM79&gt;0,ROUND(AM79,0),0)</f>
        <v>0</v>
      </c>
      <c r="S769" s="270">
        <f>IF(AM80&gt;0,ROUND(AM80,0),0)</f>
        <v>0</v>
      </c>
      <c r="T769" s="273">
        <f>IF(AM81&gt;0,ROUND(AM81,2),0)</f>
        <v>0</v>
      </c>
      <c r="U769" s="270"/>
      <c r="X769" s="270"/>
      <c r="Y769" s="270"/>
      <c r="Z769" s="270">
        <f t="shared" si="9"/>
        <v>0</v>
      </c>
    </row>
    <row r="770" spans="1:26" ht="12.6" customHeight="1" x14ac:dyDescent="0.25">
      <c r="A770" s="207" t="str">
        <f>RIGHT($C$84,3)&amp;"*"&amp;RIGHT($C$83,4)&amp;"*"&amp;AN$55&amp;"*"&amp;"A"</f>
        <v>043*2018*7340*A</v>
      </c>
      <c r="B770" s="270">
        <f>ROUND(AN59,0)</f>
        <v>0</v>
      </c>
      <c r="C770" s="273">
        <f>ROUND(AN60,2)</f>
        <v>0</v>
      </c>
      <c r="D770" s="270">
        <f>ROUND(AN61,0)</f>
        <v>0</v>
      </c>
      <c r="E770" s="270">
        <f>ROUND(AN62,0)</f>
        <v>0</v>
      </c>
      <c r="F770" s="270">
        <f>ROUND(AN63,0)</f>
        <v>0</v>
      </c>
      <c r="G770" s="270">
        <f>ROUND(AN64,0)</f>
        <v>0</v>
      </c>
      <c r="H770" s="270">
        <f>ROUND(AN65,0)</f>
        <v>0</v>
      </c>
      <c r="I770" s="270">
        <f>ROUND(AN66,0)</f>
        <v>0</v>
      </c>
      <c r="J770" s="270">
        <f>ROUND(AN67,0)</f>
        <v>0</v>
      </c>
      <c r="K770" s="270">
        <f>ROUND(AN68,0)</f>
        <v>0</v>
      </c>
      <c r="L770" s="270">
        <f>ROUND(AN70,0)</f>
        <v>0</v>
      </c>
      <c r="M770" s="270">
        <f>ROUND(AN71,0)</f>
        <v>0</v>
      </c>
      <c r="N770" s="270">
        <f>ROUND(AN76,0)</f>
        <v>0</v>
      </c>
      <c r="O770" s="270">
        <f>ROUND(AN74,0)</f>
        <v>0</v>
      </c>
      <c r="P770" s="270">
        <f>IF(AN77&gt;0,ROUND(AN77,0),0)</f>
        <v>0</v>
      </c>
      <c r="Q770" s="270">
        <f>IF(AN78&gt;0,ROUND(AN78,0),0)</f>
        <v>0</v>
      </c>
      <c r="R770" s="270">
        <f>IF(AN79&gt;0,ROUND(AN79,0),0)</f>
        <v>0</v>
      </c>
      <c r="S770" s="270">
        <f>IF(AN80&gt;0,ROUND(AN80,0),0)</f>
        <v>0</v>
      </c>
      <c r="T770" s="273">
        <f>IF(AN81&gt;0,ROUND(AN81,2),0)</f>
        <v>0</v>
      </c>
      <c r="U770" s="270"/>
      <c r="X770" s="270"/>
      <c r="Y770" s="270"/>
      <c r="Z770" s="270">
        <f t="shared" si="9"/>
        <v>0</v>
      </c>
    </row>
    <row r="771" spans="1:26" ht="12.6" customHeight="1" x14ac:dyDescent="0.25">
      <c r="A771" s="207" t="str">
        <f>RIGHT($C$84,3)&amp;"*"&amp;RIGHT($C$83,4)&amp;"*"&amp;AO$55&amp;"*"&amp;"A"</f>
        <v>043*2018*7350*A</v>
      </c>
      <c r="B771" s="270">
        <f>ROUND(AO59,0)</f>
        <v>0</v>
      </c>
      <c r="C771" s="273">
        <f>ROUND(AO60,2)</f>
        <v>0</v>
      </c>
      <c r="D771" s="270">
        <f>ROUND(AO61,0)</f>
        <v>0</v>
      </c>
      <c r="E771" s="270">
        <f>ROUND(AO62,0)</f>
        <v>0</v>
      </c>
      <c r="F771" s="270">
        <f>ROUND(AO63,0)</f>
        <v>0</v>
      </c>
      <c r="G771" s="270">
        <f>ROUND(AO64,0)</f>
        <v>0</v>
      </c>
      <c r="H771" s="270">
        <f>ROUND(AO65,0)</f>
        <v>0</v>
      </c>
      <c r="I771" s="270">
        <f>ROUND(AO66,0)</f>
        <v>0</v>
      </c>
      <c r="J771" s="270">
        <f>ROUND(AO67,0)</f>
        <v>0</v>
      </c>
      <c r="K771" s="270">
        <f>ROUND(AO68,0)</f>
        <v>0</v>
      </c>
      <c r="L771" s="270">
        <f>ROUND(AO70,0)</f>
        <v>0</v>
      </c>
      <c r="M771" s="270">
        <f>ROUND(AO71,0)</f>
        <v>0</v>
      </c>
      <c r="N771" s="270">
        <f>ROUND(AO76,0)</f>
        <v>241052</v>
      </c>
      <c r="O771" s="270">
        <f>ROUND(AO74,0)</f>
        <v>0</v>
      </c>
      <c r="P771" s="270">
        <f>IF(AO77&gt;0,ROUND(AO77,0),0)</f>
        <v>0</v>
      </c>
      <c r="Q771" s="270">
        <f>IF(AO78&gt;0,ROUND(AO78,0),0)</f>
        <v>0</v>
      </c>
      <c r="R771" s="270">
        <f>IF(AO79&gt;0,ROUND(AO79,0),0)</f>
        <v>0</v>
      </c>
      <c r="S771" s="270">
        <f>IF(AO80&gt;0,ROUND(AO80,0),0)</f>
        <v>0</v>
      </c>
      <c r="T771" s="273">
        <f>IF(AO81&gt;0,ROUND(AO81,2),0)</f>
        <v>0</v>
      </c>
      <c r="U771" s="270"/>
      <c r="X771" s="270"/>
      <c r="Y771" s="270"/>
      <c r="Z771" s="270">
        <f t="shared" si="9"/>
        <v>6547</v>
      </c>
    </row>
    <row r="772" spans="1:26" ht="12.6" customHeight="1" x14ac:dyDescent="0.25">
      <c r="A772" s="207" t="str">
        <f>RIGHT($C$84,3)&amp;"*"&amp;RIGHT($C$83,4)&amp;"*"&amp;AP$55&amp;"*"&amp;"A"</f>
        <v>043*2018*7380*A</v>
      </c>
      <c r="B772" s="270">
        <f>ROUND(AP59,0)</f>
        <v>0</v>
      </c>
      <c r="C772" s="273">
        <f>ROUND(AP60,2)</f>
        <v>0</v>
      </c>
      <c r="D772" s="270">
        <f>ROUND(AP61,0)</f>
        <v>0</v>
      </c>
      <c r="E772" s="270">
        <f>ROUND(AP62,0)</f>
        <v>0</v>
      </c>
      <c r="F772" s="270">
        <f>ROUND(AP63,0)</f>
        <v>0</v>
      </c>
      <c r="G772" s="270">
        <f>ROUND(AP64,0)</f>
        <v>0</v>
      </c>
      <c r="H772" s="270">
        <f>ROUND(AP65,0)</f>
        <v>0</v>
      </c>
      <c r="I772" s="270">
        <f>ROUND(AP66,0)</f>
        <v>0</v>
      </c>
      <c r="J772" s="270">
        <f>ROUND(AP67,0)</f>
        <v>0</v>
      </c>
      <c r="K772" s="270">
        <f>ROUND(AP68,0)</f>
        <v>0</v>
      </c>
      <c r="L772" s="270">
        <f>ROUND(AP70,0)</f>
        <v>0</v>
      </c>
      <c r="M772" s="270">
        <f>ROUND(AP71,0)</f>
        <v>0</v>
      </c>
      <c r="N772" s="270">
        <f>ROUND(AP76,0)</f>
        <v>0</v>
      </c>
      <c r="O772" s="270">
        <f>ROUND(AP74,0)</f>
        <v>0</v>
      </c>
      <c r="P772" s="270">
        <f>IF(AP77&gt;0,ROUND(AP77,0),0)</f>
        <v>0</v>
      </c>
      <c r="Q772" s="270">
        <f>IF(AP78&gt;0,ROUND(AP78,0),0)</f>
        <v>0</v>
      </c>
      <c r="R772" s="270">
        <f>IF(AP79&gt;0,ROUND(AP79,0),0)</f>
        <v>0</v>
      </c>
      <c r="S772" s="270">
        <f>IF(AP80&gt;0,ROUND(AP80,0),0)</f>
        <v>0</v>
      </c>
      <c r="T772" s="273">
        <f>IF(AP81&gt;0,ROUND(AP81,2),0)</f>
        <v>0</v>
      </c>
      <c r="U772" s="270"/>
      <c r="X772" s="270"/>
      <c r="Y772" s="270"/>
      <c r="Z772" s="270">
        <f t="shared" si="9"/>
        <v>0</v>
      </c>
    </row>
    <row r="773" spans="1:26" ht="12.6" customHeight="1" x14ac:dyDescent="0.25">
      <c r="A773" s="207" t="str">
        <f>RIGHT($C$84,3)&amp;"*"&amp;RIGHT($C$83,4)&amp;"*"&amp;AQ$55&amp;"*"&amp;"A"</f>
        <v>043*2018*7390*A</v>
      </c>
      <c r="B773" s="270">
        <f>ROUND(AQ59,0)</f>
        <v>0</v>
      </c>
      <c r="C773" s="273">
        <f>ROUND(AQ60,2)</f>
        <v>0</v>
      </c>
      <c r="D773" s="270">
        <f>ROUND(AQ61,0)</f>
        <v>0</v>
      </c>
      <c r="E773" s="270">
        <f>ROUND(AQ62,0)</f>
        <v>0</v>
      </c>
      <c r="F773" s="270">
        <f>ROUND(AQ63,0)</f>
        <v>0</v>
      </c>
      <c r="G773" s="270">
        <f>ROUND(AQ64,0)</f>
        <v>0</v>
      </c>
      <c r="H773" s="270">
        <f>ROUND(AQ65,0)</f>
        <v>0</v>
      </c>
      <c r="I773" s="270">
        <f>ROUND(AQ66,0)</f>
        <v>0</v>
      </c>
      <c r="J773" s="270">
        <f>ROUND(AQ67,0)</f>
        <v>0</v>
      </c>
      <c r="K773" s="270">
        <f>ROUND(AQ68,0)</f>
        <v>0</v>
      </c>
      <c r="L773" s="270">
        <f>ROUND(AQ70,0)</f>
        <v>0</v>
      </c>
      <c r="M773" s="270">
        <f>ROUND(AQ71,0)</f>
        <v>0</v>
      </c>
      <c r="N773" s="270">
        <f>ROUND(AQ76,0)</f>
        <v>0</v>
      </c>
      <c r="O773" s="270">
        <f>ROUND(AQ74,0)</f>
        <v>0</v>
      </c>
      <c r="P773" s="270">
        <f>IF(AQ77&gt;0,ROUND(AQ77,0),0)</f>
        <v>0</v>
      </c>
      <c r="Q773" s="270">
        <f>IF(AQ78&gt;0,ROUND(AQ78,0),0)</f>
        <v>0</v>
      </c>
      <c r="R773" s="270">
        <f>IF(AQ79&gt;0,ROUND(AQ79,0),0)</f>
        <v>0</v>
      </c>
      <c r="S773" s="270">
        <f>IF(AQ80&gt;0,ROUND(AQ80,0),0)</f>
        <v>0</v>
      </c>
      <c r="T773" s="273">
        <f>IF(AQ81&gt;0,ROUND(AQ81,2),0)</f>
        <v>0</v>
      </c>
      <c r="U773" s="270"/>
      <c r="X773" s="270"/>
      <c r="Y773" s="270"/>
      <c r="Z773" s="270">
        <f t="shared" si="9"/>
        <v>0</v>
      </c>
    </row>
    <row r="774" spans="1:26" ht="12.6" customHeight="1" x14ac:dyDescent="0.25">
      <c r="A774" s="207" t="str">
        <f>RIGHT($C$84,3)&amp;"*"&amp;RIGHT($C$83,4)&amp;"*"&amp;AR$55&amp;"*"&amp;"A"</f>
        <v>043*2018*7400*A</v>
      </c>
      <c r="B774" s="270">
        <f>ROUND(AR59,0)</f>
        <v>0</v>
      </c>
      <c r="C774" s="273">
        <f>ROUND(AR60,2)</f>
        <v>0</v>
      </c>
      <c r="D774" s="270">
        <f>ROUND(AR61,0)</f>
        <v>203</v>
      </c>
      <c r="E774" s="270">
        <f>ROUND(AR62,0)</f>
        <v>40</v>
      </c>
      <c r="F774" s="270">
        <f>ROUND(AR63,0)</f>
        <v>0</v>
      </c>
      <c r="G774" s="270">
        <f>ROUND(AR64,0)</f>
        <v>995</v>
      </c>
      <c r="H774" s="270">
        <f>ROUND(AR65,0)</f>
        <v>0</v>
      </c>
      <c r="I774" s="270">
        <f>ROUND(AR66,0)</f>
        <v>0</v>
      </c>
      <c r="J774" s="270">
        <f>ROUND(AR67,0)</f>
        <v>597</v>
      </c>
      <c r="K774" s="270">
        <f>ROUND(AR68,0)</f>
        <v>0</v>
      </c>
      <c r="L774" s="270">
        <f>ROUND(AR70,0)</f>
        <v>0</v>
      </c>
      <c r="M774" s="270">
        <f>ROUND(AR71,0)</f>
        <v>0</v>
      </c>
      <c r="N774" s="270">
        <f>ROUND(AR76,0)</f>
        <v>0</v>
      </c>
      <c r="O774" s="270">
        <f>ROUND(AR74,0)</f>
        <v>0</v>
      </c>
      <c r="P774" s="270">
        <f>IF(AR77&gt;0,ROUND(AR77,0),0)</f>
        <v>0</v>
      </c>
      <c r="Q774" s="270">
        <f>IF(AR78&gt;0,ROUND(AR78,0),0)</f>
        <v>0</v>
      </c>
      <c r="R774" s="270">
        <f>IF(AR79&gt;0,ROUND(AR79,0),0)</f>
        <v>0</v>
      </c>
      <c r="S774" s="270">
        <f>IF(AR80&gt;0,ROUND(AR80,0),0)</f>
        <v>0</v>
      </c>
      <c r="T774" s="273">
        <f>IF(AR81&gt;0,ROUND(AR81,2),0)</f>
        <v>0</v>
      </c>
      <c r="U774" s="270"/>
      <c r="X774" s="270"/>
      <c r="Y774" s="270"/>
      <c r="Z774" s="270">
        <f t="shared" si="9"/>
        <v>273</v>
      </c>
    </row>
    <row r="775" spans="1:26" ht="12.6" customHeight="1" x14ac:dyDescent="0.25">
      <c r="A775" s="207" t="str">
        <f>RIGHT($C$84,3)&amp;"*"&amp;RIGHT($C$83,4)&amp;"*"&amp;AS$55&amp;"*"&amp;"A"</f>
        <v>043*2018*7410*A</v>
      </c>
      <c r="B775" s="270">
        <f>ROUND(AS59,0)</f>
        <v>0</v>
      </c>
      <c r="C775" s="273">
        <f>ROUND(AS60,2)</f>
        <v>0</v>
      </c>
      <c r="D775" s="270">
        <f>ROUND(AS61,0)</f>
        <v>0</v>
      </c>
      <c r="E775" s="270">
        <f>ROUND(AS62,0)</f>
        <v>0</v>
      </c>
      <c r="F775" s="270">
        <f>ROUND(AS63,0)</f>
        <v>0</v>
      </c>
      <c r="G775" s="270">
        <f>ROUND(AS64,0)</f>
        <v>0</v>
      </c>
      <c r="H775" s="270">
        <f>ROUND(AS65,0)</f>
        <v>0</v>
      </c>
      <c r="I775" s="270">
        <f>ROUND(AS66,0)</f>
        <v>0</v>
      </c>
      <c r="J775" s="270">
        <f>ROUND(AS67,0)</f>
        <v>0</v>
      </c>
      <c r="K775" s="270">
        <f>ROUND(AS68,0)</f>
        <v>0</v>
      </c>
      <c r="L775" s="270">
        <f>ROUND(AS70,0)</f>
        <v>0</v>
      </c>
      <c r="M775" s="270">
        <f>ROUND(AS71,0)</f>
        <v>0</v>
      </c>
      <c r="N775" s="270">
        <f>ROUND(AS76,0)</f>
        <v>0</v>
      </c>
      <c r="O775" s="270">
        <f>ROUND(AS74,0)</f>
        <v>0</v>
      </c>
      <c r="P775" s="270">
        <f>IF(AS77&gt;0,ROUND(AS77,0),0)</f>
        <v>0</v>
      </c>
      <c r="Q775" s="270">
        <f>IF(AS78&gt;0,ROUND(AS78,0),0)</f>
        <v>0</v>
      </c>
      <c r="R775" s="270">
        <f>IF(AS79&gt;0,ROUND(AS79,0),0)</f>
        <v>0</v>
      </c>
      <c r="S775" s="270">
        <f>IF(AS80&gt;0,ROUND(AS80,0),0)</f>
        <v>0</v>
      </c>
      <c r="T775" s="273">
        <f>IF(AS81&gt;0,ROUND(AS81,2),0)</f>
        <v>0</v>
      </c>
      <c r="U775" s="270"/>
      <c r="X775" s="270"/>
      <c r="Y775" s="270"/>
      <c r="Z775" s="270">
        <f t="shared" si="9"/>
        <v>0</v>
      </c>
    </row>
    <row r="776" spans="1:26" ht="12.6" customHeight="1" x14ac:dyDescent="0.25">
      <c r="A776" s="207" t="str">
        <f>RIGHT($C$84,3)&amp;"*"&amp;RIGHT($C$83,4)&amp;"*"&amp;AT$55&amp;"*"&amp;"A"</f>
        <v>043*2018*7420*A</v>
      </c>
      <c r="B776" s="270">
        <f>ROUND(AT59,0)</f>
        <v>0</v>
      </c>
      <c r="C776" s="273">
        <f>ROUND(AT60,2)</f>
        <v>0</v>
      </c>
      <c r="D776" s="270">
        <f>ROUND(AT61,0)</f>
        <v>0</v>
      </c>
      <c r="E776" s="270">
        <f>ROUND(AT62,0)</f>
        <v>0</v>
      </c>
      <c r="F776" s="270">
        <f>ROUND(AT63,0)</f>
        <v>0</v>
      </c>
      <c r="G776" s="270">
        <f>ROUND(AT64,0)</f>
        <v>0</v>
      </c>
      <c r="H776" s="270">
        <f>ROUND(AT65,0)</f>
        <v>0</v>
      </c>
      <c r="I776" s="270">
        <f>ROUND(AT66,0)</f>
        <v>0</v>
      </c>
      <c r="J776" s="270">
        <f>ROUND(AT67,0)</f>
        <v>0</v>
      </c>
      <c r="K776" s="270">
        <f>ROUND(AT68,0)</f>
        <v>0</v>
      </c>
      <c r="L776" s="270">
        <f>ROUND(AT70,0)</f>
        <v>0</v>
      </c>
      <c r="M776" s="270">
        <f>ROUND(AT71,0)</f>
        <v>0</v>
      </c>
      <c r="N776" s="270">
        <f>ROUND(AT76,0)</f>
        <v>0</v>
      </c>
      <c r="O776" s="270">
        <f>ROUND(AT74,0)</f>
        <v>0</v>
      </c>
      <c r="P776" s="270">
        <f>IF(AT77&gt;0,ROUND(AT77,0),0)</f>
        <v>0</v>
      </c>
      <c r="Q776" s="270">
        <f>IF(AT78&gt;0,ROUND(AT78,0),0)</f>
        <v>0</v>
      </c>
      <c r="R776" s="270">
        <f>IF(AT79&gt;0,ROUND(AT79,0),0)</f>
        <v>0</v>
      </c>
      <c r="S776" s="270">
        <f>IF(AT80&gt;0,ROUND(AT80,0),0)</f>
        <v>0</v>
      </c>
      <c r="T776" s="273">
        <f>IF(AT81&gt;0,ROUND(AT81,2),0)</f>
        <v>0</v>
      </c>
      <c r="U776" s="270"/>
      <c r="X776" s="270"/>
      <c r="Y776" s="270"/>
      <c r="Z776" s="270">
        <f t="shared" si="9"/>
        <v>0</v>
      </c>
    </row>
    <row r="777" spans="1:26" ht="12.6" customHeight="1" x14ac:dyDescent="0.25">
      <c r="A777" s="207" t="str">
        <f>RIGHT($C$84,3)&amp;"*"&amp;RIGHT($C$83,4)&amp;"*"&amp;AU$55&amp;"*"&amp;"A"</f>
        <v>043*2018*7430*A</v>
      </c>
      <c r="B777" s="270">
        <f>ROUND(AU59,0)</f>
        <v>0</v>
      </c>
      <c r="C777" s="273">
        <f>ROUND(AU60,2)</f>
        <v>0</v>
      </c>
      <c r="D777" s="270">
        <f>ROUND(AU61,0)</f>
        <v>0</v>
      </c>
      <c r="E777" s="270">
        <f>ROUND(AU62,0)</f>
        <v>0</v>
      </c>
      <c r="F777" s="270">
        <f>ROUND(AU63,0)</f>
        <v>0</v>
      </c>
      <c r="G777" s="270">
        <f>ROUND(AU64,0)</f>
        <v>0</v>
      </c>
      <c r="H777" s="270">
        <f>ROUND(AU65,0)</f>
        <v>0</v>
      </c>
      <c r="I777" s="270">
        <f>ROUND(AU66,0)</f>
        <v>0</v>
      </c>
      <c r="J777" s="270">
        <f>ROUND(AU67,0)</f>
        <v>0</v>
      </c>
      <c r="K777" s="270">
        <f>ROUND(AU68,0)</f>
        <v>0</v>
      </c>
      <c r="L777" s="270">
        <f>ROUND(AU70,0)</f>
        <v>0</v>
      </c>
      <c r="M777" s="270">
        <f>ROUND(AU71,0)</f>
        <v>0</v>
      </c>
      <c r="N777" s="270">
        <f>ROUND(AU76,0)</f>
        <v>0</v>
      </c>
      <c r="O777" s="270">
        <f>ROUND(AU74,0)</f>
        <v>0</v>
      </c>
      <c r="P777" s="270">
        <f>IF(AU77&gt;0,ROUND(AU77,0),0)</f>
        <v>0</v>
      </c>
      <c r="Q777" s="270">
        <f>IF(AU78&gt;0,ROUND(AU78,0),0)</f>
        <v>0</v>
      </c>
      <c r="R777" s="270">
        <f>IF(AU79&gt;0,ROUND(AU79,0),0)</f>
        <v>0</v>
      </c>
      <c r="S777" s="270">
        <f>IF(AU80&gt;0,ROUND(AU80,0),0)</f>
        <v>0</v>
      </c>
      <c r="T777" s="273">
        <f>IF(AU81&gt;0,ROUND(AU81,2),0)</f>
        <v>0</v>
      </c>
      <c r="U777" s="270"/>
      <c r="X777" s="270"/>
      <c r="Y777" s="270"/>
      <c r="Z777" s="270">
        <f t="shared" si="9"/>
        <v>0</v>
      </c>
    </row>
    <row r="778" spans="1:26" ht="12.6" customHeight="1" x14ac:dyDescent="0.25">
      <c r="A778" s="207" t="str">
        <f>RIGHT($C$84,3)&amp;"*"&amp;RIGHT($C$83,4)&amp;"*"&amp;AV$55&amp;"*"&amp;"A"</f>
        <v>043*2018*7490*A</v>
      </c>
      <c r="B778" s="270"/>
      <c r="C778" s="273">
        <f>ROUND(AV60,2)</f>
        <v>0</v>
      </c>
      <c r="D778" s="270">
        <f>ROUND(AV61,0)</f>
        <v>0</v>
      </c>
      <c r="E778" s="270">
        <f>ROUND(AV62,0)</f>
        <v>0</v>
      </c>
      <c r="F778" s="270">
        <f>ROUND(AV63,0)</f>
        <v>0</v>
      </c>
      <c r="G778" s="270">
        <f>ROUND(AV64,0)</f>
        <v>0</v>
      </c>
      <c r="H778" s="270">
        <f>ROUND(AV65,0)</f>
        <v>0</v>
      </c>
      <c r="I778" s="270">
        <f>ROUND(AV66,0)</f>
        <v>0</v>
      </c>
      <c r="J778" s="270">
        <f>ROUND(AV67,0)</f>
        <v>279</v>
      </c>
      <c r="K778" s="270">
        <f>ROUND(AV68,0)</f>
        <v>0</v>
      </c>
      <c r="L778" s="270">
        <f>ROUND(AV70,0)</f>
        <v>0</v>
      </c>
      <c r="M778" s="270">
        <f>ROUND(AV71,0)</f>
        <v>0</v>
      </c>
      <c r="N778" s="270">
        <f>ROUND(AV76,0)</f>
        <v>0</v>
      </c>
      <c r="O778" s="270">
        <f>ROUND(AV74,0)</f>
        <v>0</v>
      </c>
      <c r="P778" s="270">
        <f>IF(AV77&gt;0,ROUND(AV77,0),0)</f>
        <v>0</v>
      </c>
      <c r="Q778" s="270">
        <f>IF(AV78&gt;0,ROUND(AV78,0),0)</f>
        <v>0</v>
      </c>
      <c r="R778" s="270">
        <f>IF(AV79&gt;0,ROUND(AV79,0),0)</f>
        <v>0</v>
      </c>
      <c r="S778" s="270">
        <f>IF(AV80&gt;0,ROUND(AV80,0),0)</f>
        <v>0</v>
      </c>
      <c r="T778" s="273">
        <f>IF(AV81&gt;0,ROUND(AV81,2),0)</f>
        <v>0</v>
      </c>
      <c r="U778" s="270"/>
      <c r="X778" s="270"/>
      <c r="Y778" s="270"/>
      <c r="Z778" s="270">
        <f t="shared" si="9"/>
        <v>42</v>
      </c>
    </row>
    <row r="779" spans="1:26" ht="12.6" customHeight="1" x14ac:dyDescent="0.25">
      <c r="A779" s="207" t="str">
        <f>RIGHT($C$84,3)&amp;"*"&amp;RIGHT($C$83,4)&amp;"*"&amp;AW$55&amp;"*"&amp;"A"</f>
        <v>043*2018*8200*A</v>
      </c>
      <c r="B779" s="270"/>
      <c r="C779" s="273">
        <f>ROUND(AW60,2)</f>
        <v>0</v>
      </c>
      <c r="D779" s="270">
        <f>ROUND(AW61,0)</f>
        <v>0</v>
      </c>
      <c r="E779" s="270">
        <f>ROUND(AW62,0)</f>
        <v>0</v>
      </c>
      <c r="F779" s="270">
        <f>ROUND(AW63,0)</f>
        <v>0</v>
      </c>
      <c r="G779" s="270">
        <f>ROUND(AW64,0)</f>
        <v>0</v>
      </c>
      <c r="H779" s="270">
        <f>ROUND(AW65,0)</f>
        <v>0</v>
      </c>
      <c r="I779" s="270">
        <f>ROUND(AW66,0)</f>
        <v>0</v>
      </c>
      <c r="J779" s="270">
        <f>ROUND(AW67,0)</f>
        <v>0</v>
      </c>
      <c r="K779" s="270">
        <f>ROUND(AW68,0)</f>
        <v>0</v>
      </c>
      <c r="L779" s="270">
        <f>ROUND(AW70,0)</f>
        <v>0</v>
      </c>
      <c r="M779" s="270">
        <f>ROUND(AW71,0)</f>
        <v>0</v>
      </c>
      <c r="N779" s="270"/>
      <c r="O779" s="270"/>
      <c r="P779" s="270">
        <f>IF(AW77&gt;0,ROUND(AW77,0),0)</f>
        <v>0</v>
      </c>
      <c r="Q779" s="270">
        <f>IF(AW78&gt;0,ROUND(AW78,0),0)</f>
        <v>0</v>
      </c>
      <c r="R779" s="270">
        <f>IF(AW79&gt;0,ROUND(AW79,0),0)</f>
        <v>0</v>
      </c>
      <c r="S779" s="270">
        <f>IF(AW80&gt;0,ROUND(AW80,0),0)</f>
        <v>0</v>
      </c>
      <c r="T779" s="273">
        <f>IF(AW81&gt;0,ROUND(AW81,2),0)</f>
        <v>0</v>
      </c>
      <c r="U779" s="270"/>
      <c r="X779" s="270"/>
      <c r="Y779" s="270"/>
      <c r="Z779" s="270"/>
    </row>
    <row r="780" spans="1:26" ht="12.6" customHeight="1" x14ac:dyDescent="0.25">
      <c r="A780" s="207" t="str">
        <f>RIGHT($C$84,3)&amp;"*"&amp;RIGHT($C$83,4)&amp;"*"&amp;AX$55&amp;"*"&amp;"A"</f>
        <v>043*2018*8310*A</v>
      </c>
      <c r="B780" s="270"/>
      <c r="C780" s="273">
        <f>ROUND(AX60,2)</f>
        <v>0</v>
      </c>
      <c r="D780" s="270">
        <f>ROUND(AX61,0)</f>
        <v>0</v>
      </c>
      <c r="E780" s="270">
        <f>ROUND(AX62,0)</f>
        <v>0</v>
      </c>
      <c r="F780" s="270">
        <f>ROUND(AX63,0)</f>
        <v>0</v>
      </c>
      <c r="G780" s="270">
        <f>ROUND(AX64,0)</f>
        <v>0</v>
      </c>
      <c r="H780" s="270">
        <f>ROUND(AX65,0)</f>
        <v>0</v>
      </c>
      <c r="I780" s="270">
        <f>ROUND(AX66,0)</f>
        <v>0</v>
      </c>
      <c r="J780" s="270">
        <f>ROUND(AX67,0)</f>
        <v>0</v>
      </c>
      <c r="K780" s="270">
        <f>ROUND(AX68,0)</f>
        <v>0</v>
      </c>
      <c r="L780" s="270">
        <f>ROUND(AX70,0)</f>
        <v>0</v>
      </c>
      <c r="M780" s="270">
        <f>ROUND(AX71,0)</f>
        <v>0</v>
      </c>
      <c r="N780" s="270"/>
      <c r="O780" s="270"/>
      <c r="P780" s="270">
        <f>IF(AX77&gt;0,ROUND(AX77,0),0)</f>
        <v>0</v>
      </c>
      <c r="Q780" s="270">
        <f>IF(AX78&gt;0,ROUND(AX78,0),0)</f>
        <v>0</v>
      </c>
      <c r="R780" s="270">
        <f>IF(AX79&gt;0,ROUND(AX79,0),0)</f>
        <v>0</v>
      </c>
      <c r="S780" s="270">
        <f>IF(AX80&gt;0,ROUND(AX80,0),0)</f>
        <v>0</v>
      </c>
      <c r="T780" s="273">
        <f>IF(AX81&gt;0,ROUND(AX81,2),0)</f>
        <v>0</v>
      </c>
      <c r="U780" s="270"/>
      <c r="X780" s="270"/>
      <c r="Y780" s="270"/>
      <c r="Z780" s="270"/>
    </row>
    <row r="781" spans="1:26" ht="12.6" customHeight="1" x14ac:dyDescent="0.25">
      <c r="A781" s="207" t="str">
        <f>RIGHT($C$84,3)&amp;"*"&amp;RIGHT($C$83,4)&amp;"*"&amp;AY$55&amp;"*"&amp;"A"</f>
        <v>043*2018*8320*A</v>
      </c>
      <c r="B781" s="270">
        <f>ROUND(AY59,0)</f>
        <v>18463</v>
      </c>
      <c r="C781" s="273">
        <f>ROUND(AY60,2)</f>
        <v>9.02</v>
      </c>
      <c r="D781" s="270">
        <f>ROUND(AY61,0)</f>
        <v>356043</v>
      </c>
      <c r="E781" s="270">
        <f>ROUND(AY62,0)</f>
        <v>69586</v>
      </c>
      <c r="F781" s="270">
        <f>ROUND(AY63,0)</f>
        <v>0</v>
      </c>
      <c r="G781" s="270">
        <f>ROUND(AY64,0)</f>
        <v>243633</v>
      </c>
      <c r="H781" s="270">
        <f>ROUND(AY65,0)</f>
        <v>0</v>
      </c>
      <c r="I781" s="270">
        <f>ROUND(AY66,0)</f>
        <v>3289</v>
      </c>
      <c r="J781" s="270">
        <f>ROUND(AY67,0)</f>
        <v>7980</v>
      </c>
      <c r="K781" s="270">
        <f>ROUND(AY68,0)</f>
        <v>1092</v>
      </c>
      <c r="L781" s="270">
        <f>ROUND(AY70,0)</f>
        <v>3130</v>
      </c>
      <c r="M781" s="270">
        <f>ROUND(AY71,0)</f>
        <v>123209</v>
      </c>
      <c r="N781" s="270"/>
      <c r="O781" s="270"/>
      <c r="P781" s="270">
        <f>IF(AY77&gt;0,ROUND(AY77,0),0)</f>
        <v>1117</v>
      </c>
      <c r="Q781" s="270">
        <f>IF(AY78&gt;0,ROUND(AY78,0),0)</f>
        <v>0</v>
      </c>
      <c r="R781" s="270">
        <f>IF(AY79&gt;0,ROUND(AY79,0),0)</f>
        <v>0</v>
      </c>
      <c r="S781" s="270">
        <f>IF(AY80&gt;0,ROUND(AY80,0),0)</f>
        <v>0</v>
      </c>
      <c r="T781" s="273">
        <f>IF(AY81&gt;0,ROUND(AY81,2),0)</f>
        <v>0</v>
      </c>
      <c r="U781" s="270"/>
      <c r="X781" s="270"/>
      <c r="Y781" s="270"/>
      <c r="Z781" s="270"/>
    </row>
    <row r="782" spans="1:26" ht="12.6" customHeight="1" x14ac:dyDescent="0.25">
      <c r="A782" s="207" t="str">
        <f>RIGHT($C$84,3)&amp;"*"&amp;RIGHT($C$83,4)&amp;"*"&amp;AZ$55&amp;"*"&amp;"A"</f>
        <v>043*2018*8330*A</v>
      </c>
      <c r="B782" s="270">
        <f>ROUND(AZ59,0)</f>
        <v>0</v>
      </c>
      <c r="C782" s="273">
        <f>ROUND(AZ60,2)</f>
        <v>0</v>
      </c>
      <c r="D782" s="270">
        <f>ROUND(AZ61,0)</f>
        <v>0</v>
      </c>
      <c r="E782" s="270">
        <f>ROUND(AZ62,0)</f>
        <v>0</v>
      </c>
      <c r="F782" s="270">
        <f>ROUND(AZ63,0)</f>
        <v>0</v>
      </c>
      <c r="G782" s="270">
        <f>ROUND(AZ64,0)</f>
        <v>0</v>
      </c>
      <c r="H782" s="270">
        <f>ROUND(AZ65,0)</f>
        <v>0</v>
      </c>
      <c r="I782" s="270">
        <f>ROUND(AZ66,0)</f>
        <v>0</v>
      </c>
      <c r="J782" s="270">
        <f>ROUND(AZ67,0)</f>
        <v>5090</v>
      </c>
      <c r="K782" s="270">
        <f>ROUND(AZ68,0)</f>
        <v>0</v>
      </c>
      <c r="L782" s="270">
        <f>ROUND(AZ70,0)</f>
        <v>0</v>
      </c>
      <c r="M782" s="270">
        <f>ROUND(AZ71,0)</f>
        <v>0</v>
      </c>
      <c r="N782" s="270"/>
      <c r="O782" s="270"/>
      <c r="P782" s="270">
        <f>IF(AZ77&gt;0,ROUND(AZ77,0),0)</f>
        <v>944</v>
      </c>
      <c r="Q782" s="270">
        <f>IF(AZ78&gt;0,ROUND(AZ78,0),0)</f>
        <v>0</v>
      </c>
      <c r="R782" s="270">
        <f>IF(AZ79&gt;0,ROUND(AZ79,0),0)</f>
        <v>0</v>
      </c>
      <c r="S782" s="270">
        <f>IF(AZ80&gt;0,ROUND(AZ80,0),0)</f>
        <v>0</v>
      </c>
      <c r="T782" s="273">
        <f>IF(AZ81&gt;0,ROUND(AZ81,2),0)</f>
        <v>0</v>
      </c>
      <c r="U782" s="270"/>
      <c r="X782" s="270"/>
      <c r="Y782" s="270"/>
      <c r="Z782" s="270"/>
    </row>
    <row r="783" spans="1:26" ht="12.6" customHeight="1" x14ac:dyDescent="0.25">
      <c r="A783" s="207" t="str">
        <f>RIGHT($C$84,3)&amp;"*"&amp;RIGHT($C$83,4)&amp;"*"&amp;BA$55&amp;"*"&amp;"A"</f>
        <v>043*2018*8350*A</v>
      </c>
      <c r="B783" s="270">
        <f>ROUND(BA59,0)</f>
        <v>0</v>
      </c>
      <c r="C783" s="273">
        <f>ROUND(BA60,2)</f>
        <v>0.67</v>
      </c>
      <c r="D783" s="270">
        <f>ROUND(BA61,0)</f>
        <v>19656</v>
      </c>
      <c r="E783" s="270">
        <f>ROUND(BA62,0)</f>
        <v>3842</v>
      </c>
      <c r="F783" s="270">
        <f>ROUND(BA63,0)</f>
        <v>0</v>
      </c>
      <c r="G783" s="270">
        <f>ROUND(BA64,0)</f>
        <v>0</v>
      </c>
      <c r="H783" s="270">
        <f>ROUND(BA65,0)</f>
        <v>0</v>
      </c>
      <c r="I783" s="270">
        <f>ROUND(BA66,0)</f>
        <v>101497</v>
      </c>
      <c r="J783" s="270">
        <f>ROUND(BA67,0)</f>
        <v>604</v>
      </c>
      <c r="K783" s="270">
        <f>ROUND(BA68,0)</f>
        <v>0</v>
      </c>
      <c r="L783" s="270">
        <f>ROUND(BA70,0)</f>
        <v>0</v>
      </c>
      <c r="M783" s="270">
        <f>ROUND(BA71,0)</f>
        <v>0</v>
      </c>
      <c r="N783" s="270"/>
      <c r="O783" s="270"/>
      <c r="P783" s="270">
        <f>IF(BA77&gt;0,ROUND(BA77,0),0)</f>
        <v>112</v>
      </c>
      <c r="Q783" s="270">
        <f>IF(BA78&gt;0,ROUND(BA78,0),0)</f>
        <v>0</v>
      </c>
      <c r="R783" s="270">
        <f>IF(BA79&gt;0,ROUND(BA79,0),0)</f>
        <v>112</v>
      </c>
      <c r="S783" s="270">
        <f>IF(BA80&gt;0,ROUND(BA80,0),0)</f>
        <v>0</v>
      </c>
      <c r="T783" s="273">
        <f>IF(BA81&gt;0,ROUND(BA81,2),0)</f>
        <v>0</v>
      </c>
      <c r="U783" s="270"/>
      <c r="X783" s="270"/>
      <c r="Y783" s="270"/>
      <c r="Z783" s="270"/>
    </row>
    <row r="784" spans="1:26" ht="12.6" customHeight="1" x14ac:dyDescent="0.25">
      <c r="A784" s="207" t="str">
        <f>RIGHT($C$84,3)&amp;"*"&amp;RIGHT($C$83,4)&amp;"*"&amp;BB$55&amp;"*"&amp;"A"</f>
        <v>043*2018*8360*A</v>
      </c>
      <c r="B784" s="270"/>
      <c r="C784" s="273">
        <f>ROUND(BB60,2)</f>
        <v>0.82</v>
      </c>
      <c r="D784" s="270">
        <f>ROUND(BB61,0)</f>
        <v>63800</v>
      </c>
      <c r="E784" s="270">
        <f>ROUND(BB62,0)</f>
        <v>12469</v>
      </c>
      <c r="F784" s="270">
        <f>ROUND(BB63,0)</f>
        <v>0</v>
      </c>
      <c r="G784" s="270">
        <f>ROUND(BB64,0)</f>
        <v>1329</v>
      </c>
      <c r="H784" s="270">
        <f>ROUND(BB65,0)</f>
        <v>0</v>
      </c>
      <c r="I784" s="270">
        <f>ROUND(BB66,0)</f>
        <v>0</v>
      </c>
      <c r="J784" s="270">
        <f>ROUND(BB67,0)</f>
        <v>388</v>
      </c>
      <c r="K784" s="270">
        <f>ROUND(BB68,0)</f>
        <v>1042</v>
      </c>
      <c r="L784" s="270">
        <f>ROUND(BB70,0)</f>
        <v>0</v>
      </c>
      <c r="M784" s="270">
        <f>ROUND(BB71,0)</f>
        <v>0</v>
      </c>
      <c r="N784" s="270"/>
      <c r="O784" s="270"/>
      <c r="P784" s="270">
        <f>IF(BB77&gt;0,ROUND(BB77,0),0)</f>
        <v>72</v>
      </c>
      <c r="Q784" s="270">
        <f>IF(BB78&gt;0,ROUND(BB78,0),0)</f>
        <v>0</v>
      </c>
      <c r="R784" s="270">
        <f>IF(BB79&gt;0,ROUND(BB79,0),0)</f>
        <v>72</v>
      </c>
      <c r="S784" s="270">
        <f>IF(BB80&gt;0,ROUND(BB80,0),0)</f>
        <v>0</v>
      </c>
      <c r="T784" s="273">
        <f>IF(BB81&gt;0,ROUND(BB81,2),0)</f>
        <v>0</v>
      </c>
      <c r="U784" s="270"/>
      <c r="X784" s="270"/>
      <c r="Y784" s="270"/>
      <c r="Z784" s="270"/>
    </row>
    <row r="785" spans="1:26" ht="12.6" customHeight="1" x14ac:dyDescent="0.25">
      <c r="A785" s="207" t="str">
        <f>RIGHT($C$84,3)&amp;"*"&amp;RIGHT($C$83,4)&amp;"*"&amp;BC$55&amp;"*"&amp;"A"</f>
        <v>043*2018*8370*A</v>
      </c>
      <c r="B785" s="270"/>
      <c r="C785" s="273">
        <f>ROUND(BC60,2)</f>
        <v>0</v>
      </c>
      <c r="D785" s="270">
        <f>ROUND(BC61,0)</f>
        <v>0</v>
      </c>
      <c r="E785" s="270">
        <f>ROUND(BC62,0)</f>
        <v>0</v>
      </c>
      <c r="F785" s="270">
        <f>ROUND(BC63,0)</f>
        <v>0</v>
      </c>
      <c r="G785" s="270">
        <f>ROUND(BC64,0)</f>
        <v>0</v>
      </c>
      <c r="H785" s="270">
        <f>ROUND(BC65,0)</f>
        <v>0</v>
      </c>
      <c r="I785" s="270">
        <f>ROUND(BC66,0)</f>
        <v>0</v>
      </c>
      <c r="J785" s="270">
        <f>ROUND(BC67,0)</f>
        <v>0</v>
      </c>
      <c r="K785" s="270">
        <f>ROUND(BC68,0)</f>
        <v>0</v>
      </c>
      <c r="L785" s="270">
        <f>ROUND(BC70,0)</f>
        <v>0</v>
      </c>
      <c r="M785" s="270">
        <f>ROUND(BC71,0)</f>
        <v>0</v>
      </c>
      <c r="N785" s="270"/>
      <c r="O785" s="270"/>
      <c r="P785" s="270">
        <f>IF(BC77&gt;0,ROUND(BC77,0),0)</f>
        <v>0</v>
      </c>
      <c r="Q785" s="270">
        <f>IF(BC78&gt;0,ROUND(BC78,0),0)</f>
        <v>0</v>
      </c>
      <c r="R785" s="270">
        <f>IF(BC79&gt;0,ROUND(BC79,0),0)</f>
        <v>0</v>
      </c>
      <c r="S785" s="270">
        <f>IF(BC80&gt;0,ROUND(BC80,0),0)</f>
        <v>0</v>
      </c>
      <c r="T785" s="273">
        <f>IF(BC81&gt;0,ROUND(BC81,2),0)</f>
        <v>0</v>
      </c>
      <c r="U785" s="270"/>
      <c r="X785" s="270"/>
      <c r="Y785" s="270"/>
      <c r="Z785" s="270"/>
    </row>
    <row r="786" spans="1:26" ht="12.6" customHeight="1" x14ac:dyDescent="0.25">
      <c r="A786" s="207" t="str">
        <f>RIGHT($C$84,3)&amp;"*"&amp;RIGHT($C$83,4)&amp;"*"&amp;BD$55&amp;"*"&amp;"A"</f>
        <v>043*2018*8420*A</v>
      </c>
      <c r="B786" s="270"/>
      <c r="C786" s="273">
        <f>ROUND(BD60,2)</f>
        <v>0</v>
      </c>
      <c r="D786" s="270">
        <f>ROUND(BD61,0)</f>
        <v>0</v>
      </c>
      <c r="E786" s="270">
        <f>ROUND(BD62,0)</f>
        <v>0</v>
      </c>
      <c r="F786" s="270">
        <f>ROUND(BD63,0)</f>
        <v>0</v>
      </c>
      <c r="G786" s="270">
        <f>ROUND(BD64,0)</f>
        <v>0</v>
      </c>
      <c r="H786" s="270">
        <f>ROUND(BD65,0)</f>
        <v>0</v>
      </c>
      <c r="I786" s="270">
        <f>ROUND(BD66,0)</f>
        <v>0</v>
      </c>
      <c r="J786" s="270">
        <f>ROUND(BD67,0)</f>
        <v>0</v>
      </c>
      <c r="K786" s="270">
        <f>ROUND(BD68,0)</f>
        <v>0</v>
      </c>
      <c r="L786" s="270">
        <f>ROUND(BD70,0)</f>
        <v>0</v>
      </c>
      <c r="M786" s="270">
        <f>ROUND(BD71,0)</f>
        <v>0</v>
      </c>
      <c r="N786" s="270"/>
      <c r="O786" s="270"/>
      <c r="P786" s="270">
        <f>IF(BD77&gt;0,ROUND(BD77,0),0)</f>
        <v>0</v>
      </c>
      <c r="Q786" s="270">
        <f>IF(BD78&gt;0,ROUND(BD78,0),0)</f>
        <v>0</v>
      </c>
      <c r="R786" s="270">
        <f>IF(BD79&gt;0,ROUND(BD79,0),0)</f>
        <v>0</v>
      </c>
      <c r="S786" s="270">
        <f>IF(BD80&gt;0,ROUND(BD80,0),0)</f>
        <v>0</v>
      </c>
      <c r="T786" s="273">
        <f>IF(BD81&gt;0,ROUND(BD81,2),0)</f>
        <v>0</v>
      </c>
      <c r="U786" s="270"/>
      <c r="X786" s="270"/>
      <c r="Y786" s="270"/>
      <c r="Z786" s="270"/>
    </row>
    <row r="787" spans="1:26" ht="12.6" customHeight="1" x14ac:dyDescent="0.25">
      <c r="A787" s="207" t="str">
        <f>RIGHT($C$84,3)&amp;"*"&amp;RIGHT($C$83,4)&amp;"*"&amp;BE$55&amp;"*"&amp;"A"</f>
        <v>043*2018*8430*A</v>
      </c>
      <c r="B787" s="270">
        <f>ROUND(BE59,0)</f>
        <v>37424</v>
      </c>
      <c r="C787" s="273">
        <f>ROUND(BE60,2)</f>
        <v>4.74</v>
      </c>
      <c r="D787" s="270">
        <f>ROUND(BE61,0)</f>
        <v>250076</v>
      </c>
      <c r="E787" s="270">
        <f>ROUND(BE62,0)</f>
        <v>48875</v>
      </c>
      <c r="F787" s="270">
        <f>ROUND(BE63,0)</f>
        <v>0</v>
      </c>
      <c r="G787" s="270">
        <f>ROUND(BE64,0)</f>
        <v>15514</v>
      </c>
      <c r="H787" s="270">
        <f>ROUND(BE65,0)</f>
        <v>103954</v>
      </c>
      <c r="I787" s="270">
        <f>ROUND(BE66,0)</f>
        <v>17093</v>
      </c>
      <c r="J787" s="270">
        <f>ROUND(BE67,0)</f>
        <v>25795</v>
      </c>
      <c r="K787" s="270">
        <f>ROUND(BE68,0)</f>
        <v>610</v>
      </c>
      <c r="L787" s="270">
        <f>ROUND(BE70,0)</f>
        <v>24649</v>
      </c>
      <c r="M787" s="270">
        <f>ROUND(BE71,0)</f>
        <v>0</v>
      </c>
      <c r="N787" s="270"/>
      <c r="O787" s="270"/>
      <c r="P787" s="270">
        <f>IF(BE77&gt;0,ROUND(BE77,0),0)</f>
        <v>3997</v>
      </c>
      <c r="Q787" s="270">
        <f>IF(BE78&gt;0,ROUND(BE78,0),0)</f>
        <v>0</v>
      </c>
      <c r="R787" s="270">
        <f>IF(BE79&gt;0,ROUND(BE79,0),0)</f>
        <v>0</v>
      </c>
      <c r="S787" s="270">
        <f>IF(BE80&gt;0,ROUND(BE80,0),0)</f>
        <v>0</v>
      </c>
      <c r="T787" s="273">
        <f>IF(BE81&gt;0,ROUND(BE81,2),0)</f>
        <v>0</v>
      </c>
      <c r="U787" s="270"/>
      <c r="X787" s="270"/>
      <c r="Y787" s="270"/>
      <c r="Z787" s="270"/>
    </row>
    <row r="788" spans="1:26" ht="12.6" customHeight="1" x14ac:dyDescent="0.25">
      <c r="A788" s="207" t="str">
        <f>RIGHT($C$84,3)&amp;"*"&amp;RIGHT($C$83,4)&amp;"*"&amp;BF$55&amp;"*"&amp;"A"</f>
        <v>043*2018*8460*A</v>
      </c>
      <c r="B788" s="270"/>
      <c r="C788" s="273">
        <f>ROUND(BF60,2)</f>
        <v>5.04</v>
      </c>
      <c r="D788" s="270">
        <f>ROUND(BF61,0)</f>
        <v>184336</v>
      </c>
      <c r="E788" s="270">
        <f>ROUND(BF62,0)</f>
        <v>36027</v>
      </c>
      <c r="F788" s="270">
        <f>ROUND(BF63,0)</f>
        <v>0</v>
      </c>
      <c r="G788" s="270">
        <f>ROUND(BF64,0)</f>
        <v>28085</v>
      </c>
      <c r="H788" s="270">
        <f>ROUND(BF65,0)</f>
        <v>961</v>
      </c>
      <c r="I788" s="270">
        <f>ROUND(BF66,0)</f>
        <v>0</v>
      </c>
      <c r="J788" s="270">
        <f>ROUND(BF67,0)</f>
        <v>1763</v>
      </c>
      <c r="K788" s="270">
        <f>ROUND(BF68,0)</f>
        <v>0</v>
      </c>
      <c r="L788" s="270">
        <f>ROUND(BF70,0)</f>
        <v>789</v>
      </c>
      <c r="M788" s="270">
        <f>ROUND(BF71,0)</f>
        <v>0</v>
      </c>
      <c r="N788" s="270"/>
      <c r="O788" s="270"/>
      <c r="P788" s="270">
        <f>IF(BF77&gt;0,ROUND(BF77,0),0)</f>
        <v>327</v>
      </c>
      <c r="Q788" s="270">
        <f>IF(BF78&gt;0,ROUND(BF78,0),0)</f>
        <v>0</v>
      </c>
      <c r="R788" s="270">
        <f>IF(BF79&gt;0,ROUND(BF79,0),0)</f>
        <v>0</v>
      </c>
      <c r="S788" s="270">
        <f>IF(BF80&gt;0,ROUND(BF80,0),0)</f>
        <v>0</v>
      </c>
      <c r="T788" s="273">
        <f>IF(BF81&gt;0,ROUND(BF81,2),0)</f>
        <v>0</v>
      </c>
      <c r="U788" s="270"/>
      <c r="X788" s="270"/>
      <c r="Y788" s="270"/>
      <c r="Z788" s="270"/>
    </row>
    <row r="789" spans="1:26" ht="12.6" customHeight="1" x14ac:dyDescent="0.25">
      <c r="A789" s="207" t="str">
        <f>RIGHT($C$84,3)&amp;"*"&amp;RIGHT($C$83,4)&amp;"*"&amp;BG$55&amp;"*"&amp;"A"</f>
        <v>043*2018*8470*A</v>
      </c>
      <c r="B789" s="270"/>
      <c r="C789" s="273">
        <f>ROUND(BG60,2)</f>
        <v>0</v>
      </c>
      <c r="D789" s="270">
        <f>ROUND(BG61,0)</f>
        <v>0</v>
      </c>
      <c r="E789" s="270">
        <f>ROUND(BG62,0)</f>
        <v>0</v>
      </c>
      <c r="F789" s="270">
        <f>ROUND(BG63,0)</f>
        <v>0</v>
      </c>
      <c r="G789" s="270">
        <f>ROUND(BG64,0)</f>
        <v>0</v>
      </c>
      <c r="H789" s="270">
        <f>ROUND(BG65,0)</f>
        <v>0</v>
      </c>
      <c r="I789" s="270">
        <f>ROUND(BG66,0)</f>
        <v>0</v>
      </c>
      <c r="J789" s="270">
        <f>ROUND(BG67,0)</f>
        <v>0</v>
      </c>
      <c r="K789" s="270">
        <f>ROUND(BG68,0)</f>
        <v>0</v>
      </c>
      <c r="L789" s="270">
        <f>ROUND(BG70,0)</f>
        <v>0</v>
      </c>
      <c r="M789" s="270">
        <f>ROUND(BG71,0)</f>
        <v>0</v>
      </c>
      <c r="N789" s="270"/>
      <c r="O789" s="270"/>
      <c r="P789" s="270">
        <f>IF(BG77&gt;0,ROUND(BG77,0),0)</f>
        <v>0</v>
      </c>
      <c r="Q789" s="270">
        <f>IF(BG78&gt;0,ROUND(BG78,0),0)</f>
        <v>0</v>
      </c>
      <c r="R789" s="270">
        <f>IF(BG79&gt;0,ROUND(BG79,0),0)</f>
        <v>0</v>
      </c>
      <c r="S789" s="270">
        <f>IF(BG80&gt;0,ROUND(BG80,0),0)</f>
        <v>0</v>
      </c>
      <c r="T789" s="273">
        <f>IF(BG81&gt;0,ROUND(BG81,2),0)</f>
        <v>0</v>
      </c>
      <c r="U789" s="270"/>
      <c r="X789" s="270"/>
      <c r="Y789" s="270"/>
      <c r="Z789" s="270"/>
    </row>
    <row r="790" spans="1:26" ht="12.6" customHeight="1" x14ac:dyDescent="0.25">
      <c r="A790" s="207" t="str">
        <f>RIGHT($C$84,3)&amp;"*"&amp;RIGHT($C$83,4)&amp;"*"&amp;BH$55&amp;"*"&amp;"A"</f>
        <v>043*2018*8480*A</v>
      </c>
      <c r="B790" s="270"/>
      <c r="C790" s="273">
        <f>ROUND(BH60,2)</f>
        <v>0</v>
      </c>
      <c r="D790" s="270">
        <f>ROUND(BH61,0)</f>
        <v>0</v>
      </c>
      <c r="E790" s="270">
        <f>ROUND(BH62,0)</f>
        <v>0</v>
      </c>
      <c r="F790" s="270">
        <f>ROUND(BH63,0)</f>
        <v>0</v>
      </c>
      <c r="G790" s="270">
        <f>ROUND(BH64,0)</f>
        <v>0</v>
      </c>
      <c r="H790" s="270">
        <f>ROUND(BH65,0)</f>
        <v>0</v>
      </c>
      <c r="I790" s="270">
        <f>ROUND(BH66,0)</f>
        <v>0</v>
      </c>
      <c r="J790" s="270">
        <f>ROUND(BH67,0)</f>
        <v>0</v>
      </c>
      <c r="K790" s="270">
        <f>ROUND(BH68,0)</f>
        <v>0</v>
      </c>
      <c r="L790" s="270">
        <f>ROUND(BH70,0)</f>
        <v>0</v>
      </c>
      <c r="M790" s="270">
        <f>ROUND(BH71,0)</f>
        <v>0</v>
      </c>
      <c r="N790" s="270"/>
      <c r="O790" s="270"/>
      <c r="P790" s="270">
        <f>IF(BH77&gt;0,ROUND(BH77,0),0)</f>
        <v>0</v>
      </c>
      <c r="Q790" s="270">
        <f>IF(BH78&gt;0,ROUND(BH78,0),0)</f>
        <v>0</v>
      </c>
      <c r="R790" s="270">
        <f>IF(BH79&gt;0,ROUND(BH79,0),0)</f>
        <v>0</v>
      </c>
      <c r="S790" s="270">
        <f>IF(BH80&gt;0,ROUND(BH80,0),0)</f>
        <v>0</v>
      </c>
      <c r="T790" s="273">
        <f>IF(BH81&gt;0,ROUND(BH81,2),0)</f>
        <v>0</v>
      </c>
      <c r="U790" s="270"/>
      <c r="X790" s="270"/>
      <c r="Y790" s="270"/>
      <c r="Z790" s="270"/>
    </row>
    <row r="791" spans="1:26" ht="12.6" customHeight="1" x14ac:dyDescent="0.25">
      <c r="A791" s="207" t="str">
        <f>RIGHT($C$84,3)&amp;"*"&amp;RIGHT($C$83,4)&amp;"*"&amp;BI$55&amp;"*"&amp;"A"</f>
        <v>043*2018*8490*A</v>
      </c>
      <c r="B791" s="270"/>
      <c r="C791" s="273">
        <f>ROUND(BI60,2)</f>
        <v>0</v>
      </c>
      <c r="D791" s="270">
        <f>ROUND(BI61,0)</f>
        <v>0</v>
      </c>
      <c r="E791" s="270">
        <f>ROUND(BI62,0)</f>
        <v>0</v>
      </c>
      <c r="F791" s="270">
        <f>ROUND(BI63,0)</f>
        <v>0</v>
      </c>
      <c r="G791" s="270">
        <f>ROUND(BI64,0)</f>
        <v>0</v>
      </c>
      <c r="H791" s="270">
        <f>ROUND(BI65,0)</f>
        <v>0</v>
      </c>
      <c r="I791" s="270">
        <f>ROUND(BI66,0)</f>
        <v>0</v>
      </c>
      <c r="J791" s="270">
        <f>ROUND(BI67,0)</f>
        <v>0</v>
      </c>
      <c r="K791" s="270">
        <f>ROUND(BI68,0)</f>
        <v>0</v>
      </c>
      <c r="L791" s="270">
        <f>ROUND(BI70,0)</f>
        <v>0</v>
      </c>
      <c r="M791" s="270">
        <f>ROUND(BI71,0)</f>
        <v>0</v>
      </c>
      <c r="N791" s="270"/>
      <c r="O791" s="270"/>
      <c r="P791" s="270">
        <f>IF(BI77&gt;0,ROUND(BI77,0),0)</f>
        <v>0</v>
      </c>
      <c r="Q791" s="270">
        <f>IF(BI78&gt;0,ROUND(BI78,0),0)</f>
        <v>0</v>
      </c>
      <c r="R791" s="270">
        <f>IF(BI79&gt;0,ROUND(BI79,0),0)</f>
        <v>0</v>
      </c>
      <c r="S791" s="270">
        <f>IF(BI80&gt;0,ROUND(BI80,0),0)</f>
        <v>0</v>
      </c>
      <c r="T791" s="273">
        <f>IF(BI81&gt;0,ROUND(BI81,2),0)</f>
        <v>0</v>
      </c>
      <c r="U791" s="270"/>
      <c r="X791" s="270"/>
      <c r="Y791" s="270"/>
      <c r="Z791" s="270"/>
    </row>
    <row r="792" spans="1:26" ht="12.6" customHeight="1" x14ac:dyDescent="0.25">
      <c r="A792" s="207" t="str">
        <f>RIGHT($C$84,3)&amp;"*"&amp;RIGHT($C$83,4)&amp;"*"&amp;BJ$55&amp;"*"&amp;"A"</f>
        <v>043*2018*8510*A</v>
      </c>
      <c r="B792" s="270"/>
      <c r="C792" s="273">
        <f>ROUND(BJ60,2)</f>
        <v>7.84</v>
      </c>
      <c r="D792" s="270">
        <f>ROUND(BJ61,0)</f>
        <v>352082</v>
      </c>
      <c r="E792" s="270">
        <f>ROUND(BJ62,0)</f>
        <v>68812</v>
      </c>
      <c r="F792" s="270">
        <f>ROUND(BJ63,0)</f>
        <v>0</v>
      </c>
      <c r="G792" s="270">
        <f>ROUND(BJ64,0)</f>
        <v>7566</v>
      </c>
      <c r="H792" s="270">
        <f>ROUND(BJ65,0)</f>
        <v>2118</v>
      </c>
      <c r="I792" s="270">
        <f>ROUND(BJ66,0)</f>
        <v>139069</v>
      </c>
      <c r="J792" s="270">
        <f>ROUND(BJ67,0)</f>
        <v>0</v>
      </c>
      <c r="K792" s="270">
        <f>ROUND(BJ68,0)</f>
        <v>37033</v>
      </c>
      <c r="L792" s="270">
        <f>ROUND(BJ70,0)</f>
        <v>17601</v>
      </c>
      <c r="M792" s="270">
        <f>ROUND(BJ71,0)</f>
        <v>0</v>
      </c>
      <c r="N792" s="270"/>
      <c r="O792" s="270"/>
      <c r="P792" s="270">
        <f>IF(BJ77&gt;0,ROUND(BJ77,0),0)</f>
        <v>0</v>
      </c>
      <c r="Q792" s="270">
        <f>IF(BJ78&gt;0,ROUND(BJ78,0),0)</f>
        <v>0</v>
      </c>
      <c r="R792" s="270">
        <f>IF(BJ79&gt;0,ROUND(BJ79,0),0)</f>
        <v>0</v>
      </c>
      <c r="S792" s="270">
        <f>IF(BJ80&gt;0,ROUND(BJ80,0),0)</f>
        <v>0</v>
      </c>
      <c r="T792" s="273">
        <f>IF(BJ81&gt;0,ROUND(BJ81,2),0)</f>
        <v>0</v>
      </c>
      <c r="U792" s="270"/>
      <c r="X792" s="270"/>
      <c r="Y792" s="270"/>
      <c r="Z792" s="270"/>
    </row>
    <row r="793" spans="1:26" ht="12.6" customHeight="1" x14ac:dyDescent="0.25">
      <c r="A793" s="207" t="str">
        <f>RIGHT($C$84,3)&amp;"*"&amp;RIGHT($C$83,4)&amp;"*"&amp;BK$55&amp;"*"&amp;"A"</f>
        <v>043*2018*8530*A</v>
      </c>
      <c r="B793" s="270"/>
      <c r="C793" s="273">
        <f>ROUND(BK60,2)</f>
        <v>0</v>
      </c>
      <c r="D793" s="270">
        <f>ROUND(BK61,0)</f>
        <v>0</v>
      </c>
      <c r="E793" s="270">
        <f>ROUND(BK62,0)</f>
        <v>0</v>
      </c>
      <c r="F793" s="270">
        <f>ROUND(BK63,0)</f>
        <v>0</v>
      </c>
      <c r="G793" s="270">
        <f>ROUND(BK64,0)</f>
        <v>0</v>
      </c>
      <c r="H793" s="270">
        <f>ROUND(BK65,0)</f>
        <v>0</v>
      </c>
      <c r="I793" s="270">
        <f>ROUND(BK66,0)</f>
        <v>0</v>
      </c>
      <c r="J793" s="270">
        <f>ROUND(BK67,0)</f>
        <v>0</v>
      </c>
      <c r="K793" s="270">
        <f>ROUND(BK68,0)</f>
        <v>0</v>
      </c>
      <c r="L793" s="270">
        <f>ROUND(BK70,0)</f>
        <v>0</v>
      </c>
      <c r="M793" s="270">
        <f>ROUND(BK71,0)</f>
        <v>0</v>
      </c>
      <c r="N793" s="270"/>
      <c r="O793" s="270"/>
      <c r="P793" s="270">
        <f>IF(BK77&gt;0,ROUND(BK77,0),0)</f>
        <v>0</v>
      </c>
      <c r="Q793" s="270">
        <f>IF(BK78&gt;0,ROUND(BK78,0),0)</f>
        <v>0</v>
      </c>
      <c r="R793" s="270">
        <f>IF(BK79&gt;0,ROUND(BK79,0),0)</f>
        <v>0</v>
      </c>
      <c r="S793" s="270">
        <f>IF(BK80&gt;0,ROUND(BK80,0),0)</f>
        <v>0</v>
      </c>
      <c r="T793" s="273">
        <f>IF(BK81&gt;0,ROUND(BK81,2),0)</f>
        <v>0</v>
      </c>
      <c r="U793" s="270"/>
      <c r="X793" s="270"/>
      <c r="Y793" s="270"/>
      <c r="Z793" s="270"/>
    </row>
    <row r="794" spans="1:26" ht="12.6" customHeight="1" x14ac:dyDescent="0.25">
      <c r="A794" s="207" t="str">
        <f>RIGHT($C$84,3)&amp;"*"&amp;RIGHT($C$83,4)&amp;"*"&amp;BL$55&amp;"*"&amp;"A"</f>
        <v>043*2018*8560*A</v>
      </c>
      <c r="B794" s="270"/>
      <c r="C794" s="273">
        <f>ROUND(BL60,2)</f>
        <v>8.39</v>
      </c>
      <c r="D794" s="270">
        <f>ROUND(BL61,0)</f>
        <v>322593</v>
      </c>
      <c r="E794" s="270">
        <f>ROUND(BL62,0)</f>
        <v>63048</v>
      </c>
      <c r="F794" s="270">
        <f>ROUND(BL63,0)</f>
        <v>0</v>
      </c>
      <c r="G794" s="270">
        <f>ROUND(BL64,0)</f>
        <v>5280</v>
      </c>
      <c r="H794" s="270">
        <f>ROUND(BL65,0)</f>
        <v>0</v>
      </c>
      <c r="I794" s="270">
        <f>ROUND(BL66,0)</f>
        <v>9000</v>
      </c>
      <c r="J794" s="270">
        <f>ROUND(BL67,0)</f>
        <v>0</v>
      </c>
      <c r="K794" s="270">
        <f>ROUND(BL68,0)</f>
        <v>6708</v>
      </c>
      <c r="L794" s="270">
        <f>ROUND(BL70,0)</f>
        <v>10861</v>
      </c>
      <c r="M794" s="270">
        <f>ROUND(BL71,0)</f>
        <v>0</v>
      </c>
      <c r="N794" s="270"/>
      <c r="O794" s="270"/>
      <c r="P794" s="270">
        <f>IF(BL77&gt;0,ROUND(BL77,0),0)</f>
        <v>0</v>
      </c>
      <c r="Q794" s="270">
        <f>IF(BL78&gt;0,ROUND(BL78,0),0)</f>
        <v>0</v>
      </c>
      <c r="R794" s="270">
        <f>IF(BL79&gt;0,ROUND(BL79,0),0)</f>
        <v>0</v>
      </c>
      <c r="S794" s="270">
        <f>IF(BL80&gt;0,ROUND(BL80,0),0)</f>
        <v>0</v>
      </c>
      <c r="T794" s="273">
        <f>IF(BL81&gt;0,ROUND(BL81,2),0)</f>
        <v>0</v>
      </c>
      <c r="U794" s="270"/>
      <c r="X794" s="270"/>
      <c r="Y794" s="270"/>
      <c r="Z794" s="270"/>
    </row>
    <row r="795" spans="1:26" ht="12.6" customHeight="1" x14ac:dyDescent="0.25">
      <c r="A795" s="207" t="str">
        <f>RIGHT($C$84,3)&amp;"*"&amp;RIGHT($C$83,4)&amp;"*"&amp;BM$55&amp;"*"&amp;"A"</f>
        <v>043*2018*8590*A</v>
      </c>
      <c r="B795" s="270"/>
      <c r="C795" s="273">
        <f>ROUND(BM60,2)</f>
        <v>0</v>
      </c>
      <c r="D795" s="270">
        <f>ROUND(BM61,0)</f>
        <v>0</v>
      </c>
      <c r="E795" s="270">
        <f>ROUND(BM62,0)</f>
        <v>0</v>
      </c>
      <c r="F795" s="270">
        <f>ROUND(BM63,0)</f>
        <v>0</v>
      </c>
      <c r="G795" s="270">
        <f>ROUND(BM64,0)</f>
        <v>0</v>
      </c>
      <c r="H795" s="270">
        <f>ROUND(BM65,0)</f>
        <v>0</v>
      </c>
      <c r="I795" s="270">
        <f>ROUND(BM66,0)</f>
        <v>0</v>
      </c>
      <c r="J795" s="270">
        <f>ROUND(BM67,0)</f>
        <v>0</v>
      </c>
      <c r="K795" s="270">
        <f>ROUND(BM68,0)</f>
        <v>0</v>
      </c>
      <c r="L795" s="270">
        <f>ROUND(BM70,0)</f>
        <v>0</v>
      </c>
      <c r="M795" s="270">
        <f>ROUND(BM71,0)</f>
        <v>0</v>
      </c>
      <c r="N795" s="270"/>
      <c r="O795" s="270"/>
      <c r="P795" s="270">
        <f>IF(BM77&gt;0,ROUND(BM77,0),0)</f>
        <v>0</v>
      </c>
      <c r="Q795" s="270">
        <f>IF(BM78&gt;0,ROUND(BM78,0),0)</f>
        <v>0</v>
      </c>
      <c r="R795" s="270">
        <f>IF(BM79&gt;0,ROUND(BM79,0),0)</f>
        <v>0</v>
      </c>
      <c r="S795" s="270">
        <f>IF(BM80&gt;0,ROUND(BM80,0),0)</f>
        <v>0</v>
      </c>
      <c r="T795" s="273">
        <f>IF(BM81&gt;0,ROUND(BM81,2),0)</f>
        <v>0</v>
      </c>
      <c r="U795" s="270"/>
      <c r="X795" s="270"/>
      <c r="Y795" s="270"/>
      <c r="Z795" s="270"/>
    </row>
    <row r="796" spans="1:26" ht="12.6" customHeight="1" x14ac:dyDescent="0.25">
      <c r="A796" s="207" t="str">
        <f>RIGHT($C$84,3)&amp;"*"&amp;RIGHT($C$83,4)&amp;"*"&amp;BN$55&amp;"*"&amp;"A"</f>
        <v>043*2018*8610*A</v>
      </c>
      <c r="B796" s="270"/>
      <c r="C796" s="273">
        <f>ROUND(BN60,2)</f>
        <v>14.23</v>
      </c>
      <c r="D796" s="270">
        <f>ROUND(BN61,0)</f>
        <v>1388775</v>
      </c>
      <c r="E796" s="270">
        <f>ROUND(BN62,0)</f>
        <v>271425</v>
      </c>
      <c r="F796" s="270">
        <f>ROUND(BN63,0)</f>
        <v>0</v>
      </c>
      <c r="G796" s="270">
        <f>ROUND(BN64,0)</f>
        <v>73988</v>
      </c>
      <c r="H796" s="270">
        <f>ROUND(BN65,0)</f>
        <v>46065</v>
      </c>
      <c r="I796" s="270">
        <f>ROUND(BN66,0)</f>
        <v>474690</v>
      </c>
      <c r="J796" s="270">
        <f>ROUND(BN67,0)</f>
        <v>119811</v>
      </c>
      <c r="K796" s="270">
        <f>ROUND(BN68,0)</f>
        <v>41684</v>
      </c>
      <c r="L796" s="270">
        <f>ROUND(BN70,0)</f>
        <v>244484</v>
      </c>
      <c r="M796" s="270">
        <f>ROUND(BN71,0)</f>
        <v>36340</v>
      </c>
      <c r="N796" s="270"/>
      <c r="O796" s="270"/>
      <c r="P796" s="270">
        <f>IF(BN77&gt;0,ROUND(BN77,0),0)</f>
        <v>7930</v>
      </c>
      <c r="Q796" s="270">
        <f>IF(BN78&gt;0,ROUND(BN78,0),0)</f>
        <v>0</v>
      </c>
      <c r="R796" s="270">
        <f>IF(BN79&gt;0,ROUND(BN79,0),0)</f>
        <v>0</v>
      </c>
      <c r="S796" s="270">
        <f>IF(BN80&gt;0,ROUND(BN80,0),0)</f>
        <v>0</v>
      </c>
      <c r="T796" s="273">
        <f>IF(BN81&gt;0,ROUND(BN81,2),0)</f>
        <v>0</v>
      </c>
      <c r="U796" s="270"/>
      <c r="X796" s="270"/>
      <c r="Y796" s="270"/>
      <c r="Z796" s="270"/>
    </row>
    <row r="797" spans="1:26" ht="12.6" customHeight="1" x14ac:dyDescent="0.25">
      <c r="A797" s="207" t="str">
        <f>RIGHT($C$84,3)&amp;"*"&amp;RIGHT($C$83,4)&amp;"*"&amp;BO$55&amp;"*"&amp;"A"</f>
        <v>043*2018*8620*A</v>
      </c>
      <c r="B797" s="270"/>
      <c r="C797" s="273">
        <f>ROUND(BO60,2)</f>
        <v>0</v>
      </c>
      <c r="D797" s="270">
        <f>ROUND(BO61,0)</f>
        <v>0</v>
      </c>
      <c r="E797" s="270">
        <f>ROUND(BO62,0)</f>
        <v>0</v>
      </c>
      <c r="F797" s="270">
        <f>ROUND(BO63,0)</f>
        <v>0</v>
      </c>
      <c r="G797" s="270">
        <f>ROUND(BO64,0)</f>
        <v>0</v>
      </c>
      <c r="H797" s="270">
        <f>ROUND(BO65,0)</f>
        <v>0</v>
      </c>
      <c r="I797" s="270">
        <f>ROUND(BO66,0)</f>
        <v>0</v>
      </c>
      <c r="J797" s="270">
        <f>ROUND(BO67,0)</f>
        <v>0</v>
      </c>
      <c r="K797" s="270">
        <f>ROUND(BO68,0)</f>
        <v>0</v>
      </c>
      <c r="L797" s="270">
        <f>ROUND(BO70,0)</f>
        <v>0</v>
      </c>
      <c r="M797" s="270">
        <f>ROUND(BO71,0)</f>
        <v>0</v>
      </c>
      <c r="N797" s="270"/>
      <c r="O797" s="270"/>
      <c r="P797" s="270">
        <f>IF(BO77&gt;0,ROUND(BO77,0),0)</f>
        <v>0</v>
      </c>
      <c r="Q797" s="270">
        <f>IF(BO78&gt;0,ROUND(BO78,0),0)</f>
        <v>0</v>
      </c>
      <c r="R797" s="270">
        <f>IF(BO79&gt;0,ROUND(BO79,0),0)</f>
        <v>0</v>
      </c>
      <c r="S797" s="270">
        <f>IF(BO80&gt;0,ROUND(BO80,0),0)</f>
        <v>0</v>
      </c>
      <c r="T797" s="273">
        <f>IF(BO81&gt;0,ROUND(BO81,2),0)</f>
        <v>0</v>
      </c>
      <c r="U797" s="270"/>
      <c r="X797" s="270"/>
      <c r="Y797" s="270"/>
      <c r="Z797" s="270"/>
    </row>
    <row r="798" spans="1:26" ht="12.6" customHeight="1" x14ac:dyDescent="0.25">
      <c r="A798" s="207" t="str">
        <f>RIGHT($C$84,3)&amp;"*"&amp;RIGHT($C$83,4)&amp;"*"&amp;BP$55&amp;"*"&amp;"A"</f>
        <v>043*2018*8630*A</v>
      </c>
      <c r="B798" s="270"/>
      <c r="C798" s="273">
        <f>ROUND(BP60,2)</f>
        <v>0</v>
      </c>
      <c r="D798" s="270">
        <f>ROUND(BP61,0)</f>
        <v>0</v>
      </c>
      <c r="E798" s="270">
        <f>ROUND(BP62,0)</f>
        <v>0</v>
      </c>
      <c r="F798" s="270">
        <f>ROUND(BP63,0)</f>
        <v>0</v>
      </c>
      <c r="G798" s="270">
        <f>ROUND(BP64,0)</f>
        <v>0</v>
      </c>
      <c r="H798" s="270">
        <f>ROUND(BP65,0)</f>
        <v>0</v>
      </c>
      <c r="I798" s="270">
        <f>ROUND(BP66,0)</f>
        <v>0</v>
      </c>
      <c r="J798" s="270">
        <f>ROUND(BP67,0)</f>
        <v>0</v>
      </c>
      <c r="K798" s="270">
        <f>ROUND(BP68,0)</f>
        <v>0</v>
      </c>
      <c r="L798" s="270">
        <f>ROUND(BP70,0)</f>
        <v>0</v>
      </c>
      <c r="M798" s="270">
        <f>ROUND(BP71,0)</f>
        <v>0</v>
      </c>
      <c r="N798" s="270"/>
      <c r="O798" s="270"/>
      <c r="P798" s="270">
        <f>IF(BP77&gt;0,ROUND(BP77,0),0)</f>
        <v>0</v>
      </c>
      <c r="Q798" s="270">
        <f>IF(BP78&gt;0,ROUND(BP78,0),0)</f>
        <v>0</v>
      </c>
      <c r="R798" s="270">
        <f>IF(BP79&gt;0,ROUND(BP79,0),0)</f>
        <v>0</v>
      </c>
      <c r="S798" s="270">
        <f>IF(BP80&gt;0,ROUND(BP80,0),0)</f>
        <v>0</v>
      </c>
      <c r="T798" s="273">
        <f>IF(BP81&gt;0,ROUND(BP81,2),0)</f>
        <v>0</v>
      </c>
      <c r="U798" s="270"/>
      <c r="X798" s="270"/>
      <c r="Y798" s="270"/>
      <c r="Z798" s="270"/>
    </row>
    <row r="799" spans="1:26" ht="12.6" customHeight="1" x14ac:dyDescent="0.25">
      <c r="A799" s="207" t="str">
        <f>RIGHT($C$84,3)&amp;"*"&amp;RIGHT($C$83,4)&amp;"*"&amp;BQ$55&amp;"*"&amp;"A"</f>
        <v>043*2018*8640*A</v>
      </c>
      <c r="B799" s="270"/>
      <c r="C799" s="273">
        <f>ROUND(BQ60,2)</f>
        <v>0</v>
      </c>
      <c r="D799" s="270">
        <f>ROUND(BQ61,0)</f>
        <v>0</v>
      </c>
      <c r="E799" s="270">
        <f>ROUND(BQ62,0)</f>
        <v>0</v>
      </c>
      <c r="F799" s="270">
        <f>ROUND(BQ63,0)</f>
        <v>0</v>
      </c>
      <c r="G799" s="270">
        <f>ROUND(BQ64,0)</f>
        <v>0</v>
      </c>
      <c r="H799" s="270">
        <f>ROUND(BQ65,0)</f>
        <v>0</v>
      </c>
      <c r="I799" s="270">
        <f>ROUND(BQ66,0)</f>
        <v>0</v>
      </c>
      <c r="J799" s="270">
        <f>ROUND(BQ67,0)</f>
        <v>0</v>
      </c>
      <c r="K799" s="270">
        <f>ROUND(BQ68,0)</f>
        <v>0</v>
      </c>
      <c r="L799" s="270">
        <f>ROUND(BQ70,0)</f>
        <v>0</v>
      </c>
      <c r="M799" s="270">
        <f>ROUND(BQ71,0)</f>
        <v>0</v>
      </c>
      <c r="N799" s="270"/>
      <c r="O799" s="270"/>
      <c r="P799" s="270">
        <f>IF(BQ77&gt;0,ROUND(BQ77,0),0)</f>
        <v>0</v>
      </c>
      <c r="Q799" s="270">
        <f>IF(BQ78&gt;0,ROUND(BQ78,0),0)</f>
        <v>0</v>
      </c>
      <c r="R799" s="270">
        <f>IF(BQ79&gt;0,ROUND(BQ79,0),0)</f>
        <v>0</v>
      </c>
      <c r="S799" s="270">
        <f>IF(BQ80&gt;0,ROUND(BQ80,0),0)</f>
        <v>0</v>
      </c>
      <c r="T799" s="273">
        <f>IF(BQ81&gt;0,ROUND(BQ81,2),0)</f>
        <v>0</v>
      </c>
      <c r="U799" s="270"/>
      <c r="X799" s="270"/>
      <c r="Y799" s="270"/>
      <c r="Z799" s="270"/>
    </row>
    <row r="800" spans="1:26" ht="12.6" customHeight="1" x14ac:dyDescent="0.25">
      <c r="A800" s="207" t="str">
        <f>RIGHT($C$84,3)&amp;"*"&amp;RIGHT($C$83,4)&amp;"*"&amp;BR$55&amp;"*"&amp;"A"</f>
        <v>043*2018*8650*A</v>
      </c>
      <c r="B800" s="270"/>
      <c r="C800" s="273">
        <f>ROUND(BR60,2)</f>
        <v>0</v>
      </c>
      <c r="D800" s="270">
        <f>ROUND(BR61,0)</f>
        <v>0</v>
      </c>
      <c r="E800" s="270">
        <f>ROUND(BR62,0)</f>
        <v>0</v>
      </c>
      <c r="F800" s="270">
        <f>ROUND(BR63,0)</f>
        <v>0</v>
      </c>
      <c r="G800" s="270">
        <f>ROUND(BR64,0)</f>
        <v>0</v>
      </c>
      <c r="H800" s="270">
        <f>ROUND(BR65,0)</f>
        <v>0</v>
      </c>
      <c r="I800" s="270">
        <f>ROUND(BR66,0)</f>
        <v>0</v>
      </c>
      <c r="J800" s="270">
        <f>ROUND(BR67,0)</f>
        <v>0</v>
      </c>
      <c r="K800" s="270">
        <f>ROUND(BR68,0)</f>
        <v>0</v>
      </c>
      <c r="L800" s="270">
        <f>ROUND(BR70,0)</f>
        <v>0</v>
      </c>
      <c r="M800" s="270">
        <f>ROUND(BR71,0)</f>
        <v>0</v>
      </c>
      <c r="N800" s="270"/>
      <c r="O800" s="270"/>
      <c r="P800" s="270">
        <f>IF(BR77&gt;0,ROUND(BR77,0),0)</f>
        <v>0</v>
      </c>
      <c r="Q800" s="270">
        <f>IF(BR78&gt;0,ROUND(BR78,0),0)</f>
        <v>0</v>
      </c>
      <c r="R800" s="270">
        <f>IF(BR79&gt;0,ROUND(BR79,0),0)</f>
        <v>0</v>
      </c>
      <c r="S800" s="270">
        <f>IF(BR80&gt;0,ROUND(BR80,0),0)</f>
        <v>0</v>
      </c>
      <c r="T800" s="273">
        <f>IF(BR81&gt;0,ROUND(BR81,2),0)</f>
        <v>0</v>
      </c>
      <c r="U800" s="270"/>
      <c r="X800" s="270"/>
      <c r="Y800" s="270"/>
      <c r="Z800" s="270"/>
    </row>
    <row r="801" spans="1:26" ht="12.6" customHeight="1" x14ac:dyDescent="0.25">
      <c r="A801" s="207" t="str">
        <f>RIGHT($C$84,3)&amp;"*"&amp;RIGHT($C$83,4)&amp;"*"&amp;BS$55&amp;"*"&amp;"A"</f>
        <v>043*2018*8660*A</v>
      </c>
      <c r="B801" s="270"/>
      <c r="C801" s="273">
        <f>ROUND(BS60,2)</f>
        <v>0</v>
      </c>
      <c r="D801" s="270">
        <f>ROUND(BS61,0)</f>
        <v>0</v>
      </c>
      <c r="E801" s="270">
        <f>ROUND(BS62,0)</f>
        <v>0</v>
      </c>
      <c r="F801" s="270">
        <f>ROUND(BS63,0)</f>
        <v>0</v>
      </c>
      <c r="G801" s="270">
        <f>ROUND(BS64,0)</f>
        <v>0</v>
      </c>
      <c r="H801" s="270">
        <f>ROUND(BS65,0)</f>
        <v>0</v>
      </c>
      <c r="I801" s="270">
        <f>ROUND(BS66,0)</f>
        <v>0</v>
      </c>
      <c r="J801" s="270">
        <f>ROUND(BS67,0)</f>
        <v>0</v>
      </c>
      <c r="K801" s="270">
        <f>ROUND(BS68,0)</f>
        <v>0</v>
      </c>
      <c r="L801" s="270">
        <f>ROUND(BS70,0)</f>
        <v>0</v>
      </c>
      <c r="M801" s="270">
        <f>ROUND(BS71,0)</f>
        <v>0</v>
      </c>
      <c r="N801" s="270"/>
      <c r="O801" s="270"/>
      <c r="P801" s="270">
        <f>IF(BS77&gt;0,ROUND(BS77,0),0)</f>
        <v>0</v>
      </c>
      <c r="Q801" s="270">
        <f>IF(BS78&gt;0,ROUND(BS78,0),0)</f>
        <v>0</v>
      </c>
      <c r="R801" s="270">
        <f>IF(BS79&gt;0,ROUND(BS79,0),0)</f>
        <v>0</v>
      </c>
      <c r="S801" s="270">
        <f>IF(BS80&gt;0,ROUND(BS80,0),0)</f>
        <v>0</v>
      </c>
      <c r="T801" s="273">
        <f>IF(BS81&gt;0,ROUND(BS81,2),0)</f>
        <v>0</v>
      </c>
      <c r="U801" s="270"/>
      <c r="X801" s="270"/>
      <c r="Y801" s="270"/>
      <c r="Z801" s="270"/>
    </row>
    <row r="802" spans="1:26" ht="12.6" customHeight="1" x14ac:dyDescent="0.25">
      <c r="A802" s="207" t="str">
        <f>RIGHT($C$84,3)&amp;"*"&amp;RIGHT($C$83,4)&amp;"*"&amp;BT$55&amp;"*"&amp;"A"</f>
        <v>043*2018*8670*A</v>
      </c>
      <c r="B802" s="270"/>
      <c r="C802" s="273">
        <f>ROUND(BT60,2)</f>
        <v>0</v>
      </c>
      <c r="D802" s="270">
        <f>ROUND(BT61,0)</f>
        <v>0</v>
      </c>
      <c r="E802" s="270">
        <f>ROUND(BT62,0)</f>
        <v>0</v>
      </c>
      <c r="F802" s="270">
        <f>ROUND(BT63,0)</f>
        <v>0</v>
      </c>
      <c r="G802" s="270">
        <f>ROUND(BT64,0)</f>
        <v>0</v>
      </c>
      <c r="H802" s="270">
        <f>ROUND(BT65,0)</f>
        <v>0</v>
      </c>
      <c r="I802" s="270">
        <f>ROUND(BT66,0)</f>
        <v>0</v>
      </c>
      <c r="J802" s="270">
        <f>ROUND(BT67,0)</f>
        <v>0</v>
      </c>
      <c r="K802" s="270">
        <f>ROUND(BT68,0)</f>
        <v>0</v>
      </c>
      <c r="L802" s="270">
        <f>ROUND(BT70,0)</f>
        <v>0</v>
      </c>
      <c r="M802" s="270">
        <f>ROUND(BT71,0)</f>
        <v>0</v>
      </c>
      <c r="N802" s="270"/>
      <c r="O802" s="270"/>
      <c r="P802" s="270">
        <f>IF(BT77&gt;0,ROUND(BT77,0),0)</f>
        <v>0</v>
      </c>
      <c r="Q802" s="270">
        <f>IF(BT78&gt;0,ROUND(BT78,0),0)</f>
        <v>0</v>
      </c>
      <c r="R802" s="270">
        <f>IF(BT79&gt;0,ROUND(BT79,0),0)</f>
        <v>0</v>
      </c>
      <c r="S802" s="270">
        <f>IF(BT80&gt;0,ROUND(BT80,0),0)</f>
        <v>0</v>
      </c>
      <c r="T802" s="273">
        <f>IF(BT81&gt;0,ROUND(BT81,2),0)</f>
        <v>0</v>
      </c>
      <c r="U802" s="270"/>
      <c r="X802" s="270"/>
      <c r="Y802" s="270"/>
      <c r="Z802" s="270"/>
    </row>
    <row r="803" spans="1:26" ht="12.6" customHeight="1" x14ac:dyDescent="0.25">
      <c r="A803" s="207" t="str">
        <f>RIGHT($C$84,3)&amp;"*"&amp;RIGHT($C$83,4)&amp;"*"&amp;BU$55&amp;"*"&amp;"A"</f>
        <v>043*2018*8680*A</v>
      </c>
      <c r="B803" s="270"/>
      <c r="C803" s="273">
        <f>ROUND(BU60,2)</f>
        <v>0</v>
      </c>
      <c r="D803" s="270">
        <f>ROUND(BU61,0)</f>
        <v>0</v>
      </c>
      <c r="E803" s="270">
        <f>ROUND(BU62,0)</f>
        <v>0</v>
      </c>
      <c r="F803" s="270">
        <f>ROUND(BU63,0)</f>
        <v>0</v>
      </c>
      <c r="G803" s="270">
        <f>ROUND(BU64,0)</f>
        <v>0</v>
      </c>
      <c r="H803" s="270">
        <f>ROUND(BU65,0)</f>
        <v>0</v>
      </c>
      <c r="I803" s="270">
        <f>ROUND(BU66,0)</f>
        <v>0</v>
      </c>
      <c r="J803" s="270">
        <f>ROUND(BU67,0)</f>
        <v>0</v>
      </c>
      <c r="K803" s="270">
        <f>ROUND(BU68,0)</f>
        <v>0</v>
      </c>
      <c r="L803" s="270">
        <f>ROUND(BU70,0)</f>
        <v>0</v>
      </c>
      <c r="M803" s="270">
        <f>ROUND(BU71,0)</f>
        <v>0</v>
      </c>
      <c r="N803" s="270"/>
      <c r="O803" s="270"/>
      <c r="P803" s="270">
        <f>IF(BU77&gt;0,ROUND(BU77,0),0)</f>
        <v>0</v>
      </c>
      <c r="Q803" s="270">
        <f>IF(BU78&gt;0,ROUND(BU78,0),0)</f>
        <v>0</v>
      </c>
      <c r="R803" s="270">
        <f>IF(BU79&gt;0,ROUND(BU79,0),0)</f>
        <v>0</v>
      </c>
      <c r="S803" s="270">
        <f>IF(BU80&gt;0,ROUND(BU80,0),0)</f>
        <v>0</v>
      </c>
      <c r="T803" s="273">
        <f>IF(BU81&gt;0,ROUND(BU81,2),0)</f>
        <v>0</v>
      </c>
      <c r="U803" s="270"/>
      <c r="X803" s="270"/>
      <c r="Y803" s="270"/>
      <c r="Z803" s="270"/>
    </row>
    <row r="804" spans="1:26" ht="12.6" customHeight="1" x14ac:dyDescent="0.25">
      <c r="A804" s="207" t="str">
        <f>RIGHT($C$84,3)&amp;"*"&amp;RIGHT($C$83,4)&amp;"*"&amp;BV$55&amp;"*"&amp;"A"</f>
        <v>043*2018*8690*A</v>
      </c>
      <c r="B804" s="270"/>
      <c r="C804" s="273">
        <f>ROUND(BV60,2)</f>
        <v>4.28</v>
      </c>
      <c r="D804" s="270">
        <f>ROUND(BV61,0)</f>
        <v>222671</v>
      </c>
      <c r="E804" s="270">
        <f>ROUND(BV62,0)</f>
        <v>43519</v>
      </c>
      <c r="F804" s="270">
        <f>ROUND(BV63,0)</f>
        <v>0</v>
      </c>
      <c r="G804" s="270">
        <f>ROUND(BV64,0)</f>
        <v>4401</v>
      </c>
      <c r="H804" s="270">
        <f>ROUND(BV65,0)</f>
        <v>825</v>
      </c>
      <c r="I804" s="270">
        <f>ROUND(BV66,0)</f>
        <v>22089</v>
      </c>
      <c r="J804" s="270">
        <f>ROUND(BV67,0)</f>
        <v>2896</v>
      </c>
      <c r="K804" s="270">
        <f>ROUND(BV68,0)</f>
        <v>12340</v>
      </c>
      <c r="L804" s="270">
        <f>ROUND(BV70,0)</f>
        <v>40371</v>
      </c>
      <c r="M804" s="270">
        <f>ROUND(BV71,0)</f>
        <v>11098</v>
      </c>
      <c r="N804" s="270"/>
      <c r="O804" s="270"/>
      <c r="P804" s="270">
        <f>IF(BV77&gt;0,ROUND(BV77,0),0)</f>
        <v>537</v>
      </c>
      <c r="Q804" s="270">
        <f>IF(BV78&gt;0,ROUND(BV78,0),0)</f>
        <v>0</v>
      </c>
      <c r="R804" s="270">
        <f>IF(BV79&gt;0,ROUND(BV79,0),0)</f>
        <v>537</v>
      </c>
      <c r="S804" s="270">
        <f>IF(BV80&gt;0,ROUND(BV80,0),0)</f>
        <v>0</v>
      </c>
      <c r="T804" s="273">
        <f>IF(BV81&gt;0,ROUND(BV81,2),0)</f>
        <v>0</v>
      </c>
      <c r="U804" s="270"/>
      <c r="X804" s="270"/>
      <c r="Y804" s="270"/>
      <c r="Z804" s="270"/>
    </row>
    <row r="805" spans="1:26" ht="12.6" customHeight="1" x14ac:dyDescent="0.25">
      <c r="A805" s="207" t="str">
        <f>RIGHT($C$84,3)&amp;"*"&amp;RIGHT($C$83,4)&amp;"*"&amp;BW$55&amp;"*"&amp;"A"</f>
        <v>043*2018*8700*A</v>
      </c>
      <c r="B805" s="270"/>
      <c r="C805" s="273">
        <f>ROUND(BW60,2)</f>
        <v>0</v>
      </c>
      <c r="D805" s="270">
        <f>ROUND(BW61,0)</f>
        <v>0</v>
      </c>
      <c r="E805" s="270">
        <f>ROUND(BW62,0)</f>
        <v>0</v>
      </c>
      <c r="F805" s="270">
        <f>ROUND(BW63,0)</f>
        <v>0</v>
      </c>
      <c r="G805" s="270">
        <f>ROUND(BW64,0)</f>
        <v>0</v>
      </c>
      <c r="H805" s="270">
        <f>ROUND(BW65,0)</f>
        <v>0</v>
      </c>
      <c r="I805" s="270">
        <f>ROUND(BW66,0)</f>
        <v>0</v>
      </c>
      <c r="J805" s="270">
        <f>ROUND(BW67,0)</f>
        <v>0</v>
      </c>
      <c r="K805" s="270">
        <f>ROUND(BW68,0)</f>
        <v>0</v>
      </c>
      <c r="L805" s="270">
        <f>ROUND(BW70,0)</f>
        <v>0</v>
      </c>
      <c r="M805" s="270">
        <f>ROUND(BW71,0)</f>
        <v>0</v>
      </c>
      <c r="N805" s="270"/>
      <c r="O805" s="270"/>
      <c r="P805" s="270">
        <f>IF(BW77&gt;0,ROUND(BW77,0),0)</f>
        <v>0</v>
      </c>
      <c r="Q805" s="270">
        <f>IF(BW78&gt;0,ROUND(BW78,0),0)</f>
        <v>0</v>
      </c>
      <c r="R805" s="270">
        <f>IF(BW79&gt;0,ROUND(BW79,0),0)</f>
        <v>0</v>
      </c>
      <c r="S805" s="270">
        <f>IF(BW80&gt;0,ROUND(BW80,0),0)</f>
        <v>0</v>
      </c>
      <c r="T805" s="273">
        <f>IF(BW81&gt;0,ROUND(BW81,2),0)</f>
        <v>0</v>
      </c>
      <c r="U805" s="270"/>
      <c r="X805" s="270"/>
      <c r="Y805" s="270"/>
      <c r="Z805" s="270"/>
    </row>
    <row r="806" spans="1:26" ht="12.6" customHeight="1" x14ac:dyDescent="0.25">
      <c r="A806" s="207" t="str">
        <f>RIGHT($C$84,3)&amp;"*"&amp;RIGHT($C$83,4)&amp;"*"&amp;BX$55&amp;"*"&amp;"A"</f>
        <v>043*2018*8710*A</v>
      </c>
      <c r="B806" s="270"/>
      <c r="C806" s="273">
        <f>ROUND(BX60,2)</f>
        <v>1.89</v>
      </c>
      <c r="D806" s="270">
        <f>ROUND(BX61,0)</f>
        <v>202904</v>
      </c>
      <c r="E806" s="270">
        <f>ROUND(BX62,0)</f>
        <v>39656</v>
      </c>
      <c r="F806" s="270">
        <f>ROUND(BX63,0)</f>
        <v>0</v>
      </c>
      <c r="G806" s="270">
        <f>ROUND(BX64,0)</f>
        <v>1190</v>
      </c>
      <c r="H806" s="270">
        <f>ROUND(BX65,0)</f>
        <v>0</v>
      </c>
      <c r="I806" s="270">
        <f>ROUND(BX66,0)</f>
        <v>10093</v>
      </c>
      <c r="J806" s="270">
        <f>ROUND(BX67,0)</f>
        <v>0</v>
      </c>
      <c r="K806" s="270">
        <f>ROUND(BX68,0)</f>
        <v>1776</v>
      </c>
      <c r="L806" s="270">
        <f>ROUND(BX70,0)</f>
        <v>6453</v>
      </c>
      <c r="M806" s="270">
        <f>ROUND(BX71,0)</f>
        <v>0</v>
      </c>
      <c r="N806" s="270"/>
      <c r="O806" s="270"/>
      <c r="P806" s="270">
        <f>IF(BX77&gt;0,ROUND(BX77,0),0)</f>
        <v>0</v>
      </c>
      <c r="Q806" s="270">
        <f>IF(BX78&gt;0,ROUND(BX78,0),0)</f>
        <v>0</v>
      </c>
      <c r="R806" s="270">
        <f>IF(BX79&gt;0,ROUND(BX79,0),0)</f>
        <v>0</v>
      </c>
      <c r="S806" s="270">
        <f>IF(BX80&gt;0,ROUND(BX80,0),0)</f>
        <v>0</v>
      </c>
      <c r="T806" s="273">
        <f>IF(BX81&gt;0,ROUND(BX81,2),0)</f>
        <v>0</v>
      </c>
      <c r="U806" s="270"/>
      <c r="X806" s="270"/>
      <c r="Y806" s="270"/>
      <c r="Z806" s="270"/>
    </row>
    <row r="807" spans="1:26" ht="12.6" customHeight="1" x14ac:dyDescent="0.25">
      <c r="A807" s="207" t="str">
        <f>RIGHT($C$84,3)&amp;"*"&amp;RIGHT($C$83,4)&amp;"*"&amp;BY$55&amp;"*"&amp;"A"</f>
        <v>043*2018*8720*A</v>
      </c>
      <c r="B807" s="270"/>
      <c r="C807" s="273">
        <f>ROUND(BY60,2)</f>
        <v>1</v>
      </c>
      <c r="D807" s="270">
        <f>ROUND(BY61,0)</f>
        <v>140488</v>
      </c>
      <c r="E807" s="270">
        <f>ROUND(BY62,0)</f>
        <v>27457</v>
      </c>
      <c r="F807" s="270">
        <f>ROUND(BY63,0)</f>
        <v>0</v>
      </c>
      <c r="G807" s="270">
        <f>ROUND(BY64,0)</f>
        <v>987</v>
      </c>
      <c r="H807" s="270">
        <f>ROUND(BY65,0)</f>
        <v>2229</v>
      </c>
      <c r="I807" s="270">
        <f>ROUND(BY66,0)</f>
        <v>0</v>
      </c>
      <c r="J807" s="270">
        <f>ROUND(BY67,0)</f>
        <v>803</v>
      </c>
      <c r="K807" s="270">
        <f>ROUND(BY68,0)</f>
        <v>1042</v>
      </c>
      <c r="L807" s="270">
        <f>ROUND(BY70,0)</f>
        <v>3350</v>
      </c>
      <c r="M807" s="270">
        <f>ROUND(BY71,0)</f>
        <v>0</v>
      </c>
      <c r="N807" s="270"/>
      <c r="O807" s="270"/>
      <c r="P807" s="270">
        <f>IF(BY77&gt;0,ROUND(BY77,0),0)</f>
        <v>149</v>
      </c>
      <c r="Q807" s="270">
        <f>IF(BY78&gt;0,ROUND(BY78,0),0)</f>
        <v>0</v>
      </c>
      <c r="R807" s="270">
        <f>IF(BY79&gt;0,ROUND(BY79,0),0)</f>
        <v>149</v>
      </c>
      <c r="S807" s="270">
        <f>IF(BY80&gt;0,ROUND(BY80,0),0)</f>
        <v>0</v>
      </c>
      <c r="T807" s="273">
        <f>IF(BY81&gt;0,ROUND(BY81,2),0)</f>
        <v>0</v>
      </c>
      <c r="U807" s="270"/>
      <c r="X807" s="270"/>
      <c r="Y807" s="270"/>
      <c r="Z807" s="270"/>
    </row>
    <row r="808" spans="1:26" ht="12.6" customHeight="1" x14ac:dyDescent="0.25">
      <c r="A808" s="207" t="str">
        <f>RIGHT($C$84,3)&amp;"*"&amp;RIGHT($C$83,4)&amp;"*"&amp;BZ$55&amp;"*"&amp;"A"</f>
        <v>043*2018*8730*A</v>
      </c>
      <c r="B808" s="270"/>
      <c r="C808" s="273">
        <f>ROUND(BZ60,2)</f>
        <v>0</v>
      </c>
      <c r="D808" s="270">
        <f>ROUND(BZ61,0)</f>
        <v>0</v>
      </c>
      <c r="E808" s="270">
        <f>ROUND(BZ62,0)</f>
        <v>0</v>
      </c>
      <c r="F808" s="270">
        <f>ROUND(BZ63,0)</f>
        <v>0</v>
      </c>
      <c r="G808" s="270">
        <f>ROUND(BZ64,0)</f>
        <v>0</v>
      </c>
      <c r="H808" s="270">
        <f>ROUND(BZ65,0)</f>
        <v>0</v>
      </c>
      <c r="I808" s="270">
        <f>ROUND(BZ66,0)</f>
        <v>0</v>
      </c>
      <c r="J808" s="270">
        <f>ROUND(BZ67,0)</f>
        <v>0</v>
      </c>
      <c r="K808" s="270">
        <f>ROUND(BZ68,0)</f>
        <v>0</v>
      </c>
      <c r="L808" s="270">
        <f>ROUND(BZ70,0)</f>
        <v>0</v>
      </c>
      <c r="M808" s="270">
        <f>ROUND(BZ71,0)</f>
        <v>0</v>
      </c>
      <c r="N808" s="270"/>
      <c r="O808" s="270"/>
      <c r="P808" s="270">
        <f>IF(BZ77&gt;0,ROUND(BZ77,0),0)</f>
        <v>0</v>
      </c>
      <c r="Q808" s="270">
        <f>IF(BZ78&gt;0,ROUND(BZ78,0),0)</f>
        <v>0</v>
      </c>
      <c r="R808" s="270">
        <f>IF(BZ79&gt;0,ROUND(BZ79,0),0)</f>
        <v>0</v>
      </c>
      <c r="S808" s="270">
        <f>IF(BZ80&gt;0,ROUND(BZ80,0),0)</f>
        <v>0</v>
      </c>
      <c r="T808" s="273">
        <f>IF(BZ81&gt;0,ROUND(BZ81,2),0)</f>
        <v>0</v>
      </c>
      <c r="U808" s="270"/>
      <c r="X808" s="270"/>
      <c r="Y808" s="270"/>
      <c r="Z808" s="270"/>
    </row>
    <row r="809" spans="1:26" ht="12.6" customHeight="1" x14ac:dyDescent="0.25">
      <c r="A809" s="207" t="str">
        <f>RIGHT($C$84,3)&amp;"*"&amp;RIGHT($C$83,4)&amp;"*"&amp;CA$55&amp;"*"&amp;"A"</f>
        <v>043*2018*8740*A</v>
      </c>
      <c r="B809" s="270"/>
      <c r="C809" s="273">
        <f>ROUND(CA60,2)</f>
        <v>0</v>
      </c>
      <c r="D809" s="270">
        <f>ROUND(CA61,0)</f>
        <v>0</v>
      </c>
      <c r="E809" s="270">
        <f>ROUND(CA62,0)</f>
        <v>0</v>
      </c>
      <c r="F809" s="270">
        <f>ROUND(CA63,0)</f>
        <v>0</v>
      </c>
      <c r="G809" s="270">
        <f>ROUND(CA64,0)</f>
        <v>0</v>
      </c>
      <c r="H809" s="270">
        <f>ROUND(CA65,0)</f>
        <v>0</v>
      </c>
      <c r="I809" s="270">
        <f>ROUND(CA66,0)</f>
        <v>0</v>
      </c>
      <c r="J809" s="270">
        <f>ROUND(CA67,0)</f>
        <v>0</v>
      </c>
      <c r="K809" s="270">
        <f>ROUND(CA68,0)</f>
        <v>0</v>
      </c>
      <c r="L809" s="270">
        <f>ROUND(CA70,0)</f>
        <v>0</v>
      </c>
      <c r="M809" s="270">
        <f>ROUND(CA71,0)</f>
        <v>0</v>
      </c>
      <c r="N809" s="270"/>
      <c r="O809" s="270"/>
      <c r="P809" s="270">
        <f>IF(CA77&gt;0,ROUND(CA77,0),0)</f>
        <v>0</v>
      </c>
      <c r="Q809" s="270">
        <f>IF(CA78&gt;0,ROUND(CA78,0),0)</f>
        <v>0</v>
      </c>
      <c r="R809" s="270">
        <f>IF(CA79&gt;0,ROUND(CA79,0),0)</f>
        <v>0</v>
      </c>
      <c r="S809" s="270">
        <f>IF(CA80&gt;0,ROUND(CA80,0),0)</f>
        <v>0</v>
      </c>
      <c r="T809" s="273">
        <f>IF(CA81&gt;0,ROUND(CA81,2),0)</f>
        <v>0</v>
      </c>
      <c r="U809" s="270"/>
      <c r="X809" s="270"/>
      <c r="Y809" s="270"/>
      <c r="Z809" s="270"/>
    </row>
    <row r="810" spans="1:26" ht="12.6" customHeight="1" x14ac:dyDescent="0.25">
      <c r="A810" s="207" t="str">
        <f>RIGHT($C$84,3)&amp;"*"&amp;RIGHT($C$83,4)&amp;"*"&amp;CB$55&amp;"*"&amp;"A"</f>
        <v>043*2018*8770*A</v>
      </c>
      <c r="B810" s="270"/>
      <c r="C810" s="273">
        <f>ROUND(CB60,2)</f>
        <v>1</v>
      </c>
      <c r="D810" s="270">
        <f>ROUND(CB61,0)</f>
        <v>64764</v>
      </c>
      <c r="E810" s="270">
        <f>ROUND(CB62,0)</f>
        <v>12658</v>
      </c>
      <c r="F810" s="270">
        <f>ROUND(CB63,0)</f>
        <v>0</v>
      </c>
      <c r="G810" s="270">
        <f>ROUND(CB64,0)</f>
        <v>354</v>
      </c>
      <c r="H810" s="270">
        <f>ROUND(CB65,0)</f>
        <v>296</v>
      </c>
      <c r="I810" s="270">
        <f>ROUND(CB66,0)</f>
        <v>2419</v>
      </c>
      <c r="J810" s="270">
        <f>ROUND(CB67,0)</f>
        <v>0</v>
      </c>
      <c r="K810" s="270">
        <f>ROUND(CB68,0)</f>
        <v>0</v>
      </c>
      <c r="L810" s="270">
        <f>ROUND(CB70,0)</f>
        <v>52667</v>
      </c>
      <c r="M810" s="270">
        <f>ROUND(CB71,0)</f>
        <v>0</v>
      </c>
      <c r="N810" s="270"/>
      <c r="O810" s="270"/>
      <c r="P810" s="270">
        <f>IF(CB77&gt;0,ROUND(CB77,0),0)</f>
        <v>0</v>
      </c>
      <c r="Q810" s="270">
        <f>IF(CB78&gt;0,ROUND(CB78,0),0)</f>
        <v>0</v>
      </c>
      <c r="R810" s="270">
        <f>IF(CB79&gt;0,ROUND(CB79,0),0)</f>
        <v>0</v>
      </c>
      <c r="S810" s="270">
        <f>IF(CB80&gt;0,ROUND(CB80,0),0)</f>
        <v>0</v>
      </c>
      <c r="T810" s="273">
        <f>IF(CB81&gt;0,ROUND(CB81,2),0)</f>
        <v>0</v>
      </c>
      <c r="U810" s="270"/>
      <c r="X810" s="270"/>
      <c r="Y810" s="270"/>
      <c r="Z810" s="270"/>
    </row>
    <row r="811" spans="1:26" ht="12.6" customHeight="1" x14ac:dyDescent="0.25">
      <c r="A811" s="207" t="str">
        <f>RIGHT($C$84,3)&amp;"*"&amp;RIGHT($C$83,4)&amp;"*"&amp;CC$55&amp;"*"&amp;"A"</f>
        <v>043*2018*8790*A</v>
      </c>
      <c r="B811" s="270"/>
      <c r="C811" s="273">
        <f>ROUND(CC60,2)</f>
        <v>0</v>
      </c>
      <c r="D811" s="270">
        <f>ROUND(CC61,0)</f>
        <v>0</v>
      </c>
      <c r="E811" s="270">
        <f>ROUND(CC62,0)</f>
        <v>0</v>
      </c>
      <c r="F811" s="270">
        <f>ROUND(CC63,0)</f>
        <v>0</v>
      </c>
      <c r="G811" s="270">
        <f>ROUND(CC64,0)</f>
        <v>0</v>
      </c>
      <c r="H811" s="270">
        <f>ROUND(CC65,0)</f>
        <v>0</v>
      </c>
      <c r="I811" s="270">
        <f>ROUND(CC66,0)</f>
        <v>0</v>
      </c>
      <c r="J811" s="270">
        <f>ROUND(CC67,0)</f>
        <v>0</v>
      </c>
      <c r="K811" s="270">
        <f>ROUND(CC68,0)</f>
        <v>0</v>
      </c>
      <c r="L811" s="270">
        <f>ROUND(CC70,0)</f>
        <v>0</v>
      </c>
      <c r="M811" s="270">
        <f>ROUND(CC71,0)</f>
        <v>0</v>
      </c>
      <c r="N811" s="270"/>
      <c r="O811" s="270"/>
      <c r="P811" s="270">
        <f>IF(CC77&gt;0,ROUND(CC77,0),0)</f>
        <v>0</v>
      </c>
      <c r="Q811" s="270">
        <f>IF(CC78&gt;0,ROUND(CC78,0),0)</f>
        <v>0</v>
      </c>
      <c r="R811" s="270">
        <f>IF(CC79&gt;0,ROUND(CC79,0),0)</f>
        <v>0</v>
      </c>
      <c r="S811" s="270">
        <f>IF(CC80&gt;0,ROUND(CC80,0),0)</f>
        <v>0</v>
      </c>
      <c r="T811" s="273">
        <f>IF(CC81&gt;0,ROUND(CC81,2),0)</f>
        <v>0</v>
      </c>
      <c r="U811" s="270"/>
      <c r="X811" s="270"/>
      <c r="Y811" s="270"/>
      <c r="Z811" s="270"/>
    </row>
    <row r="812" spans="1:26" ht="12.6" customHeight="1" x14ac:dyDescent="0.25">
      <c r="A812" s="207" t="str">
        <f>RIGHT($C$84,3)&amp;"*"&amp;RIGHT($C$83,4)&amp;"*"&amp;"9000"&amp;"*"&amp;"A"</f>
        <v>043*2018*9000*A</v>
      </c>
      <c r="B812" s="270"/>
      <c r="C812" s="274"/>
      <c r="D812" s="270"/>
      <c r="E812" s="270"/>
      <c r="F812" s="270"/>
      <c r="G812" s="270"/>
      <c r="H812" s="270"/>
      <c r="I812" s="270"/>
      <c r="J812" s="270"/>
      <c r="K812" s="270"/>
      <c r="L812" s="270"/>
      <c r="M812" s="270"/>
      <c r="N812" s="270"/>
      <c r="O812" s="270"/>
      <c r="P812" s="270"/>
      <c r="Q812" s="270"/>
      <c r="R812" s="270"/>
      <c r="S812" s="270"/>
      <c r="T812" s="274"/>
      <c r="U812" s="270">
        <f>ROUND(CD70,0)</f>
        <v>763158</v>
      </c>
      <c r="V812" s="180">
        <f>ROUND(CD69,0)</f>
        <v>0</v>
      </c>
      <c r="W812" s="180">
        <f>ROUND(CD71,0)</f>
        <v>202034</v>
      </c>
      <c r="X812" s="270">
        <f>ROUND(CE73,0)</f>
        <v>1676063</v>
      </c>
      <c r="Y812" s="270">
        <f>ROUND(C132,0)</f>
        <v>1166785</v>
      </c>
      <c r="Z812" s="270"/>
    </row>
    <row r="814" spans="1:26" ht="12.6" customHeight="1" x14ac:dyDescent="0.25">
      <c r="B814" s="197" t="s">
        <v>1004</v>
      </c>
      <c r="C814" s="259">
        <f t="shared" ref="C814:K814" si="10">SUM(C733:C812)</f>
        <v>218.13</v>
      </c>
      <c r="D814" s="180">
        <f t="shared" si="10"/>
        <v>17307571</v>
      </c>
      <c r="E814" s="180">
        <f t="shared" si="10"/>
        <v>3382628</v>
      </c>
      <c r="F814" s="180">
        <f t="shared" si="10"/>
        <v>459903</v>
      </c>
      <c r="G814" s="180">
        <f t="shared" si="10"/>
        <v>2248878</v>
      </c>
      <c r="H814" s="180">
        <f t="shared" si="10"/>
        <v>200270</v>
      </c>
      <c r="I814" s="180">
        <f t="shared" si="10"/>
        <v>2123164</v>
      </c>
      <c r="J814" s="180">
        <f t="shared" si="10"/>
        <v>743889</v>
      </c>
      <c r="K814" s="180">
        <f t="shared" si="10"/>
        <v>412534</v>
      </c>
      <c r="L814" s="180">
        <f>SUM(L733:L812)+SUM(U733:U812)</f>
        <v>1981109</v>
      </c>
      <c r="M814" s="180">
        <f>SUM(M733:M812)+SUM(W733:W812)</f>
        <v>841577</v>
      </c>
      <c r="N814" s="180">
        <f t="shared" ref="N814:Z814" si="11">SUM(N733:N812)</f>
        <v>47878624</v>
      </c>
      <c r="O814" s="180">
        <f t="shared" si="11"/>
        <v>13290506</v>
      </c>
      <c r="P814" s="180">
        <f t="shared" si="11"/>
        <v>37424</v>
      </c>
      <c r="Q814" s="180">
        <f t="shared" si="11"/>
        <v>18463</v>
      </c>
      <c r="R814" s="180">
        <f t="shared" si="11"/>
        <v>12049</v>
      </c>
      <c r="S814" s="180">
        <f t="shared" si="11"/>
        <v>95866</v>
      </c>
      <c r="T814" s="259">
        <f t="shared" si="11"/>
        <v>116.82</v>
      </c>
      <c r="U814" s="180">
        <f t="shared" si="11"/>
        <v>763158</v>
      </c>
      <c r="V814" s="180">
        <f t="shared" si="11"/>
        <v>0</v>
      </c>
      <c r="W814" s="180">
        <f t="shared" si="11"/>
        <v>202034</v>
      </c>
      <c r="X814" s="180">
        <f t="shared" si="11"/>
        <v>1676063</v>
      </c>
      <c r="Y814" s="180">
        <f t="shared" si="11"/>
        <v>1166785</v>
      </c>
      <c r="Z814" s="180">
        <f t="shared" si="11"/>
        <v>6646867</v>
      </c>
    </row>
    <row r="815" spans="1:26" ht="12.6" customHeight="1" x14ac:dyDescent="0.25">
      <c r="B815" s="180" t="s">
        <v>1005</v>
      </c>
      <c r="C815" s="259">
        <f>CE60</f>
        <v>218.14128846153847</v>
      </c>
      <c r="D815" s="180">
        <f>CE61</f>
        <v>17307571</v>
      </c>
      <c r="E815" s="180">
        <f>CE62</f>
        <v>3382628</v>
      </c>
      <c r="F815" s="180">
        <f>CE63</f>
        <v>459903</v>
      </c>
      <c r="G815" s="180">
        <f>CE64</f>
        <v>2248878</v>
      </c>
      <c r="H815" s="236">
        <f>CE65</f>
        <v>200270</v>
      </c>
      <c r="I815" s="236">
        <f>CE66</f>
        <v>2123164</v>
      </c>
      <c r="J815" s="236">
        <f>CE67</f>
        <v>743889</v>
      </c>
      <c r="K815" s="236">
        <f>CE68</f>
        <v>412534</v>
      </c>
      <c r="L815" s="236">
        <f>CE70</f>
        <v>1981109.1600000001</v>
      </c>
      <c r="M815" s="236">
        <f>CE71</f>
        <v>841577</v>
      </c>
      <c r="N815" s="180">
        <f>CE76</f>
        <v>47878623.173600003</v>
      </c>
      <c r="O815" s="180">
        <f>CE74</f>
        <v>13290503.4</v>
      </c>
      <c r="P815" s="180">
        <f>CE77</f>
        <v>37424</v>
      </c>
      <c r="Q815" s="180">
        <f>CE78</f>
        <v>18463</v>
      </c>
      <c r="R815" s="180">
        <f>CE79</f>
        <v>12048.98</v>
      </c>
      <c r="S815" s="180">
        <f>CE80</f>
        <v>95865.70749999999</v>
      </c>
      <c r="T815" s="259">
        <f>CE81</f>
        <v>116.83478226538462</v>
      </c>
      <c r="U815" s="181" t="s">
        <v>1006</v>
      </c>
      <c r="V815" s="181" t="s">
        <v>1006</v>
      </c>
      <c r="W815" s="181" t="s">
        <v>1006</v>
      </c>
      <c r="X815" s="181" t="s">
        <v>1006</v>
      </c>
      <c r="Y815" s="181" t="s">
        <v>1006</v>
      </c>
      <c r="Z815" s="180">
        <f>M715</f>
        <v>6646865.2600000007</v>
      </c>
    </row>
    <row r="816" spans="1:26" ht="12.6" customHeight="1" x14ac:dyDescent="0.25">
      <c r="B816" s="180" t="s">
        <v>471</v>
      </c>
      <c r="C816" s="197" t="s">
        <v>1007</v>
      </c>
      <c r="D816" s="180">
        <f>C376</f>
        <v>0</v>
      </c>
      <c r="E816" s="180">
        <f>C377</f>
        <v>17307571</v>
      </c>
      <c r="F816" s="180">
        <f>C378</f>
        <v>3382628</v>
      </c>
      <c r="G816" s="236">
        <f>C379</f>
        <v>459903</v>
      </c>
      <c r="H816" s="236">
        <f>C380</f>
        <v>2248888</v>
      </c>
      <c r="I816" s="236">
        <f>C381</f>
        <v>200270</v>
      </c>
      <c r="J816" s="236">
        <f>C382</f>
        <v>2123626</v>
      </c>
      <c r="K816" s="236">
        <f>C383</f>
        <v>816817</v>
      </c>
      <c r="L816" s="236">
        <f>C384+C385+C386+C388</f>
        <v>2082491</v>
      </c>
      <c r="M816" s="236">
        <f>C368</f>
        <v>0</v>
      </c>
      <c r="N816" s="180">
        <f>D360</f>
        <v>47878623</v>
      </c>
      <c r="O816" s="180">
        <f>C358</f>
        <v>13290714</v>
      </c>
    </row>
  </sheetData>
  <phoneticPr fontId="0" type="noConversion"/>
  <hyperlinks>
    <hyperlink ref="E16" r:id="rId1"/>
    <hyperlink ref="C17" r:id="rId2"/>
  </hyperlinks>
  <printOptions horizontalCentered="1" gridLinesSet="0"/>
  <pageMargins left="0.25" right="0.25" top="0.5" bottom="0.5" header="0.5" footer="0.5"/>
  <pageSetup scale="95" orientation="portrait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B1:M44"/>
  <sheetViews>
    <sheetView showGridLines="0" topLeftCell="A22" zoomScale="75" workbookViewId="0">
      <selection activeCell="I12" sqref="I12"/>
    </sheetView>
  </sheetViews>
  <sheetFormatPr defaultColWidth="10.75" defaultRowHeight="15" x14ac:dyDescent="0.25"/>
  <cols>
    <col min="1" max="1" width="2.75" customWidth="1"/>
    <col min="2" max="3" width="10.75" customWidth="1"/>
    <col min="4" max="4" width="2.75" customWidth="1"/>
    <col min="5" max="6" width="10.75" customWidth="1"/>
    <col min="7" max="7" width="2.75" customWidth="1"/>
    <col min="8" max="8" width="10.75" customWidth="1"/>
    <col min="9" max="10" width="8.75" customWidth="1"/>
    <col min="11" max="11" width="2.75" customWidth="1"/>
  </cols>
  <sheetData>
    <row r="1" spans="2:13" ht="15.6" thickBot="1" x14ac:dyDescent="0.3">
      <c r="J1" s="166" t="s">
        <v>1008</v>
      </c>
    </row>
    <row r="2" spans="2:13" ht="15.6" thickTop="1" x14ac:dyDescent="0.25">
      <c r="B2" s="141"/>
      <c r="C2" s="142"/>
      <c r="D2" s="142"/>
      <c r="E2" s="142"/>
      <c r="F2" s="142"/>
      <c r="G2" s="142"/>
      <c r="H2" s="142"/>
      <c r="I2" s="142"/>
      <c r="J2" s="143"/>
    </row>
    <row r="3" spans="2:13" x14ac:dyDescent="0.25">
      <c r="B3" s="144"/>
      <c r="C3" s="8"/>
      <c r="D3" s="8"/>
      <c r="E3" s="8"/>
      <c r="F3" s="76" t="s">
        <v>1009</v>
      </c>
      <c r="G3" s="76"/>
      <c r="H3" s="8"/>
      <c r="I3" s="8"/>
      <c r="J3" s="145"/>
    </row>
    <row r="4" spans="2:13" x14ac:dyDescent="0.25">
      <c r="B4" s="144"/>
      <c r="C4" s="8"/>
      <c r="D4" s="8"/>
      <c r="E4" s="8"/>
      <c r="F4" s="76" t="s">
        <v>1010</v>
      </c>
      <c r="G4" s="76"/>
      <c r="H4" s="8"/>
      <c r="I4" s="8"/>
      <c r="J4" s="145"/>
    </row>
    <row r="5" spans="2:13" x14ac:dyDescent="0.25">
      <c r="B5" s="144"/>
      <c r="C5" s="8"/>
      <c r="D5" s="8"/>
      <c r="E5" s="8"/>
      <c r="F5" s="8"/>
      <c r="G5" s="8"/>
      <c r="H5" s="8"/>
      <c r="I5" s="8"/>
      <c r="J5" s="145"/>
    </row>
    <row r="6" spans="2:13" ht="15.6" thickBot="1" x14ac:dyDescent="0.3">
      <c r="B6" s="146"/>
      <c r="C6" s="147"/>
      <c r="D6" s="147"/>
      <c r="E6" s="147"/>
      <c r="F6" s="147"/>
      <c r="G6" s="147"/>
      <c r="H6" s="147"/>
      <c r="I6" s="147"/>
      <c r="J6" s="277" t="s">
        <v>1270</v>
      </c>
    </row>
    <row r="7" spans="2:13" ht="15.6" thickTop="1" x14ac:dyDescent="0.25">
      <c r="B7" s="144"/>
      <c r="C7" s="8"/>
      <c r="D7" s="8"/>
      <c r="E7" s="8"/>
      <c r="F7" s="8"/>
      <c r="G7" s="8"/>
      <c r="H7" s="8"/>
      <c r="I7" s="8"/>
      <c r="J7" s="145"/>
    </row>
    <row r="8" spans="2:13" ht="15.6" thickBot="1" x14ac:dyDescent="0.3">
      <c r="B8" s="144"/>
      <c r="C8" s="8"/>
      <c r="D8" s="8"/>
      <c r="E8" s="8"/>
      <c r="F8" s="76" t="s">
        <v>1011</v>
      </c>
      <c r="G8" s="76"/>
      <c r="H8" s="8"/>
      <c r="I8" s="8"/>
      <c r="J8" s="145"/>
    </row>
    <row r="9" spans="2:13" ht="15.6" thickTop="1" x14ac:dyDescent="0.25">
      <c r="B9" s="141"/>
      <c r="C9" s="142"/>
      <c r="D9" s="142"/>
      <c r="E9" s="142"/>
      <c r="F9" s="149" t="s">
        <v>1012</v>
      </c>
      <c r="G9" s="149"/>
      <c r="H9" s="142"/>
      <c r="I9" s="142"/>
      <c r="J9" s="143"/>
    </row>
    <row r="10" spans="2:13" x14ac:dyDescent="0.25">
      <c r="B10" s="144"/>
      <c r="C10" s="8"/>
      <c r="D10" s="8"/>
      <c r="E10" s="8"/>
      <c r="F10" s="76" t="s">
        <v>1267</v>
      </c>
      <c r="G10" s="76"/>
      <c r="H10" s="8"/>
      <c r="I10" s="8"/>
      <c r="J10" s="145"/>
    </row>
    <row r="11" spans="2:13" x14ac:dyDescent="0.25">
      <c r="B11" s="144"/>
      <c r="C11" s="8"/>
      <c r="D11" s="8"/>
      <c r="E11" s="8"/>
      <c r="F11" s="76"/>
      <c r="G11" s="76"/>
      <c r="H11" s="8"/>
      <c r="I11" s="8"/>
      <c r="J11" s="145"/>
    </row>
    <row r="12" spans="2:13" x14ac:dyDescent="0.25">
      <c r="B12" s="144"/>
      <c r="C12" s="8"/>
      <c r="D12" s="8"/>
      <c r="E12" s="8"/>
      <c r="F12" s="76" t="s">
        <v>1268</v>
      </c>
      <c r="G12" s="76"/>
      <c r="H12" s="8"/>
      <c r="I12" s="8"/>
      <c r="J12" s="145"/>
    </row>
    <row r="13" spans="2:13" x14ac:dyDescent="0.25">
      <c r="B13" s="144"/>
      <c r="C13" s="8"/>
      <c r="D13" s="8"/>
      <c r="E13" s="8"/>
      <c r="F13" s="76" t="s">
        <v>1269</v>
      </c>
      <c r="G13" s="76"/>
      <c r="H13" s="8"/>
      <c r="I13" s="8"/>
      <c r="J13" s="145"/>
    </row>
    <row r="14" spans="2:13" ht="15.6" thickBot="1" x14ac:dyDescent="0.3">
      <c r="B14" s="146"/>
      <c r="C14" s="147"/>
      <c r="D14" s="147"/>
      <c r="E14" s="147"/>
      <c r="F14" s="147"/>
      <c r="G14" s="147"/>
      <c r="H14" s="147"/>
      <c r="I14" s="147"/>
      <c r="J14" s="148"/>
    </row>
    <row r="15" spans="2:13" ht="15.6" thickTop="1" x14ac:dyDescent="0.25">
      <c r="B15" s="144"/>
      <c r="C15" s="8"/>
      <c r="D15" s="8"/>
      <c r="E15" s="8"/>
      <c r="F15" s="8"/>
      <c r="G15" s="8"/>
      <c r="H15" s="8"/>
      <c r="I15" s="8"/>
      <c r="J15" s="145"/>
      <c r="M15" s="255"/>
    </row>
    <row r="16" spans="2:13" ht="15.6" thickBot="1" x14ac:dyDescent="0.3">
      <c r="B16" s="144"/>
      <c r="C16" s="8"/>
      <c r="D16" s="8"/>
      <c r="E16" s="8"/>
      <c r="F16" s="8" t="s">
        <v>1013</v>
      </c>
      <c r="G16" s="8"/>
      <c r="H16" s="8"/>
      <c r="I16" s="8"/>
      <c r="J16" s="145"/>
    </row>
    <row r="17" spans="2:10" ht="15.6" thickTop="1" x14ac:dyDescent="0.25">
      <c r="B17" s="141"/>
      <c r="C17" s="150" t="s">
        <v>1014</v>
      </c>
      <c r="D17" s="150"/>
      <c r="E17" s="142" t="str">
        <f>+data!C84</f>
        <v>Lake Chelan Community Hospital</v>
      </c>
      <c r="F17" s="149"/>
      <c r="G17" s="149"/>
      <c r="H17" s="142"/>
      <c r="I17" s="142"/>
      <c r="J17" s="143"/>
    </row>
    <row r="18" spans="2:10" x14ac:dyDescent="0.25">
      <c r="B18" s="144"/>
      <c r="C18" s="151" t="s">
        <v>1015</v>
      </c>
      <c r="D18" s="151"/>
      <c r="E18" s="8" t="str">
        <f>+"H-"&amp;data!C83</f>
        <v>H-165</v>
      </c>
      <c r="F18" s="76"/>
      <c r="G18" s="76"/>
      <c r="H18" s="8"/>
      <c r="I18" s="8"/>
      <c r="J18" s="145"/>
    </row>
    <row r="19" spans="2:10" x14ac:dyDescent="0.25">
      <c r="B19" s="144"/>
      <c r="C19" s="151" t="s">
        <v>1016</v>
      </c>
      <c r="D19" s="151"/>
      <c r="E19" s="8" t="str">
        <f>+data!C85</f>
        <v>503 E Highland</v>
      </c>
      <c r="F19" s="76"/>
      <c r="G19" s="76"/>
      <c r="H19" s="8"/>
      <c r="I19" s="8"/>
      <c r="J19" s="145"/>
    </row>
    <row r="20" spans="2:10" x14ac:dyDescent="0.25">
      <c r="B20" s="144"/>
      <c r="C20" s="151" t="s">
        <v>1017</v>
      </c>
      <c r="D20" s="151"/>
      <c r="E20" s="8" t="str">
        <f>+data!C86</f>
        <v>503 E Highland</v>
      </c>
      <c r="F20" s="76"/>
      <c r="G20" s="76"/>
      <c r="H20" s="8"/>
      <c r="I20" s="8"/>
      <c r="J20" s="145"/>
    </row>
    <row r="21" spans="2:10" x14ac:dyDescent="0.25">
      <c r="B21" s="144"/>
      <c r="C21" s="151" t="s">
        <v>1018</v>
      </c>
      <c r="D21" s="151"/>
      <c r="E21" s="8" t="str">
        <f>+data!C87</f>
        <v>Chelan, WA 98816</v>
      </c>
      <c r="F21" s="76"/>
      <c r="G21" s="76"/>
      <c r="H21" s="8"/>
      <c r="I21" s="8"/>
      <c r="J21" s="145"/>
    </row>
    <row r="22" spans="2:10" ht="15.6" thickBot="1" x14ac:dyDescent="0.3">
      <c r="B22" s="146"/>
      <c r="C22" s="147"/>
      <c r="D22" s="147"/>
      <c r="E22" s="147"/>
      <c r="F22" s="147"/>
      <c r="G22" s="147"/>
      <c r="H22" s="147"/>
      <c r="I22" s="147"/>
      <c r="J22" s="148"/>
    </row>
    <row r="23" spans="2:10" ht="15.6" thickTop="1" x14ac:dyDescent="0.25">
      <c r="B23" s="144"/>
      <c r="C23" s="8"/>
      <c r="D23" s="8"/>
      <c r="E23" s="8"/>
      <c r="F23" s="8"/>
      <c r="G23" s="8"/>
      <c r="H23" s="8"/>
      <c r="I23" s="8"/>
      <c r="J23" s="145"/>
    </row>
    <row r="24" spans="2:10" x14ac:dyDescent="0.25">
      <c r="B24" s="144"/>
      <c r="C24" s="8"/>
      <c r="D24" s="8"/>
      <c r="E24" s="8"/>
      <c r="F24" s="8"/>
      <c r="G24" s="8"/>
      <c r="H24" s="8"/>
      <c r="I24" s="8"/>
      <c r="J24" s="145"/>
    </row>
    <row r="25" spans="2:10" x14ac:dyDescent="0.25">
      <c r="B25" s="144"/>
      <c r="C25" s="8"/>
      <c r="D25" s="8"/>
      <c r="E25" s="8"/>
      <c r="F25" s="8"/>
      <c r="G25" s="8"/>
      <c r="H25" s="8"/>
      <c r="I25" s="8"/>
      <c r="J25" s="145"/>
    </row>
    <row r="26" spans="2:10" x14ac:dyDescent="0.25">
      <c r="B26" s="152"/>
      <c r="C26" s="70"/>
      <c r="D26" s="70"/>
      <c r="E26" s="70"/>
      <c r="F26" s="153" t="s">
        <v>1019</v>
      </c>
      <c r="G26" s="70"/>
      <c r="H26" s="70"/>
      <c r="I26" s="70"/>
      <c r="J26" s="154"/>
    </row>
    <row r="27" spans="2:10" x14ac:dyDescent="0.25">
      <c r="B27" s="155" t="s">
        <v>1020</v>
      </c>
      <c r="C27" s="120"/>
      <c r="D27" s="120"/>
      <c r="E27" s="120"/>
      <c r="F27" s="120"/>
      <c r="G27" s="120"/>
      <c r="H27" s="120"/>
      <c r="I27" s="120"/>
      <c r="J27" s="156"/>
    </row>
    <row r="28" spans="2:10" x14ac:dyDescent="0.25">
      <c r="B28" s="144" t="str">
        <f>+"by the Department of Health for the fiscal year ended "&amp;data!C82&amp;"."</f>
        <v>by the Department of Health for the fiscal year ended 12/31/2019.</v>
      </c>
      <c r="C28" s="8"/>
      <c r="D28" s="8"/>
      <c r="E28" s="8"/>
      <c r="F28" s="8"/>
      <c r="G28" s="8"/>
      <c r="H28" s="8"/>
      <c r="I28" s="8"/>
      <c r="J28" s="145"/>
    </row>
    <row r="29" spans="2:10" x14ac:dyDescent="0.25">
      <c r="B29" s="144" t="s">
        <v>1021</v>
      </c>
      <c r="C29" s="8"/>
      <c r="D29" s="8"/>
      <c r="E29" s="8"/>
      <c r="F29" s="8"/>
      <c r="G29" s="8"/>
      <c r="H29" s="8"/>
      <c r="I29" s="8"/>
      <c r="J29" s="145"/>
    </row>
    <row r="30" spans="2:10" x14ac:dyDescent="0.25">
      <c r="B30" s="157" t="s">
        <v>1022</v>
      </c>
      <c r="C30" s="119"/>
      <c r="D30" s="119"/>
      <c r="E30" s="119"/>
      <c r="F30" s="119"/>
      <c r="G30" s="119"/>
      <c r="H30" s="119"/>
      <c r="I30" s="119"/>
      <c r="J30" s="158"/>
    </row>
    <row r="31" spans="2:10" x14ac:dyDescent="0.25">
      <c r="B31" s="155"/>
      <c r="C31" s="120"/>
      <c r="D31" s="120"/>
      <c r="E31" s="120"/>
      <c r="F31" s="120"/>
      <c r="G31" s="120"/>
      <c r="H31" s="120"/>
      <c r="I31" s="120"/>
      <c r="J31" s="156"/>
    </row>
    <row r="32" spans="2:10" x14ac:dyDescent="0.25">
      <c r="B32" s="144"/>
      <c r="C32" s="8"/>
      <c r="D32" s="8"/>
      <c r="E32" s="8"/>
      <c r="F32" s="8"/>
      <c r="G32" s="8"/>
      <c r="H32" s="8"/>
      <c r="I32" s="8"/>
      <c r="J32" s="145"/>
    </row>
    <row r="33" spans="2:10" x14ac:dyDescent="0.25">
      <c r="B33" s="159" t="s">
        <v>221</v>
      </c>
      <c r="C33" s="119"/>
      <c r="D33" s="119"/>
      <c r="E33" s="119"/>
      <c r="F33" s="119"/>
      <c r="G33" s="119"/>
      <c r="H33" s="119"/>
      <c r="I33" s="119"/>
      <c r="J33" s="158"/>
    </row>
    <row r="34" spans="2:10" x14ac:dyDescent="0.25">
      <c r="B34" s="152" t="s">
        <v>1023</v>
      </c>
      <c r="C34" s="70"/>
      <c r="D34" s="70"/>
      <c r="E34" s="70"/>
      <c r="F34" s="153"/>
      <c r="G34" s="70"/>
      <c r="H34" s="70"/>
      <c r="I34" s="70"/>
      <c r="J34" s="154"/>
    </row>
    <row r="35" spans="2:10" x14ac:dyDescent="0.25">
      <c r="B35" s="152" t="s">
        <v>1024</v>
      </c>
      <c r="C35" s="70"/>
      <c r="D35" s="70"/>
      <c r="E35" s="70"/>
      <c r="F35" s="153"/>
      <c r="G35" s="70"/>
      <c r="H35" s="70"/>
      <c r="I35" s="70"/>
      <c r="J35" s="154"/>
    </row>
    <row r="36" spans="2:10" x14ac:dyDescent="0.25">
      <c r="B36" s="152" t="s">
        <v>1025</v>
      </c>
      <c r="C36" s="70"/>
      <c r="D36" s="70"/>
      <c r="E36" s="70"/>
      <c r="F36" s="153"/>
      <c r="G36" s="70"/>
      <c r="H36" s="70"/>
      <c r="I36" s="70"/>
      <c r="J36" s="154"/>
    </row>
    <row r="37" spans="2:10" x14ac:dyDescent="0.25">
      <c r="B37" s="155"/>
      <c r="C37" s="120"/>
      <c r="D37" s="120"/>
      <c r="E37" s="120"/>
      <c r="F37" s="120"/>
      <c r="G37" s="120"/>
      <c r="H37" s="120"/>
      <c r="I37" s="120"/>
      <c r="J37" s="156"/>
    </row>
    <row r="38" spans="2:10" x14ac:dyDescent="0.25">
      <c r="B38" s="144"/>
      <c r="C38" s="8"/>
      <c r="D38" s="8"/>
      <c r="E38" s="8"/>
      <c r="F38" s="8"/>
      <c r="G38" s="8"/>
      <c r="H38" s="8"/>
      <c r="I38" s="8"/>
      <c r="J38" s="145"/>
    </row>
    <row r="39" spans="2:10" x14ac:dyDescent="0.25">
      <c r="B39" s="159" t="s">
        <v>221</v>
      </c>
      <c r="C39" s="119"/>
      <c r="D39" s="119"/>
      <c r="E39" s="119"/>
      <c r="F39" s="119"/>
      <c r="G39" s="119"/>
      <c r="H39" s="119"/>
      <c r="I39" s="119"/>
      <c r="J39" s="158"/>
    </row>
    <row r="40" spans="2:10" x14ac:dyDescent="0.25">
      <c r="B40" s="152" t="s">
        <v>1026</v>
      </c>
      <c r="C40" s="70"/>
      <c r="D40" s="70"/>
      <c r="E40" s="70"/>
      <c r="F40" s="153"/>
      <c r="G40" s="70"/>
      <c r="H40" s="70"/>
      <c r="I40" s="70"/>
      <c r="J40" s="154"/>
    </row>
    <row r="41" spans="2:10" x14ac:dyDescent="0.25">
      <c r="B41" s="152" t="s">
        <v>1024</v>
      </c>
      <c r="C41" s="70"/>
      <c r="D41" s="70"/>
      <c r="E41" s="70"/>
      <c r="F41" s="153"/>
      <c r="G41" s="70"/>
      <c r="H41" s="70"/>
      <c r="I41" s="70"/>
      <c r="J41" s="154"/>
    </row>
    <row r="42" spans="2:10" ht="15.6" thickBot="1" x14ac:dyDescent="0.3">
      <c r="B42" s="160" t="s">
        <v>1025</v>
      </c>
      <c r="C42" s="161"/>
      <c r="D42" s="161"/>
      <c r="E42" s="161"/>
      <c r="F42" s="162"/>
      <c r="G42" s="161"/>
      <c r="H42" s="161"/>
      <c r="I42" s="161"/>
      <c r="J42" s="163"/>
    </row>
    <row r="43" spans="2:10" ht="15.6" thickTop="1" x14ac:dyDescent="0.25"/>
    <row r="44" spans="2:10" x14ac:dyDescent="0.25">
      <c r="B44" s="164"/>
      <c r="C44" s="164"/>
      <c r="D44" s="164"/>
      <c r="E44" s="164"/>
      <c r="F44" s="164"/>
      <c r="G44" s="164"/>
      <c r="H44" s="164"/>
      <c r="I44" s="164"/>
      <c r="J44" s="164"/>
    </row>
  </sheetData>
  <sheetProtection sheet="1" objects="1" scenarios="1"/>
  <phoneticPr fontId="0" type="noConversion"/>
  <pageMargins left="0.75" right="0.75" top="1" bottom="1" header="0.5" footer="0.5"/>
  <pageSetup scale="8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M40"/>
  <sheetViews>
    <sheetView showGridLines="0" topLeftCell="A25" zoomScale="75" workbookViewId="0">
      <selection activeCell="F39" sqref="F39"/>
    </sheetView>
  </sheetViews>
  <sheetFormatPr defaultColWidth="8.9140625" defaultRowHeight="18" customHeight="1" x14ac:dyDescent="0.25"/>
  <cols>
    <col min="1" max="1" width="4.75" style="2" customWidth="1"/>
    <col min="2" max="2" width="15.4140625" style="2" customWidth="1"/>
    <col min="3" max="3" width="4.75" style="2" customWidth="1"/>
    <col min="4" max="4" width="15.75" style="2" customWidth="1"/>
    <col min="5" max="5" width="4.75" style="2" customWidth="1"/>
    <col min="6" max="7" width="13.75" style="2" customWidth="1"/>
    <col min="8" max="16384" width="8.9140625" style="2"/>
  </cols>
  <sheetData>
    <row r="1" spans="1:13" ht="20.100000000000001" customHeight="1" x14ac:dyDescent="0.25">
      <c r="A1" s="7"/>
      <c r="B1" s="7"/>
      <c r="C1" s="7"/>
      <c r="D1" s="7"/>
      <c r="E1" s="7"/>
      <c r="F1" s="7"/>
      <c r="G1" s="169" t="s">
        <v>1027</v>
      </c>
      <c r="H1" s="7"/>
    </row>
    <row r="2" spans="1:13" ht="20.100000000000001" customHeight="1" x14ac:dyDescent="0.25">
      <c r="A2" s="6" t="s">
        <v>1028</v>
      </c>
      <c r="B2" s="6"/>
      <c r="C2" s="6"/>
      <c r="D2" s="6"/>
      <c r="E2" s="6"/>
      <c r="F2" s="6"/>
      <c r="G2" s="11"/>
      <c r="H2" s="7"/>
    </row>
    <row r="3" spans="1:13" ht="20.100000000000001" customHeight="1" x14ac:dyDescent="0.25">
      <c r="A3" s="7"/>
      <c r="B3" s="5"/>
      <c r="C3" s="5"/>
      <c r="D3" s="5"/>
      <c r="E3" s="5"/>
      <c r="F3" s="5"/>
      <c r="G3" s="5"/>
      <c r="H3" s="7"/>
    </row>
    <row r="4" spans="1:13" ht="20.100000000000001" customHeight="1" x14ac:dyDescent="0.25">
      <c r="A4" s="13">
        <v>1</v>
      </c>
      <c r="B4" s="127" t="str">
        <f>"Fiscal Year Ended:  "&amp;data!C82</f>
        <v>Fiscal Year Ended:  12/31/2019</v>
      </c>
      <c r="C4" s="38"/>
      <c r="D4" s="120"/>
      <c r="E4" s="70"/>
      <c r="F4" s="127" t="str">
        <f>"License Number:  "&amp;"H-"&amp;FIXED(data!C83,0)</f>
        <v>License Number:  H-165</v>
      </c>
      <c r="G4" s="24"/>
      <c r="H4" s="7"/>
    </row>
    <row r="5" spans="1:13" ht="20.100000000000001" customHeight="1" x14ac:dyDescent="0.25">
      <c r="A5" s="13">
        <v>2</v>
      </c>
      <c r="B5" s="49" t="s">
        <v>257</v>
      </c>
      <c r="C5" s="24"/>
      <c r="D5" s="127" t="str">
        <f>"  "&amp;data!C84</f>
        <v xml:space="preserve">  Lake Chelan Community Hospital</v>
      </c>
      <c r="E5" s="70"/>
      <c r="F5" s="70"/>
      <c r="G5" s="24"/>
      <c r="H5" s="7"/>
    </row>
    <row r="6" spans="1:13" ht="20.100000000000001" customHeight="1" x14ac:dyDescent="0.25">
      <c r="A6" s="13">
        <v>3</v>
      </c>
      <c r="B6" s="49" t="s">
        <v>259</v>
      </c>
      <c r="C6" s="24"/>
      <c r="D6" s="127" t="str">
        <f>"  "&amp;data!C88</f>
        <v xml:space="preserve">  Chelan</v>
      </c>
      <c r="E6" s="70"/>
      <c r="F6" s="70"/>
      <c r="G6" s="24"/>
      <c r="H6" s="7"/>
    </row>
    <row r="7" spans="1:13" ht="20.100000000000001" customHeight="1" x14ac:dyDescent="0.25">
      <c r="A7" s="13">
        <v>4</v>
      </c>
      <c r="B7" s="49" t="s">
        <v>1029</v>
      </c>
      <c r="C7" s="24"/>
      <c r="D7" s="127" t="str">
        <f>"  "&amp;data!C89</f>
        <v xml:space="preserve">  George Rohrich</v>
      </c>
      <c r="E7" s="70"/>
      <c r="F7" s="70"/>
      <c r="G7" s="24"/>
      <c r="H7" s="7"/>
    </row>
    <row r="8" spans="1:13" ht="20.100000000000001" customHeight="1" x14ac:dyDescent="0.25">
      <c r="A8" s="13">
        <v>5</v>
      </c>
      <c r="B8" s="49" t="s">
        <v>1030</v>
      </c>
      <c r="C8" s="24"/>
      <c r="D8" s="127" t="str">
        <f>"  "&amp;data!C90</f>
        <v xml:space="preserve">  Mike Ellis</v>
      </c>
      <c r="E8" s="70"/>
      <c r="F8" s="70"/>
      <c r="G8" s="24"/>
      <c r="H8" s="7"/>
    </row>
    <row r="9" spans="1:13" ht="20.100000000000001" customHeight="1" x14ac:dyDescent="0.25">
      <c r="A9" s="13">
        <v>6</v>
      </c>
      <c r="B9" s="49" t="s">
        <v>1031</v>
      </c>
      <c r="C9" s="24"/>
      <c r="D9" s="127" t="str">
        <f>"  "&amp;data!C91</f>
        <v xml:space="preserve">  Phyllis Gleasman</v>
      </c>
      <c r="E9" s="70"/>
      <c r="F9" s="70"/>
      <c r="G9" s="24"/>
      <c r="H9" s="7"/>
    </row>
    <row r="10" spans="1:13" ht="20.100000000000001" customHeight="1" x14ac:dyDescent="0.25">
      <c r="A10" s="13">
        <v>7</v>
      </c>
      <c r="B10" s="49" t="s">
        <v>1032</v>
      </c>
      <c r="C10" s="24"/>
      <c r="D10" s="127" t="str">
        <f>"  "&amp;data!C92</f>
        <v xml:space="preserve">  509-682-3300</v>
      </c>
      <c r="E10" s="70"/>
      <c r="F10" s="70"/>
      <c r="G10" s="24"/>
      <c r="H10" s="7"/>
    </row>
    <row r="11" spans="1:13" ht="20.100000000000001" customHeight="1" x14ac:dyDescent="0.25">
      <c r="A11" s="13">
        <v>8</v>
      </c>
      <c r="B11" s="49" t="s">
        <v>1033</v>
      </c>
      <c r="C11" s="24"/>
      <c r="D11" s="127" t="str">
        <f>"  "&amp;data!C93</f>
        <v xml:space="preserve">  509-682-3475</v>
      </c>
      <c r="E11" s="70"/>
      <c r="F11" s="70"/>
      <c r="G11" s="24"/>
      <c r="H11" s="7"/>
    </row>
    <row r="12" spans="1:13" ht="20.100000000000001" customHeight="1" x14ac:dyDescent="0.25">
      <c r="A12" s="73"/>
      <c r="B12" s="30"/>
      <c r="C12" s="30"/>
      <c r="D12" s="30"/>
      <c r="E12" s="30"/>
      <c r="F12" s="30"/>
      <c r="G12" s="20"/>
      <c r="H12" s="7"/>
    </row>
    <row r="13" spans="1:13" ht="20.100000000000001" customHeight="1" x14ac:dyDescent="0.25">
      <c r="A13" s="74"/>
      <c r="B13" s="8"/>
      <c r="C13" s="8"/>
      <c r="D13" s="8"/>
      <c r="E13" s="8"/>
      <c r="F13" s="8"/>
      <c r="G13" s="126"/>
      <c r="H13" s="7"/>
    </row>
    <row r="14" spans="1:13" ht="20.100000000000001" customHeight="1" x14ac:dyDescent="0.25">
      <c r="A14" s="13">
        <v>9</v>
      </c>
      <c r="B14" s="49" t="s">
        <v>1034</v>
      </c>
      <c r="C14" s="38"/>
      <c r="D14" s="38"/>
      <c r="E14" s="38"/>
      <c r="F14" s="38"/>
      <c r="G14" s="20"/>
      <c r="H14" s="7"/>
    </row>
    <row r="15" spans="1:13" ht="20.100000000000001" customHeight="1" x14ac:dyDescent="0.25">
      <c r="A15" s="128" t="s">
        <v>266</v>
      </c>
      <c r="B15" s="35"/>
      <c r="C15" s="71" t="s">
        <v>269</v>
      </c>
      <c r="D15" s="35"/>
      <c r="E15" s="71" t="s">
        <v>271</v>
      </c>
      <c r="F15" s="100"/>
      <c r="G15" s="101"/>
      <c r="H15" s="7"/>
      <c r="M15" s="180"/>
    </row>
    <row r="16" spans="1:13" ht="20.100000000000001" customHeight="1" x14ac:dyDescent="0.25">
      <c r="A16" s="111" t="str">
        <f>IF(data!C97&gt;0," X","")</f>
        <v/>
      </c>
      <c r="B16" s="14" t="s">
        <v>267</v>
      </c>
      <c r="C16" s="15" t="str">
        <f>IF(data!C101&gt;0," X","")</f>
        <v/>
      </c>
      <c r="D16" s="22" t="s">
        <v>1035</v>
      </c>
      <c r="E16" s="15" t="str">
        <f>IF(data!C104&gt;0," X","")</f>
        <v/>
      </c>
      <c r="F16" s="129" t="s">
        <v>272</v>
      </c>
      <c r="G16" s="24"/>
      <c r="H16" s="7"/>
    </row>
    <row r="17" spans="1:9" ht="20.100000000000001" customHeight="1" x14ac:dyDescent="0.25">
      <c r="A17" s="111" t="str">
        <f>IF(data!C98&gt;0," X","")</f>
        <v/>
      </c>
      <c r="B17" s="14" t="s">
        <v>259</v>
      </c>
      <c r="C17" s="15" t="str">
        <f>IF(data!C102&gt;0," X","")</f>
        <v/>
      </c>
      <c r="D17" s="22" t="s">
        <v>349</v>
      </c>
      <c r="E17" s="15" t="str">
        <f>IF(data!C105&gt;0," X","")</f>
        <v/>
      </c>
      <c r="F17" s="129" t="s">
        <v>273</v>
      </c>
      <c r="G17" s="24"/>
      <c r="H17" s="7"/>
    </row>
    <row r="18" spans="1:9" ht="20.100000000000001" customHeight="1" x14ac:dyDescent="0.25">
      <c r="A18" s="130"/>
      <c r="B18" s="14" t="s">
        <v>1036</v>
      </c>
      <c r="C18" s="24"/>
      <c r="D18" s="24"/>
      <c r="E18" s="15" t="str">
        <f>IF(data!C106&gt;0," X","")</f>
        <v/>
      </c>
      <c r="F18" s="129" t="s">
        <v>274</v>
      </c>
      <c r="G18" s="24"/>
      <c r="H18" s="7"/>
    </row>
    <row r="19" spans="1:9" ht="20.100000000000001" customHeight="1" x14ac:dyDescent="0.25">
      <c r="A19" s="111" t="str">
        <f>IF(data!C99&gt;0," X","")</f>
        <v xml:space="preserve"> X</v>
      </c>
      <c r="B19" s="22" t="s">
        <v>1037</v>
      </c>
      <c r="C19" s="24"/>
      <c r="D19" s="24"/>
      <c r="E19" s="24"/>
      <c r="F19" s="50"/>
      <c r="G19" s="24"/>
      <c r="H19" s="7"/>
      <c r="I19" s="1"/>
    </row>
    <row r="20" spans="1:9" ht="20.100000000000001" customHeight="1" x14ac:dyDescent="0.25">
      <c r="A20" s="73"/>
      <c r="B20" s="30"/>
      <c r="C20" s="30"/>
      <c r="D20" s="30"/>
      <c r="E20" s="30"/>
      <c r="F20" s="30"/>
      <c r="G20" s="20"/>
      <c r="H20" s="7"/>
    </row>
    <row r="21" spans="1:9" ht="20.100000000000001" customHeight="1" x14ac:dyDescent="0.25">
      <c r="A21" s="74"/>
      <c r="B21" s="8"/>
      <c r="C21" s="8"/>
      <c r="D21" s="8"/>
      <c r="E21" s="8"/>
      <c r="F21" s="8"/>
      <c r="G21" s="28"/>
      <c r="H21" s="7"/>
    </row>
    <row r="22" spans="1:9" ht="20.100000000000001" customHeight="1" x14ac:dyDescent="0.25">
      <c r="A22" s="13">
        <v>10</v>
      </c>
      <c r="B22" s="49" t="s">
        <v>1038</v>
      </c>
      <c r="C22" s="38"/>
      <c r="D22" s="38"/>
      <c r="E22" s="38"/>
      <c r="F22" s="111" t="s">
        <v>277</v>
      </c>
      <c r="G22" s="15" t="s">
        <v>215</v>
      </c>
      <c r="H22" s="7"/>
    </row>
    <row r="23" spans="1:9" ht="20.100000000000001" customHeight="1" x14ac:dyDescent="0.25">
      <c r="A23" s="130"/>
      <c r="B23" s="49" t="s">
        <v>1039</v>
      </c>
      <c r="C23" s="38"/>
      <c r="D23" s="38"/>
      <c r="E23" s="38"/>
      <c r="F23" s="13">
        <f>data!C111</f>
        <v>195</v>
      </c>
      <c r="G23" s="21">
        <f>data!D111</f>
        <v>659</v>
      </c>
      <c r="H23" s="7"/>
    </row>
    <row r="24" spans="1:9" ht="20.100000000000001" customHeight="1" x14ac:dyDescent="0.25">
      <c r="A24" s="130"/>
      <c r="B24" s="49" t="s">
        <v>1040</v>
      </c>
      <c r="C24" s="38"/>
      <c r="D24" s="38"/>
      <c r="E24" s="38"/>
      <c r="F24" s="13">
        <f>data!C112</f>
        <v>205</v>
      </c>
      <c r="G24" s="21">
        <f>data!D112</f>
        <v>3983</v>
      </c>
      <c r="H24" s="7"/>
    </row>
    <row r="25" spans="1:9" ht="20.100000000000001" customHeight="1" x14ac:dyDescent="0.25">
      <c r="A25" s="130"/>
      <c r="B25" s="49" t="s">
        <v>1041</v>
      </c>
      <c r="C25" s="38"/>
      <c r="D25" s="38"/>
      <c r="E25" s="38"/>
      <c r="F25" s="13">
        <f>data!C113</f>
        <v>147</v>
      </c>
      <c r="G25" s="21">
        <f>data!D113</f>
        <v>438</v>
      </c>
      <c r="H25" s="7"/>
    </row>
    <row r="26" spans="1:9" ht="20.100000000000001" customHeight="1" x14ac:dyDescent="0.25">
      <c r="A26" s="13">
        <v>11</v>
      </c>
      <c r="B26" s="49" t="s">
        <v>281</v>
      </c>
      <c r="C26" s="38"/>
      <c r="D26" s="38"/>
      <c r="E26" s="38"/>
      <c r="F26" s="13">
        <f>data!C114</f>
        <v>83</v>
      </c>
      <c r="G26" s="13">
        <f>data!D114</f>
        <v>133</v>
      </c>
      <c r="H26" s="7"/>
    </row>
    <row r="27" spans="1:9" ht="20.100000000000001" customHeight="1" x14ac:dyDescent="0.25">
      <c r="A27" s="73"/>
      <c r="B27" s="30"/>
      <c r="C27" s="30"/>
      <c r="D27" s="30"/>
      <c r="E27" s="30"/>
      <c r="F27" s="30"/>
      <c r="G27" s="20"/>
      <c r="H27" s="7"/>
    </row>
    <row r="28" spans="1:9" ht="20.100000000000001" customHeight="1" x14ac:dyDescent="0.25">
      <c r="A28" s="74"/>
      <c r="B28" s="8"/>
      <c r="C28" s="8"/>
      <c r="D28" s="8"/>
      <c r="E28" s="8"/>
      <c r="F28" s="8"/>
      <c r="G28" s="28"/>
      <c r="H28" s="7"/>
    </row>
    <row r="29" spans="1:9" ht="20.100000000000001" customHeight="1" x14ac:dyDescent="0.25">
      <c r="A29" s="13">
        <v>12</v>
      </c>
      <c r="B29" s="97" t="s">
        <v>1042</v>
      </c>
      <c r="C29" s="24"/>
      <c r="D29" s="15" t="s">
        <v>167</v>
      </c>
      <c r="E29" s="97" t="s">
        <v>1042</v>
      </c>
      <c r="F29" s="24"/>
      <c r="G29" s="15" t="s">
        <v>167</v>
      </c>
      <c r="H29" s="7"/>
    </row>
    <row r="30" spans="1:9" ht="20.100000000000001" customHeight="1" x14ac:dyDescent="0.25">
      <c r="A30" s="130"/>
      <c r="B30" s="49" t="s">
        <v>283</v>
      </c>
      <c r="C30" s="24"/>
      <c r="D30" s="21">
        <f>data!C116</f>
        <v>0</v>
      </c>
      <c r="E30" s="49" t="s">
        <v>288</v>
      </c>
      <c r="F30" s="24"/>
      <c r="G30" s="21">
        <f>data!C123</f>
        <v>0</v>
      </c>
      <c r="H30" s="7"/>
    </row>
    <row r="31" spans="1:9" ht="20.100000000000001" customHeight="1" x14ac:dyDescent="0.25">
      <c r="A31" s="130"/>
      <c r="B31" s="97" t="s">
        <v>1043</v>
      </c>
      <c r="C31" s="24"/>
      <c r="D31" s="21">
        <f>data!C117</f>
        <v>0</v>
      </c>
      <c r="E31" s="49" t="s">
        <v>289</v>
      </c>
      <c r="F31" s="24"/>
      <c r="G31" s="21">
        <f>data!C124</f>
        <v>11</v>
      </c>
      <c r="H31" s="7"/>
    </row>
    <row r="32" spans="1:9" ht="20.100000000000001" customHeight="1" x14ac:dyDescent="0.25">
      <c r="A32" s="130"/>
      <c r="B32" s="97" t="s">
        <v>1044</v>
      </c>
      <c r="C32" s="24"/>
      <c r="D32" s="21">
        <f>data!C118</f>
        <v>0</v>
      </c>
      <c r="E32" s="49" t="s">
        <v>1045</v>
      </c>
      <c r="F32" s="24"/>
      <c r="G32" s="21">
        <f>data!C125</f>
        <v>14</v>
      </c>
      <c r="H32" s="7"/>
    </row>
    <row r="33" spans="1:8" ht="20.100000000000001" customHeight="1" x14ac:dyDescent="0.25">
      <c r="A33" s="130"/>
      <c r="B33" s="97" t="s">
        <v>1046</v>
      </c>
      <c r="C33" s="24"/>
      <c r="D33" s="21">
        <f>data!C119</f>
        <v>0</v>
      </c>
      <c r="E33" s="49" t="s">
        <v>1047</v>
      </c>
      <c r="F33" s="24"/>
      <c r="G33" s="21">
        <f>data!C126</f>
        <v>0</v>
      </c>
      <c r="H33" s="7"/>
    </row>
    <row r="34" spans="1:8" ht="20.100000000000001" customHeight="1" x14ac:dyDescent="0.25">
      <c r="A34" s="130"/>
      <c r="B34" s="97" t="s">
        <v>1048</v>
      </c>
      <c r="C34" s="24"/>
      <c r="D34" s="21">
        <f>data!C120</f>
        <v>0</v>
      </c>
      <c r="E34" s="49" t="s">
        <v>291</v>
      </c>
      <c r="F34" s="24"/>
      <c r="G34" s="21">
        <f>data!E127</f>
        <v>25</v>
      </c>
      <c r="H34" s="7"/>
    </row>
    <row r="35" spans="1:8" ht="20.100000000000001" customHeight="1" x14ac:dyDescent="0.25">
      <c r="A35" s="130"/>
      <c r="B35" s="97" t="s">
        <v>1049</v>
      </c>
      <c r="C35" s="24"/>
      <c r="D35" s="21">
        <f>data!C121</f>
        <v>0</v>
      </c>
      <c r="E35" s="49" t="s">
        <v>1050</v>
      </c>
      <c r="F35" s="27"/>
      <c r="G35" s="21"/>
      <c r="H35" s="7"/>
    </row>
    <row r="36" spans="1:8" ht="20.100000000000001" customHeight="1" x14ac:dyDescent="0.25">
      <c r="A36" s="130"/>
      <c r="B36" s="49" t="s">
        <v>97</v>
      </c>
      <c r="C36" s="24"/>
      <c r="D36" s="21">
        <f>data!C122</f>
        <v>0</v>
      </c>
      <c r="E36" s="49" t="s">
        <v>292</v>
      </c>
      <c r="F36" s="24"/>
      <c r="G36" s="21">
        <f>data!C128</f>
        <v>25</v>
      </c>
      <c r="H36" s="7"/>
    </row>
    <row r="37" spans="1:8" ht="20.100000000000001" customHeight="1" x14ac:dyDescent="0.25">
      <c r="A37" s="130"/>
      <c r="E37" s="49" t="s">
        <v>293</v>
      </c>
      <c r="F37" s="24"/>
      <c r="G37" s="21">
        <f>data!C129</f>
        <v>5</v>
      </c>
      <c r="H37" s="7"/>
    </row>
    <row r="38" spans="1:8" ht="20.100000000000001" customHeight="1" x14ac:dyDescent="0.25">
      <c r="A38" s="130"/>
      <c r="B38" s="38"/>
      <c r="C38" s="38"/>
      <c r="D38" s="38"/>
      <c r="E38" s="38"/>
      <c r="F38" s="38"/>
      <c r="G38" s="24"/>
      <c r="H38" s="7"/>
    </row>
    <row r="39" spans="1:8" ht="20.100000000000001" customHeight="1" x14ac:dyDescent="0.25">
      <c r="A39" s="131">
        <v>13</v>
      </c>
      <c r="B39" s="94" t="s">
        <v>288</v>
      </c>
      <c r="C39" s="28"/>
      <c r="D39" s="28"/>
      <c r="E39" s="132"/>
      <c r="F39" s="132"/>
      <c r="G39" s="133"/>
      <c r="H39" s="7"/>
    </row>
    <row r="40" spans="1:8" ht="20.100000000000001" customHeight="1" x14ac:dyDescent="0.25">
      <c r="A40" s="134"/>
      <c r="B40" s="135" t="s">
        <v>1051</v>
      </c>
      <c r="C40" s="136" t="s">
        <v>256</v>
      </c>
      <c r="D40" s="137">
        <f>data!C131</f>
        <v>0</v>
      </c>
      <c r="E40" s="138"/>
      <c r="F40" s="138"/>
      <c r="G40" s="139"/>
      <c r="H40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M34"/>
  <sheetViews>
    <sheetView showGridLines="0" topLeftCell="A22" zoomScale="75" workbookViewId="0">
      <selection activeCell="F69" sqref="F69"/>
    </sheetView>
  </sheetViews>
  <sheetFormatPr defaultColWidth="8.9140625" defaultRowHeight="20.100000000000001" customHeight="1" x14ac:dyDescent="0.25"/>
  <cols>
    <col min="1" max="1" width="10.33203125" style="2" customWidth="1"/>
    <col min="2" max="2" width="10.75" style="2" customWidth="1"/>
    <col min="3" max="3" width="12.75" style="2" customWidth="1"/>
    <col min="4" max="4" width="11.75" style="2" customWidth="1"/>
    <col min="5" max="6" width="13.75" style="2" customWidth="1"/>
    <col min="7" max="7" width="14.75" style="2" customWidth="1"/>
    <col min="8" max="16384" width="8.9140625" style="2"/>
  </cols>
  <sheetData>
    <row r="1" spans="1:13" ht="20.100000000000001" customHeight="1" x14ac:dyDescent="0.25">
      <c r="A1" s="29" t="s">
        <v>1052</v>
      </c>
      <c r="B1" s="8"/>
      <c r="C1" s="8"/>
      <c r="D1" s="8"/>
      <c r="E1" s="8"/>
      <c r="F1" s="8"/>
      <c r="G1" s="165" t="s">
        <v>1053</v>
      </c>
    </row>
    <row r="2" spans="1:13" ht="20.100000000000001" customHeight="1" x14ac:dyDescent="0.25">
      <c r="A2" s="105" t="str">
        <f>"Hospital Name: "&amp;data!C84</f>
        <v>Hospital Name: Lake Chelan Community Hospital</v>
      </c>
      <c r="B2" s="8"/>
      <c r="C2" s="8"/>
      <c r="D2" s="8"/>
      <c r="E2" s="8"/>
      <c r="F2" s="11"/>
      <c r="G2" s="76" t="s">
        <v>1054</v>
      </c>
    </row>
    <row r="3" spans="1:13" ht="20.100000000000001" customHeight="1" x14ac:dyDescent="0.25">
      <c r="A3" s="8"/>
      <c r="B3" s="8"/>
      <c r="C3" s="8"/>
      <c r="D3" s="8"/>
      <c r="E3" s="8"/>
      <c r="F3" s="8"/>
      <c r="G3" s="106" t="str">
        <f>"FYE: "&amp;data!C82</f>
        <v>FYE: 12/31/2019</v>
      </c>
    </row>
    <row r="4" spans="1:13" ht="20.100000000000001" customHeight="1" x14ac:dyDescent="0.25">
      <c r="A4" s="107" t="s">
        <v>1055</v>
      </c>
      <c r="B4" s="108"/>
      <c r="C4" s="108"/>
      <c r="D4" s="108"/>
      <c r="E4" s="108"/>
      <c r="F4" s="108"/>
      <c r="G4" s="95"/>
    </row>
    <row r="5" spans="1:13" ht="20.100000000000001" customHeight="1" x14ac:dyDescent="0.25">
      <c r="A5" s="42"/>
      <c r="B5" s="35" t="s">
        <v>1056</v>
      </c>
      <c r="C5" s="36"/>
      <c r="D5" s="36"/>
      <c r="E5" s="109" t="s">
        <v>302</v>
      </c>
      <c r="F5" s="36"/>
      <c r="G5" s="36"/>
    </row>
    <row r="6" spans="1:13" ht="20.100000000000001" customHeight="1" x14ac:dyDescent="0.25">
      <c r="A6" s="110" t="s">
        <v>489</v>
      </c>
      <c r="B6" s="15" t="s">
        <v>277</v>
      </c>
      <c r="C6" s="15" t="s">
        <v>1057</v>
      </c>
      <c r="D6" s="15" t="s">
        <v>298</v>
      </c>
      <c r="E6" s="15" t="s">
        <v>168</v>
      </c>
      <c r="F6" s="15" t="s">
        <v>131</v>
      </c>
      <c r="G6" s="15" t="s">
        <v>203</v>
      </c>
    </row>
    <row r="7" spans="1:13" ht="20.100000000000001" customHeight="1" x14ac:dyDescent="0.25">
      <c r="A7" s="23" t="s">
        <v>296</v>
      </c>
      <c r="B7" s="48">
        <f>data!B138</f>
        <v>100</v>
      </c>
      <c r="C7" s="48">
        <f>data!B139</f>
        <v>301</v>
      </c>
      <c r="D7" s="48">
        <f>data!B140</f>
        <v>3390</v>
      </c>
      <c r="E7" s="48">
        <f>data!B141</f>
        <v>3153175.709999999</v>
      </c>
      <c r="F7" s="48">
        <f>data!B142</f>
        <v>11636627.860000001</v>
      </c>
      <c r="G7" s="48">
        <f>data!B141+data!B142</f>
        <v>14789803.57</v>
      </c>
    </row>
    <row r="8" spans="1:13" ht="20.100000000000001" customHeight="1" x14ac:dyDescent="0.25">
      <c r="A8" s="23" t="s">
        <v>297</v>
      </c>
      <c r="B8" s="48">
        <f>data!C138</f>
        <v>5</v>
      </c>
      <c r="C8" s="48">
        <f>data!C139</f>
        <v>44</v>
      </c>
      <c r="D8" s="48">
        <f>data!C140</f>
        <v>0</v>
      </c>
      <c r="E8" s="48">
        <f>data!C141</f>
        <v>1449727.63</v>
      </c>
      <c r="F8" s="48">
        <f>data!C142</f>
        <v>7760989.2352499999</v>
      </c>
      <c r="G8" s="48">
        <f>data!C141+data!C142</f>
        <v>9210716.8652499989</v>
      </c>
    </row>
    <row r="9" spans="1:13" ht="20.100000000000001" customHeight="1" x14ac:dyDescent="0.25">
      <c r="A9" s="23" t="s">
        <v>1058</v>
      </c>
      <c r="B9" s="48">
        <f>data!D138</f>
        <v>69</v>
      </c>
      <c r="C9" s="48">
        <f>data!D139</f>
        <v>341</v>
      </c>
      <c r="D9" s="48">
        <f>data!D140</f>
        <v>1793</v>
      </c>
      <c r="E9" s="48">
        <f>data!D141</f>
        <v>1474193.8399999999</v>
      </c>
      <c r="F9" s="48">
        <f>data!D142</f>
        <v>13999032.832849998</v>
      </c>
      <c r="G9" s="48">
        <f>data!D141+data!D142</f>
        <v>15473226.672849998</v>
      </c>
    </row>
    <row r="10" spans="1:13" ht="20.100000000000001" customHeight="1" x14ac:dyDescent="0.25">
      <c r="A10" s="111" t="s">
        <v>203</v>
      </c>
      <c r="B10" s="48">
        <f>data!E138</f>
        <v>174</v>
      </c>
      <c r="C10" s="48">
        <f>data!E139</f>
        <v>686</v>
      </c>
      <c r="D10" s="48">
        <f>data!E140</f>
        <v>5183</v>
      </c>
      <c r="E10" s="48">
        <f>data!E141</f>
        <v>6077097.1799999988</v>
      </c>
      <c r="F10" s="48">
        <f>data!E142</f>
        <v>33396649.928100001</v>
      </c>
      <c r="G10" s="48">
        <f>data!E141+data!E142</f>
        <v>39473747.108099997</v>
      </c>
    </row>
    <row r="11" spans="1:13" ht="20.100000000000001" customHeight="1" x14ac:dyDescent="0.25">
      <c r="A11" s="112"/>
      <c r="B11" s="113"/>
      <c r="C11" s="113"/>
      <c r="D11" s="113"/>
      <c r="E11" s="113"/>
      <c r="F11" s="113"/>
      <c r="G11" s="114"/>
    </row>
    <row r="12" spans="1:13" ht="20.100000000000001" customHeight="1" x14ac:dyDescent="0.25">
      <c r="A12" s="73"/>
      <c r="B12" s="30"/>
      <c r="C12" s="30"/>
      <c r="D12" s="30"/>
      <c r="E12" s="30"/>
      <c r="F12" s="30"/>
      <c r="G12" s="20"/>
    </row>
    <row r="13" spans="1:13" ht="20.100000000000001" customHeight="1" x14ac:dyDescent="0.25">
      <c r="A13" s="115" t="s">
        <v>1059</v>
      </c>
      <c r="B13" s="5"/>
      <c r="C13" s="5"/>
      <c r="D13" s="5"/>
      <c r="E13" s="5"/>
      <c r="F13" s="5"/>
      <c r="G13" s="116"/>
    </row>
    <row r="14" spans="1:13" ht="20.100000000000001" customHeight="1" x14ac:dyDescent="0.25">
      <c r="A14" s="42"/>
      <c r="B14" s="117" t="s">
        <v>1056</v>
      </c>
      <c r="C14" s="34"/>
      <c r="D14" s="34"/>
      <c r="E14" s="117" t="s">
        <v>302</v>
      </c>
      <c r="F14" s="34"/>
      <c r="G14" s="34"/>
    </row>
    <row r="15" spans="1:13" ht="20.100000000000001" customHeight="1" x14ac:dyDescent="0.25">
      <c r="A15" s="110" t="s">
        <v>489</v>
      </c>
      <c r="B15" s="15" t="s">
        <v>277</v>
      </c>
      <c r="C15" s="15" t="s">
        <v>1057</v>
      </c>
      <c r="D15" s="15" t="s">
        <v>298</v>
      </c>
      <c r="E15" s="15" t="s">
        <v>168</v>
      </c>
      <c r="F15" s="15" t="s">
        <v>131</v>
      </c>
      <c r="G15" s="15" t="s">
        <v>203</v>
      </c>
      <c r="M15" s="180"/>
    </row>
    <row r="16" spans="1:13" ht="20.100000000000001" customHeight="1" x14ac:dyDescent="0.25">
      <c r="A16" s="23" t="s">
        <v>296</v>
      </c>
      <c r="B16" s="48">
        <f>data!B144</f>
        <v>198</v>
      </c>
      <c r="C16" s="48">
        <f>data!B145</f>
        <v>3866</v>
      </c>
      <c r="D16" s="48">
        <f>data!B146</f>
        <v>0</v>
      </c>
      <c r="E16" s="48">
        <f>data!B147</f>
        <v>4216791</v>
      </c>
      <c r="F16" s="48">
        <f>data!B148</f>
        <v>0</v>
      </c>
      <c r="G16" s="48">
        <f>data!B147+data!B148</f>
        <v>4216791</v>
      </c>
    </row>
    <row r="17" spans="1:7" ht="20.100000000000001" customHeight="1" x14ac:dyDescent="0.25">
      <c r="A17" s="23" t="s">
        <v>297</v>
      </c>
      <c r="B17" s="48">
        <f>data!C144</f>
        <v>0</v>
      </c>
      <c r="C17" s="48">
        <f>data!C145</f>
        <v>0</v>
      </c>
      <c r="D17" s="48">
        <f>data!C146</f>
        <v>0</v>
      </c>
      <c r="E17" s="48">
        <f>data!C147</f>
        <v>0</v>
      </c>
      <c r="F17" s="48">
        <f>data!C148</f>
        <v>0</v>
      </c>
      <c r="G17" s="48">
        <f>data!C147+data!C148</f>
        <v>0</v>
      </c>
    </row>
    <row r="18" spans="1:7" ht="20.100000000000001" customHeight="1" x14ac:dyDescent="0.25">
      <c r="A18" s="23" t="s">
        <v>1058</v>
      </c>
      <c r="B18" s="48">
        <f>data!D144</f>
        <v>7</v>
      </c>
      <c r="C18" s="48">
        <f>data!D145</f>
        <v>117</v>
      </c>
      <c r="D18" s="48">
        <f>data!D146</f>
        <v>0</v>
      </c>
      <c r="E18" s="48">
        <f>data!D147</f>
        <v>134633</v>
      </c>
      <c r="F18" s="48">
        <f>data!D148</f>
        <v>0</v>
      </c>
      <c r="G18" s="48">
        <f>data!D147+data!D148</f>
        <v>134633</v>
      </c>
    </row>
    <row r="19" spans="1:7" ht="20.100000000000001" customHeight="1" x14ac:dyDescent="0.25">
      <c r="A19" s="111" t="s">
        <v>203</v>
      </c>
      <c r="B19" s="48">
        <f>data!E144</f>
        <v>205</v>
      </c>
      <c r="C19" s="48">
        <f>data!E145</f>
        <v>3983</v>
      </c>
      <c r="D19" s="48">
        <f>data!E146</f>
        <v>0</v>
      </c>
      <c r="E19" s="48">
        <f>data!E147</f>
        <v>4351424</v>
      </c>
      <c r="F19" s="48">
        <f>data!E148</f>
        <v>0</v>
      </c>
      <c r="G19" s="48">
        <f>data!E147+data!E148</f>
        <v>4351424</v>
      </c>
    </row>
    <row r="20" spans="1:7" ht="20.100000000000001" customHeight="1" x14ac:dyDescent="0.25">
      <c r="A20" s="112"/>
      <c r="B20" s="113"/>
      <c r="C20" s="113"/>
      <c r="D20" s="113"/>
      <c r="E20" s="113"/>
      <c r="F20" s="113"/>
      <c r="G20" s="114"/>
    </row>
    <row r="21" spans="1:7" ht="20.100000000000001" customHeight="1" x14ac:dyDescent="0.25">
      <c r="A21" s="73"/>
      <c r="B21" s="30"/>
      <c r="C21" s="30"/>
      <c r="D21" s="30"/>
      <c r="E21" s="30"/>
      <c r="F21" s="30"/>
      <c r="G21" s="20"/>
    </row>
    <row r="22" spans="1:7" ht="20.100000000000001" customHeight="1" x14ac:dyDescent="0.25">
      <c r="A22" s="115" t="s">
        <v>1060</v>
      </c>
      <c r="B22" s="5"/>
      <c r="C22" s="5"/>
      <c r="D22" s="5"/>
      <c r="E22" s="5"/>
      <c r="F22" s="5"/>
      <c r="G22" s="116"/>
    </row>
    <row r="23" spans="1:7" ht="20.100000000000001" customHeight="1" x14ac:dyDescent="0.25">
      <c r="A23" s="42"/>
      <c r="B23" s="35" t="s">
        <v>1056</v>
      </c>
      <c r="C23" s="36"/>
      <c r="D23" s="36"/>
      <c r="E23" s="35" t="s">
        <v>302</v>
      </c>
      <c r="F23" s="36"/>
      <c r="G23" s="36"/>
    </row>
    <row r="24" spans="1:7" ht="20.100000000000001" customHeight="1" x14ac:dyDescent="0.25">
      <c r="A24" s="110" t="s">
        <v>489</v>
      </c>
      <c r="B24" s="15" t="s">
        <v>277</v>
      </c>
      <c r="C24" s="15" t="s">
        <v>1057</v>
      </c>
      <c r="D24" s="15" t="s">
        <v>298</v>
      </c>
      <c r="E24" s="15" t="s">
        <v>168</v>
      </c>
      <c r="F24" s="15" t="s">
        <v>131</v>
      </c>
      <c r="G24" s="15" t="s">
        <v>203</v>
      </c>
    </row>
    <row r="25" spans="1:7" ht="20.100000000000001" customHeight="1" x14ac:dyDescent="0.25">
      <c r="A25" s="23" t="s">
        <v>296</v>
      </c>
      <c r="B25" s="48">
        <f>data!B150</f>
        <v>143</v>
      </c>
      <c r="C25" s="48">
        <f>data!B151</f>
        <v>426</v>
      </c>
      <c r="D25" s="48">
        <f>data!B152</f>
        <v>0</v>
      </c>
      <c r="E25" s="48">
        <f>data!B153</f>
        <v>503164</v>
      </c>
      <c r="F25" s="48">
        <f>data!B154</f>
        <v>144864.43</v>
      </c>
      <c r="G25" s="48">
        <f>data!B153+data!B154</f>
        <v>648028.42999999993</v>
      </c>
    </row>
    <row r="26" spans="1:7" ht="20.100000000000001" customHeight="1" x14ac:dyDescent="0.25">
      <c r="A26" s="23" t="s">
        <v>297</v>
      </c>
      <c r="B26" s="48">
        <f>data!C150</f>
        <v>0</v>
      </c>
      <c r="C26" s="48">
        <f>data!C151</f>
        <v>0</v>
      </c>
      <c r="D26" s="48">
        <f>data!C152</f>
        <v>0</v>
      </c>
      <c r="E26" s="48">
        <f>data!C153</f>
        <v>0</v>
      </c>
      <c r="F26" s="48">
        <f>data!C154</f>
        <v>4840.4399999999996</v>
      </c>
      <c r="G26" s="48">
        <f>data!C153+data!C154</f>
        <v>4840.4399999999996</v>
      </c>
    </row>
    <row r="27" spans="1:7" ht="20.100000000000001" customHeight="1" x14ac:dyDescent="0.25">
      <c r="A27" s="23" t="s">
        <v>1058</v>
      </c>
      <c r="B27" s="48">
        <f>data!D150</f>
        <v>4</v>
      </c>
      <c r="C27" s="48">
        <f>data!D151</f>
        <v>12</v>
      </c>
      <c r="D27" s="48">
        <f>data!D152</f>
        <v>0</v>
      </c>
      <c r="E27" s="48">
        <f>data!D153</f>
        <v>11748</v>
      </c>
      <c r="F27" s="48">
        <f>data!D154</f>
        <v>28624.3</v>
      </c>
      <c r="G27" s="48">
        <f>data!D153+data!D154</f>
        <v>40372.300000000003</v>
      </c>
    </row>
    <row r="28" spans="1:7" ht="20.100000000000001" customHeight="1" x14ac:dyDescent="0.25">
      <c r="A28" s="111" t="s">
        <v>203</v>
      </c>
      <c r="B28" s="48">
        <f>data!E150</f>
        <v>147</v>
      </c>
      <c r="C28" s="48">
        <f>data!E151</f>
        <v>438</v>
      </c>
      <c r="D28" s="48">
        <f>data!E152</f>
        <v>0</v>
      </c>
      <c r="E28" s="48">
        <f>data!E153</f>
        <v>514912</v>
      </c>
      <c r="F28" s="48">
        <f>data!E154</f>
        <v>178329.16999999998</v>
      </c>
      <c r="G28" s="48">
        <f>data!E153+data!E154</f>
        <v>693241.16999999993</v>
      </c>
    </row>
    <row r="29" spans="1:7" ht="20.100000000000001" customHeight="1" x14ac:dyDescent="0.25">
      <c r="A29" s="112"/>
      <c r="B29" s="113"/>
      <c r="C29" s="113"/>
      <c r="D29" s="113"/>
      <c r="E29" s="113"/>
      <c r="F29" s="113"/>
      <c r="G29" s="114"/>
    </row>
    <row r="30" spans="1:7" ht="20.100000000000001" customHeight="1" x14ac:dyDescent="0.25">
      <c r="A30" s="73"/>
      <c r="B30" s="50"/>
      <c r="C30" s="30"/>
      <c r="D30" s="30"/>
      <c r="E30" s="30"/>
      <c r="F30" s="30"/>
      <c r="G30" s="20"/>
    </row>
    <row r="31" spans="1:7" ht="20.100000000000001" customHeight="1" x14ac:dyDescent="0.25">
      <c r="A31" s="118" t="s">
        <v>1061</v>
      </c>
      <c r="B31" s="119"/>
      <c r="C31" s="70"/>
      <c r="D31" s="120"/>
      <c r="E31" s="120"/>
      <c r="F31" s="120"/>
      <c r="G31" s="121"/>
    </row>
    <row r="32" spans="1:7" ht="20.100000000000001" customHeight="1" x14ac:dyDescent="0.25">
      <c r="A32" s="122"/>
      <c r="B32" s="65" t="s">
        <v>1062</v>
      </c>
      <c r="C32" s="123">
        <f>data!B157</f>
        <v>3556046</v>
      </c>
      <c r="D32" s="70"/>
      <c r="E32" s="70"/>
      <c r="F32" s="70"/>
      <c r="G32" s="27"/>
    </row>
    <row r="33" spans="1:7" ht="20.100000000000001" customHeight="1" x14ac:dyDescent="0.25">
      <c r="A33" s="122"/>
      <c r="B33" s="124" t="s">
        <v>1063</v>
      </c>
      <c r="C33" s="125">
        <f>data!C157</f>
        <v>2373746</v>
      </c>
      <c r="D33" s="119"/>
      <c r="E33" s="119"/>
      <c r="F33" s="119"/>
      <c r="G33" s="126"/>
    </row>
    <row r="34" spans="1:7" ht="20.100000000000001" customHeight="1" x14ac:dyDescent="0.25">
      <c r="A34" s="7"/>
      <c r="B34" s="7"/>
      <c r="C34" s="7"/>
      <c r="D34" s="7"/>
      <c r="E34" s="7"/>
      <c r="F34" s="7"/>
      <c r="G34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8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M41"/>
  <sheetViews>
    <sheetView showGridLines="0" topLeftCell="A4" zoomScale="75" workbookViewId="0">
      <selection activeCell="C14" sqref="C14"/>
    </sheetView>
  </sheetViews>
  <sheetFormatPr defaultColWidth="8.9140625" defaultRowHeight="13.8" x14ac:dyDescent="0.25"/>
  <cols>
    <col min="1" max="1" width="5.75" style="2" customWidth="1"/>
    <col min="2" max="2" width="54.08203125" style="2" customWidth="1"/>
    <col min="3" max="3" width="13.75" style="2" customWidth="1"/>
    <col min="4" max="16384" width="8.9140625" style="2"/>
  </cols>
  <sheetData>
    <row r="1" spans="1:13" ht="20.100000000000001" customHeight="1" x14ac:dyDescent="0.25">
      <c r="A1" s="4" t="s">
        <v>305</v>
      </c>
      <c r="B1" s="5"/>
      <c r="C1" s="167" t="s">
        <v>1064</v>
      </c>
    </row>
    <row r="2" spans="1:13" ht="20.100000000000001" customHeight="1" x14ac:dyDescent="0.25">
      <c r="A2" s="94"/>
      <c r="B2" s="8"/>
      <c r="C2" s="8"/>
    </row>
    <row r="3" spans="1:13" ht="20.100000000000001" customHeight="1" x14ac:dyDescent="0.25">
      <c r="A3" s="29" t="str">
        <f>"Hospital: "&amp;data!C84</f>
        <v>Hospital: Lake Chelan Community Hospital</v>
      </c>
      <c r="B3" s="30"/>
      <c r="C3" s="31" t="str">
        <f>"FYE: "&amp;data!C82</f>
        <v>FYE: 12/31/2019</v>
      </c>
    </row>
    <row r="4" spans="1:13" ht="20.100000000000001" customHeight="1" x14ac:dyDescent="0.25">
      <c r="A4" s="30"/>
      <c r="B4" s="8"/>
      <c r="C4" s="8"/>
    </row>
    <row r="5" spans="1:13" ht="20.100000000000001" customHeight="1" x14ac:dyDescent="0.25">
      <c r="A5" s="23">
        <v>1</v>
      </c>
      <c r="B5" s="37" t="s">
        <v>306</v>
      </c>
      <c r="C5" s="95"/>
    </row>
    <row r="6" spans="1:13" ht="20.100000000000001" customHeight="1" x14ac:dyDescent="0.25">
      <c r="A6" s="96">
        <v>2</v>
      </c>
      <c r="B6" s="49" t="s">
        <v>1065</v>
      </c>
      <c r="C6" s="13" t="e">
        <f ca="1">data!C165</f>
        <v>#NAME?</v>
      </c>
    </row>
    <row r="7" spans="1:13" ht="20.100000000000001" customHeight="1" x14ac:dyDescent="0.25">
      <c r="A7" s="40">
        <v>3</v>
      </c>
      <c r="B7" s="97" t="s">
        <v>308</v>
      </c>
      <c r="C7" s="13" t="e">
        <f ca="1">data!C166</f>
        <v>#NAME?</v>
      </c>
    </row>
    <row r="8" spans="1:13" ht="20.100000000000001" customHeight="1" x14ac:dyDescent="0.25">
      <c r="A8" s="40">
        <v>4</v>
      </c>
      <c r="B8" s="49" t="s">
        <v>309</v>
      </c>
      <c r="C8" s="13" t="e">
        <f ca="1">data!C167</f>
        <v>#NAME?</v>
      </c>
    </row>
    <row r="9" spans="1:13" ht="20.100000000000001" customHeight="1" x14ac:dyDescent="0.25">
      <c r="A9" s="40">
        <v>5</v>
      </c>
      <c r="B9" s="49" t="s">
        <v>310</v>
      </c>
      <c r="C9" s="13" t="e">
        <f ca="1">data!C168</f>
        <v>#NAME?</v>
      </c>
    </row>
    <row r="10" spans="1:13" ht="20.100000000000001" customHeight="1" x14ac:dyDescent="0.25">
      <c r="A10" s="40">
        <v>6</v>
      </c>
      <c r="B10" s="49" t="s">
        <v>311</v>
      </c>
      <c r="C10" s="13">
        <f>data!C169</f>
        <v>0</v>
      </c>
    </row>
    <row r="11" spans="1:13" ht="20.100000000000001" customHeight="1" x14ac:dyDescent="0.25">
      <c r="A11" s="40">
        <v>7</v>
      </c>
      <c r="B11" s="49" t="s">
        <v>312</v>
      </c>
      <c r="C11" s="13">
        <f>data!C170</f>
        <v>494905</v>
      </c>
    </row>
    <row r="12" spans="1:13" ht="20.100000000000001" customHeight="1" x14ac:dyDescent="0.25">
      <c r="A12" s="40">
        <v>8</v>
      </c>
      <c r="B12" s="49" t="s">
        <v>313</v>
      </c>
      <c r="C12" s="13">
        <f>data!C171</f>
        <v>24733</v>
      </c>
    </row>
    <row r="13" spans="1:13" ht="20.100000000000001" customHeight="1" x14ac:dyDescent="0.25">
      <c r="A13" s="40">
        <v>9</v>
      </c>
      <c r="B13" s="49" t="s">
        <v>313</v>
      </c>
      <c r="C13" s="13">
        <f>data!C172</f>
        <v>0</v>
      </c>
    </row>
    <row r="14" spans="1:13" ht="20.100000000000001" customHeight="1" x14ac:dyDescent="0.25">
      <c r="A14" s="40">
        <v>10</v>
      </c>
      <c r="B14" s="49" t="s">
        <v>1066</v>
      </c>
      <c r="C14" s="13" t="e">
        <f ca="1">data!D173</f>
        <v>#NAME?</v>
      </c>
    </row>
    <row r="15" spans="1:13" ht="20.100000000000001" customHeight="1" x14ac:dyDescent="0.25">
      <c r="A15" s="57"/>
      <c r="B15" s="45"/>
      <c r="C15" s="98"/>
      <c r="M15" s="180"/>
    </row>
    <row r="16" spans="1:13" ht="20.100000000000001" customHeight="1" x14ac:dyDescent="0.25">
      <c r="A16" s="73"/>
      <c r="B16" s="30"/>
      <c r="C16" s="20"/>
    </row>
    <row r="17" spans="1:3" ht="20.100000000000001" customHeight="1" x14ac:dyDescent="0.25">
      <c r="A17" s="99">
        <v>11</v>
      </c>
      <c r="B17" s="100" t="s">
        <v>314</v>
      </c>
      <c r="C17" s="101"/>
    </row>
    <row r="18" spans="1:3" ht="20.100000000000001" customHeight="1" x14ac:dyDescent="0.25">
      <c r="A18" s="13">
        <v>12</v>
      </c>
      <c r="B18" s="49" t="s">
        <v>1067</v>
      </c>
      <c r="C18" s="13">
        <f>data!C175</f>
        <v>209610.68799999999</v>
      </c>
    </row>
    <row r="19" spans="1:3" ht="20.100000000000001" customHeight="1" x14ac:dyDescent="0.25">
      <c r="A19" s="13">
        <v>13</v>
      </c>
      <c r="B19" s="49" t="s">
        <v>1068</v>
      </c>
      <c r="C19" s="13">
        <f>data!C176</f>
        <v>190648.31200000001</v>
      </c>
    </row>
    <row r="20" spans="1:3" ht="20.100000000000001" customHeight="1" x14ac:dyDescent="0.25">
      <c r="A20" s="13">
        <v>14</v>
      </c>
      <c r="B20" s="49" t="s">
        <v>1069</v>
      </c>
      <c r="C20" s="13">
        <f>data!D177</f>
        <v>400259</v>
      </c>
    </row>
    <row r="21" spans="1:3" ht="20.100000000000001" customHeight="1" x14ac:dyDescent="0.25">
      <c r="A21" s="57"/>
      <c r="B21" s="45"/>
      <c r="C21" s="98"/>
    </row>
    <row r="22" spans="1:3" ht="20.100000000000001" customHeight="1" x14ac:dyDescent="0.25">
      <c r="A22" s="73"/>
      <c r="B22" s="8"/>
      <c r="C22" s="44"/>
    </row>
    <row r="23" spans="1:3" ht="20.100000000000001" customHeight="1" x14ac:dyDescent="0.25">
      <c r="A23" s="102">
        <v>15</v>
      </c>
      <c r="B23" s="103" t="s">
        <v>317</v>
      </c>
      <c r="C23" s="95"/>
    </row>
    <row r="24" spans="1:3" ht="20.100000000000001" customHeight="1" x14ac:dyDescent="0.25">
      <c r="A24" s="13">
        <v>16</v>
      </c>
      <c r="B24" s="37" t="s">
        <v>1070</v>
      </c>
      <c r="C24" s="104"/>
    </row>
    <row r="25" spans="1:3" ht="20.100000000000001" customHeight="1" x14ac:dyDescent="0.25">
      <c r="A25" s="13">
        <v>17</v>
      </c>
      <c r="B25" s="49" t="s">
        <v>1071</v>
      </c>
      <c r="C25" s="13">
        <f>data!C179</f>
        <v>239400</v>
      </c>
    </row>
    <row r="26" spans="1:3" ht="20.100000000000001" customHeight="1" x14ac:dyDescent="0.25">
      <c r="A26" s="13">
        <v>18</v>
      </c>
      <c r="B26" s="49" t="s">
        <v>319</v>
      </c>
      <c r="C26" s="13">
        <f>data!C180</f>
        <v>32043</v>
      </c>
    </row>
    <row r="27" spans="1:3" ht="20.100000000000001" customHeight="1" x14ac:dyDescent="0.25">
      <c r="A27" s="13">
        <v>19</v>
      </c>
      <c r="B27" s="49" t="s">
        <v>1072</v>
      </c>
      <c r="C27" s="13">
        <f>data!D181</f>
        <v>271443</v>
      </c>
    </row>
    <row r="28" spans="1:3" ht="20.100000000000001" customHeight="1" x14ac:dyDescent="0.25">
      <c r="A28" s="57"/>
      <c r="B28" s="45"/>
      <c r="C28" s="98"/>
    </row>
    <row r="29" spans="1:3" ht="20.100000000000001" customHeight="1" x14ac:dyDescent="0.25">
      <c r="A29" s="73"/>
      <c r="B29" s="30"/>
      <c r="C29" s="20"/>
    </row>
    <row r="30" spans="1:3" ht="20.100000000000001" customHeight="1" x14ac:dyDescent="0.25">
      <c r="A30" s="102">
        <v>20</v>
      </c>
      <c r="B30" s="43" t="s">
        <v>1073</v>
      </c>
      <c r="C30" s="34"/>
    </row>
    <row r="31" spans="1:3" ht="20.100000000000001" customHeight="1" x14ac:dyDescent="0.25">
      <c r="A31" s="13">
        <v>21</v>
      </c>
      <c r="B31" s="49" t="s">
        <v>321</v>
      </c>
      <c r="C31" s="13">
        <f>data!C183</f>
        <v>15780</v>
      </c>
    </row>
    <row r="32" spans="1:3" ht="20.100000000000001" customHeight="1" x14ac:dyDescent="0.25">
      <c r="A32" s="13">
        <v>22</v>
      </c>
      <c r="B32" s="49" t="s">
        <v>1074</v>
      </c>
      <c r="C32" s="13">
        <f>data!C184</f>
        <v>183792</v>
      </c>
    </row>
    <row r="33" spans="1:3" ht="20.100000000000001" customHeight="1" x14ac:dyDescent="0.25">
      <c r="A33" s="13">
        <v>23</v>
      </c>
      <c r="B33" s="49" t="s">
        <v>132</v>
      </c>
      <c r="C33" s="13">
        <f>data!C185</f>
        <v>0</v>
      </c>
    </row>
    <row r="34" spans="1:3" ht="20.100000000000001" customHeight="1" x14ac:dyDescent="0.25">
      <c r="A34" s="13">
        <v>24</v>
      </c>
      <c r="B34" s="49" t="s">
        <v>1075</v>
      </c>
      <c r="C34" s="13">
        <f>data!D186</f>
        <v>199572</v>
      </c>
    </row>
    <row r="35" spans="1:3" ht="20.100000000000001" customHeight="1" x14ac:dyDescent="0.25">
      <c r="A35" s="57"/>
      <c r="B35" s="45"/>
      <c r="C35" s="98"/>
    </row>
    <row r="36" spans="1:3" ht="20.100000000000001" customHeight="1" x14ac:dyDescent="0.25">
      <c r="A36" s="73"/>
      <c r="B36" s="30"/>
      <c r="C36" s="20"/>
    </row>
    <row r="37" spans="1:3" ht="20.100000000000001" customHeight="1" x14ac:dyDescent="0.25">
      <c r="A37" s="102">
        <v>25</v>
      </c>
      <c r="B37" s="43" t="s">
        <v>323</v>
      </c>
      <c r="C37" s="95"/>
    </row>
    <row r="38" spans="1:3" ht="20.100000000000001" customHeight="1" x14ac:dyDescent="0.25">
      <c r="A38" s="13">
        <v>26</v>
      </c>
      <c r="B38" s="49" t="s">
        <v>1076</v>
      </c>
      <c r="C38" s="13">
        <f>data!C188</f>
        <v>1233913</v>
      </c>
    </row>
    <row r="39" spans="1:3" ht="20.100000000000001" customHeight="1" x14ac:dyDescent="0.25">
      <c r="A39" s="13">
        <v>27</v>
      </c>
      <c r="B39" s="49" t="s">
        <v>325</v>
      </c>
      <c r="C39" s="13">
        <f>data!C189</f>
        <v>12600</v>
      </c>
    </row>
    <row r="40" spans="1:3" ht="20.100000000000001" customHeight="1" x14ac:dyDescent="0.25">
      <c r="A40" s="13">
        <v>28</v>
      </c>
      <c r="B40" s="49" t="s">
        <v>1077</v>
      </c>
      <c r="C40" s="13">
        <f>data!D190</f>
        <v>1246513</v>
      </c>
    </row>
    <row r="41" spans="1:3" x14ac:dyDescent="0.25">
      <c r="A41" s="3"/>
      <c r="B41" s="3"/>
      <c r="C41" s="3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M32"/>
  <sheetViews>
    <sheetView showGridLines="0" topLeftCell="A19" zoomScale="75" workbookViewId="0">
      <selection activeCell="J37" sqref="J37"/>
    </sheetView>
  </sheetViews>
  <sheetFormatPr defaultColWidth="8.9140625" defaultRowHeight="20.100000000000001" customHeight="1" x14ac:dyDescent="0.25"/>
  <cols>
    <col min="1" max="1" width="5.75" style="7" customWidth="1"/>
    <col min="2" max="2" width="22.58203125" style="7" customWidth="1"/>
    <col min="3" max="5" width="13.75" style="7" customWidth="1"/>
    <col min="6" max="6" width="15.75" style="7" customWidth="1"/>
    <col min="7" max="16384" width="8.9140625" style="7"/>
  </cols>
  <sheetData>
    <row r="1" spans="1:13" ht="20.100000000000001" customHeight="1" x14ac:dyDescent="0.25">
      <c r="A1" s="4" t="s">
        <v>326</v>
      </c>
      <c r="B1" s="5"/>
      <c r="C1" s="5"/>
      <c r="D1" s="5"/>
      <c r="E1" s="5"/>
      <c r="F1" s="167" t="s">
        <v>1078</v>
      </c>
    </row>
    <row r="2" spans="1:13" ht="20.100000000000001" customHeight="1" x14ac:dyDescent="0.25">
      <c r="A2" s="8"/>
      <c r="B2" s="8"/>
      <c r="C2" s="8"/>
      <c r="D2" s="8"/>
      <c r="E2" s="8"/>
      <c r="F2" s="8"/>
    </row>
    <row r="3" spans="1:13" ht="20.100000000000001" customHeight="1" x14ac:dyDescent="0.25">
      <c r="A3" s="10" t="str">
        <f>"Hospital: "&amp;data!C84</f>
        <v>Hospital: Lake Chelan Community Hospital</v>
      </c>
      <c r="B3" s="8"/>
      <c r="C3" s="8"/>
      <c r="E3" s="11"/>
      <c r="F3" s="12" t="str">
        <f>" FYE: "&amp;data!C82</f>
        <v xml:space="preserve"> FYE: 12/31/2019</v>
      </c>
    </row>
    <row r="4" spans="1:13" ht="20.100000000000001" customHeight="1" x14ac:dyDescent="0.25">
      <c r="A4" s="39" t="s">
        <v>327</v>
      </c>
      <c r="B4" s="36"/>
      <c r="C4" s="36"/>
      <c r="D4" s="71"/>
      <c r="E4" s="71"/>
      <c r="F4" s="36"/>
    </row>
    <row r="5" spans="1:13" ht="20.100000000000001" customHeight="1" x14ac:dyDescent="0.25">
      <c r="A5" s="42"/>
      <c r="B5" s="52"/>
      <c r="C5" s="72" t="s">
        <v>1079</v>
      </c>
      <c r="D5" s="47"/>
      <c r="E5" s="47"/>
      <c r="F5" s="72" t="s">
        <v>1080</v>
      </c>
    </row>
    <row r="6" spans="1:13" ht="20.100000000000001" customHeight="1" x14ac:dyDescent="0.25">
      <c r="A6" s="19"/>
      <c r="B6" s="20"/>
      <c r="C6" s="18" t="s">
        <v>1081</v>
      </c>
      <c r="D6" s="18" t="s">
        <v>329</v>
      </c>
      <c r="E6" s="18" t="s">
        <v>1082</v>
      </c>
      <c r="F6" s="18" t="s">
        <v>1081</v>
      </c>
    </row>
    <row r="7" spans="1:13" ht="20.100000000000001" customHeight="1" x14ac:dyDescent="0.25">
      <c r="A7" s="13">
        <v>1</v>
      </c>
      <c r="B7" s="14" t="s">
        <v>332</v>
      </c>
      <c r="C7" s="21" t="e">
        <f ca="1">data!B195</f>
        <v>#NAME?</v>
      </c>
      <c r="D7" s="21">
        <f>data!C195</f>
        <v>0</v>
      </c>
      <c r="E7" s="21">
        <f>data!D195</f>
        <v>0</v>
      </c>
      <c r="F7" s="21" t="e">
        <f ca="1">data!E195</f>
        <v>#NAME?</v>
      </c>
    </row>
    <row r="8" spans="1:13" ht="20.100000000000001" customHeight="1" x14ac:dyDescent="0.25">
      <c r="A8" s="13">
        <v>2</v>
      </c>
      <c r="B8" s="14" t="s">
        <v>333</v>
      </c>
      <c r="C8" s="21" t="e">
        <f ca="1">data!B196</f>
        <v>#NAME?</v>
      </c>
      <c r="D8" s="21">
        <f>data!C196</f>
        <v>0</v>
      </c>
      <c r="E8" s="21">
        <f>data!D196</f>
        <v>0</v>
      </c>
      <c r="F8" s="21" t="e">
        <f ca="1">data!E196</f>
        <v>#NAME?</v>
      </c>
    </row>
    <row r="9" spans="1:13" ht="20.100000000000001" customHeight="1" x14ac:dyDescent="0.25">
      <c r="A9" s="13">
        <v>3</v>
      </c>
      <c r="B9" s="14" t="s">
        <v>334</v>
      </c>
      <c r="C9" s="21" t="e">
        <f ca="1">data!B197</f>
        <v>#NAME?</v>
      </c>
      <c r="D9" s="21">
        <f>data!C197</f>
        <v>0</v>
      </c>
      <c r="E9" s="21">
        <f>data!D197</f>
        <v>0</v>
      </c>
      <c r="F9" s="21" t="e">
        <f ca="1">data!E197</f>
        <v>#NAME?</v>
      </c>
    </row>
    <row r="10" spans="1:13" ht="20.100000000000001" customHeight="1" x14ac:dyDescent="0.25">
      <c r="A10" s="13">
        <v>4</v>
      </c>
      <c r="B10" s="14" t="s">
        <v>1083</v>
      </c>
      <c r="C10" s="21" t="e">
        <f ca="1">data!B198</f>
        <v>#NAME?</v>
      </c>
      <c r="D10" s="21">
        <f>data!C198</f>
        <v>0</v>
      </c>
      <c r="E10" s="21">
        <f>data!D198</f>
        <v>0</v>
      </c>
      <c r="F10" s="21" t="e">
        <f ca="1">data!E198</f>
        <v>#NAME?</v>
      </c>
    </row>
    <row r="11" spans="1:13" ht="20.100000000000001" customHeight="1" x14ac:dyDescent="0.25">
      <c r="A11" s="13">
        <v>5</v>
      </c>
      <c r="B11" s="14" t="s">
        <v>1084</v>
      </c>
      <c r="C11" s="21">
        <f>data!B199</f>
        <v>0</v>
      </c>
      <c r="D11" s="21">
        <f>data!C199</f>
        <v>0</v>
      </c>
      <c r="E11" s="21">
        <f>data!D199</f>
        <v>0</v>
      </c>
      <c r="F11" s="21">
        <f>data!E199</f>
        <v>0</v>
      </c>
    </row>
    <row r="12" spans="1:13" ht="20.100000000000001" customHeight="1" x14ac:dyDescent="0.25">
      <c r="A12" s="13">
        <v>6</v>
      </c>
      <c r="B12" s="14" t="s">
        <v>1085</v>
      </c>
      <c r="C12" s="21" t="e">
        <f ca="1">data!B200</f>
        <v>#NAME?</v>
      </c>
      <c r="D12" s="21">
        <f>data!C200</f>
        <v>489841</v>
      </c>
      <c r="E12" s="21">
        <f>data!D200</f>
        <v>178116</v>
      </c>
      <c r="F12" s="21" t="e">
        <f ca="1">data!E200</f>
        <v>#NAME?</v>
      </c>
    </row>
    <row r="13" spans="1:13" ht="20.100000000000001" customHeight="1" x14ac:dyDescent="0.25">
      <c r="A13" s="13">
        <v>7</v>
      </c>
      <c r="B13" s="14" t="s">
        <v>1086</v>
      </c>
      <c r="C13" s="21">
        <f>data!B201</f>
        <v>0</v>
      </c>
      <c r="D13" s="21">
        <f>data!C201</f>
        <v>0</v>
      </c>
      <c r="E13" s="21">
        <f>data!D201</f>
        <v>0</v>
      </c>
      <c r="F13" s="21">
        <f>data!E201</f>
        <v>0</v>
      </c>
    </row>
    <row r="14" spans="1:13" ht="20.100000000000001" customHeight="1" x14ac:dyDescent="0.25">
      <c r="A14" s="13">
        <v>8</v>
      </c>
      <c r="B14" s="14" t="s">
        <v>339</v>
      </c>
      <c r="C14" s="21">
        <f>data!B202</f>
        <v>0</v>
      </c>
      <c r="D14" s="21">
        <f>data!C202</f>
        <v>0</v>
      </c>
      <c r="E14" s="21">
        <f>data!D202</f>
        <v>0</v>
      </c>
      <c r="F14" s="21">
        <f>data!E202</f>
        <v>0</v>
      </c>
    </row>
    <row r="15" spans="1:13" ht="20.100000000000001" customHeight="1" x14ac:dyDescent="0.25">
      <c r="A15" s="13">
        <v>9</v>
      </c>
      <c r="B15" s="14" t="s">
        <v>1087</v>
      </c>
      <c r="C15" s="21" t="e">
        <f ca="1">data!B203</f>
        <v>#NAME?</v>
      </c>
      <c r="D15" s="21">
        <f>data!C203</f>
        <v>1283635</v>
      </c>
      <c r="E15" s="21">
        <f>data!D203</f>
        <v>0</v>
      </c>
      <c r="F15" s="21" t="e">
        <f ca="1">data!E203</f>
        <v>#NAME?</v>
      </c>
      <c r="M15" s="265"/>
    </row>
    <row r="16" spans="1:13" ht="20.100000000000001" customHeight="1" x14ac:dyDescent="0.25">
      <c r="A16" s="13">
        <v>10</v>
      </c>
      <c r="B16" s="14" t="s">
        <v>661</v>
      </c>
      <c r="C16" s="21" t="e">
        <f ca="1">data!B204</f>
        <v>#NAME?</v>
      </c>
      <c r="D16" s="21">
        <f>data!C204</f>
        <v>1773476</v>
      </c>
      <c r="E16" s="21">
        <f>data!D204</f>
        <v>178116</v>
      </c>
      <c r="F16" s="21" t="e">
        <f ca="1">data!E204</f>
        <v>#NAME?</v>
      </c>
    </row>
    <row r="17" spans="1:6" ht="20.100000000000001" customHeight="1" x14ac:dyDescent="0.25">
      <c r="A17" s="73"/>
      <c r="B17" s="30"/>
      <c r="C17" s="30"/>
      <c r="D17" s="30"/>
      <c r="E17" s="30"/>
      <c r="F17" s="20"/>
    </row>
    <row r="18" spans="1:6" ht="20.100000000000001" customHeight="1" x14ac:dyDescent="0.25">
      <c r="A18" s="74"/>
      <c r="B18" s="8"/>
      <c r="C18" s="8"/>
      <c r="D18" s="8"/>
      <c r="E18" s="8"/>
      <c r="F18" s="28"/>
    </row>
    <row r="19" spans="1:6" ht="20.100000000000001" customHeight="1" x14ac:dyDescent="0.25">
      <c r="A19" s="74"/>
      <c r="B19" s="8"/>
      <c r="C19" s="8"/>
      <c r="D19" s="8"/>
      <c r="E19" s="8"/>
      <c r="F19" s="28"/>
    </row>
    <row r="20" spans="1:6" ht="20.100000000000001" customHeight="1" x14ac:dyDescent="0.25">
      <c r="A20" s="39" t="s">
        <v>341</v>
      </c>
      <c r="B20" s="36"/>
      <c r="C20" s="36"/>
      <c r="D20" s="36"/>
      <c r="E20" s="36"/>
      <c r="F20" s="36"/>
    </row>
    <row r="21" spans="1:6" ht="20.100000000000001" customHeight="1" x14ac:dyDescent="0.25">
      <c r="A21" s="75"/>
      <c r="B21" s="44"/>
      <c r="C21" s="18" t="s">
        <v>1079</v>
      </c>
      <c r="D21" s="76" t="s">
        <v>203</v>
      </c>
      <c r="E21" s="25"/>
      <c r="F21" s="18" t="s">
        <v>1080</v>
      </c>
    </row>
    <row r="22" spans="1:6" ht="20.100000000000001" customHeight="1" x14ac:dyDescent="0.25">
      <c r="A22" s="75"/>
      <c r="B22" s="44"/>
      <c r="C22" s="18" t="s">
        <v>1081</v>
      </c>
      <c r="D22" s="18" t="s">
        <v>1088</v>
      </c>
      <c r="E22" s="18" t="s">
        <v>1082</v>
      </c>
      <c r="F22" s="18" t="s">
        <v>1081</v>
      </c>
    </row>
    <row r="23" spans="1:6" ht="20.100000000000001" customHeight="1" x14ac:dyDescent="0.25">
      <c r="A23" s="13">
        <v>11</v>
      </c>
      <c r="B23" s="93" t="s">
        <v>332</v>
      </c>
      <c r="C23" s="92"/>
      <c r="D23" s="92"/>
      <c r="E23" s="92"/>
      <c r="F23" s="92"/>
    </row>
    <row r="24" spans="1:6" ht="20.100000000000001" customHeight="1" x14ac:dyDescent="0.25">
      <c r="A24" s="13">
        <v>12</v>
      </c>
      <c r="B24" s="14" t="s">
        <v>333</v>
      </c>
      <c r="C24" s="21" t="e">
        <f ca="1">data!B209</f>
        <v>#NAME?</v>
      </c>
      <c r="D24" s="21">
        <f>data!C209</f>
        <v>43247.01</v>
      </c>
      <c r="E24" s="21">
        <f>data!D209</f>
        <v>0</v>
      </c>
      <c r="F24" s="21" t="e">
        <f ca="1">data!E209</f>
        <v>#NAME?</v>
      </c>
    </row>
    <row r="25" spans="1:6" ht="20.100000000000001" customHeight="1" x14ac:dyDescent="0.25">
      <c r="A25" s="13">
        <v>13</v>
      </c>
      <c r="B25" s="14" t="s">
        <v>334</v>
      </c>
      <c r="C25" s="21">
        <f>data!B210</f>
        <v>4183715</v>
      </c>
      <c r="D25" s="21">
        <f>data!C210</f>
        <v>139996.35999999999</v>
      </c>
      <c r="E25" s="21">
        <f>data!D210</f>
        <v>0</v>
      </c>
      <c r="F25" s="21">
        <f>data!E210</f>
        <v>4323711.3600000003</v>
      </c>
    </row>
    <row r="26" spans="1:6" ht="20.100000000000001" customHeight="1" x14ac:dyDescent="0.25">
      <c r="A26" s="13">
        <v>14</v>
      </c>
      <c r="B26" s="14" t="s">
        <v>1083</v>
      </c>
      <c r="C26" s="21">
        <f>data!B211</f>
        <v>854874.45</v>
      </c>
      <c r="D26" s="21">
        <f>data!C211</f>
        <v>15657.14</v>
      </c>
      <c r="E26" s="21">
        <f>data!D211</f>
        <v>0</v>
      </c>
      <c r="F26" s="21">
        <f>data!E211</f>
        <v>870531.59</v>
      </c>
    </row>
    <row r="27" spans="1:6" ht="20.100000000000001" customHeight="1" x14ac:dyDescent="0.25">
      <c r="A27" s="13">
        <v>15</v>
      </c>
      <c r="B27" s="14" t="s">
        <v>1084</v>
      </c>
      <c r="C27" s="21">
        <f>data!B212</f>
        <v>0</v>
      </c>
      <c r="D27" s="21">
        <f>data!C212</f>
        <v>0</v>
      </c>
      <c r="E27" s="21">
        <f>data!D212</f>
        <v>0</v>
      </c>
      <c r="F27" s="21">
        <f>data!E212</f>
        <v>0</v>
      </c>
    </row>
    <row r="28" spans="1:6" ht="20.100000000000001" customHeight="1" x14ac:dyDescent="0.25">
      <c r="A28" s="13">
        <v>16</v>
      </c>
      <c r="B28" s="14" t="s">
        <v>1085</v>
      </c>
      <c r="C28" s="21" t="e">
        <f ca="1">data!B213</f>
        <v>#NAME?</v>
      </c>
      <c r="D28" s="21">
        <f>data!C213</f>
        <v>560188</v>
      </c>
      <c r="E28" s="21">
        <f>data!D213</f>
        <v>178116</v>
      </c>
      <c r="F28" s="21" t="e">
        <f ca="1">data!E213</f>
        <v>#NAME?</v>
      </c>
    </row>
    <row r="29" spans="1:6" ht="20.100000000000001" customHeight="1" x14ac:dyDescent="0.25">
      <c r="A29" s="13">
        <v>17</v>
      </c>
      <c r="B29" s="14" t="s">
        <v>1086</v>
      </c>
      <c r="C29" s="21">
        <f>data!B214</f>
        <v>0</v>
      </c>
      <c r="D29" s="21">
        <f>data!C214</f>
        <v>0</v>
      </c>
      <c r="E29" s="21">
        <f>data!D214</f>
        <v>0</v>
      </c>
      <c r="F29" s="21">
        <f>data!E214</f>
        <v>0</v>
      </c>
    </row>
    <row r="30" spans="1:6" ht="20.100000000000001" customHeight="1" x14ac:dyDescent="0.25">
      <c r="A30" s="13">
        <v>18</v>
      </c>
      <c r="B30" s="14" t="s">
        <v>339</v>
      </c>
      <c r="C30" s="21">
        <f>data!B215</f>
        <v>0</v>
      </c>
      <c r="D30" s="21">
        <f>data!C215</f>
        <v>0</v>
      </c>
      <c r="E30" s="21">
        <f>data!D215</f>
        <v>0</v>
      </c>
      <c r="F30" s="21">
        <f>data!E215</f>
        <v>0</v>
      </c>
    </row>
    <row r="31" spans="1:6" ht="20.100000000000001" customHeight="1" x14ac:dyDescent="0.25">
      <c r="A31" s="13">
        <v>19</v>
      </c>
      <c r="B31" s="14" t="s">
        <v>1087</v>
      </c>
      <c r="C31" s="21">
        <f>data!B216</f>
        <v>0</v>
      </c>
      <c r="D31" s="21">
        <f>data!C216</f>
        <v>0</v>
      </c>
      <c r="E31" s="21">
        <f>data!D216</f>
        <v>0</v>
      </c>
      <c r="F31" s="21">
        <f>data!E216</f>
        <v>0</v>
      </c>
    </row>
    <row r="32" spans="1:6" ht="20.100000000000001" customHeight="1" x14ac:dyDescent="0.25">
      <c r="A32" s="13">
        <v>20</v>
      </c>
      <c r="B32" s="14" t="s">
        <v>661</v>
      </c>
      <c r="C32" s="21" t="e">
        <f ca="1">data!B217</f>
        <v>#NAME?</v>
      </c>
      <c r="D32" s="21">
        <f>data!C217</f>
        <v>759088.51</v>
      </c>
      <c r="E32" s="21">
        <f>data!D217</f>
        <v>178116</v>
      </c>
      <c r="F32" s="21" t="e">
        <f ca="1">data!E217</f>
        <v>#NAME?</v>
      </c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3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M34"/>
  <sheetViews>
    <sheetView showGridLines="0" topLeftCell="A19" zoomScale="75" workbookViewId="0">
      <selection activeCell="E43" sqref="E43"/>
    </sheetView>
  </sheetViews>
  <sheetFormatPr defaultColWidth="8.9140625" defaultRowHeight="20.100000000000001" customHeight="1" x14ac:dyDescent="0.25"/>
  <cols>
    <col min="1" max="1" width="5.75" style="7" customWidth="1"/>
    <col min="2" max="2" width="7.75" style="7" customWidth="1"/>
    <col min="3" max="3" width="40.75" style="7" customWidth="1"/>
    <col min="4" max="4" width="15.75" style="7" customWidth="1"/>
    <col min="5" max="16384" width="8.9140625" style="7"/>
  </cols>
  <sheetData>
    <row r="1" spans="1:13" ht="20.100000000000001" customHeight="1" x14ac:dyDescent="0.25">
      <c r="A1" s="6" t="s">
        <v>1089</v>
      </c>
      <c r="B1" s="6"/>
      <c r="C1" s="6"/>
      <c r="D1" s="169" t="s">
        <v>1090</v>
      </c>
    </row>
    <row r="2" spans="1:13" ht="20.100000000000001" customHeight="1" x14ac:dyDescent="0.25">
      <c r="A2" s="29" t="str">
        <f>"Hospital: "&amp;data!C84</f>
        <v>Hospital: Lake Chelan Community Hospital</v>
      </c>
      <c r="B2" s="30"/>
      <c r="C2" s="30"/>
      <c r="D2" s="31" t="str">
        <f>"FYE: "&amp;data!C82</f>
        <v>FYE: 12/31/2019</v>
      </c>
    </row>
    <row r="3" spans="1:13" ht="20.100000000000001" customHeight="1" x14ac:dyDescent="0.25">
      <c r="A3" s="42"/>
      <c r="B3" s="52"/>
      <c r="C3" s="52"/>
      <c r="D3" s="52"/>
    </row>
    <row r="4" spans="1:13" ht="20.100000000000001" customHeight="1" x14ac:dyDescent="0.25">
      <c r="A4" s="53"/>
      <c r="B4" s="41" t="s">
        <v>1091</v>
      </c>
      <c r="C4" s="41" t="s">
        <v>1092</v>
      </c>
      <c r="D4" s="54"/>
    </row>
    <row r="5" spans="1:13" ht="20.100000000000001" customHeight="1" x14ac:dyDescent="0.25">
      <c r="A5" s="102">
        <v>1</v>
      </c>
      <c r="B5" s="55"/>
      <c r="C5" s="22" t="s">
        <v>1257</v>
      </c>
      <c r="D5" s="14">
        <f>data!D221</f>
        <v>2739717</v>
      </c>
    </row>
    <row r="6" spans="1:13" ht="20.100000000000001" customHeight="1" x14ac:dyDescent="0.25">
      <c r="A6" s="13">
        <v>2</v>
      </c>
      <c r="B6" s="30"/>
      <c r="C6" s="31" t="s">
        <v>432</v>
      </c>
      <c r="D6" s="25"/>
    </row>
    <row r="7" spans="1:13" ht="20.100000000000001" customHeight="1" x14ac:dyDescent="0.25">
      <c r="A7" s="13">
        <v>3</v>
      </c>
      <c r="B7" s="55">
        <v>5810</v>
      </c>
      <c r="C7" s="14" t="s">
        <v>296</v>
      </c>
      <c r="D7" s="14" t="e">
        <f ca="1">data!C223</f>
        <v>#NAME?</v>
      </c>
    </row>
    <row r="8" spans="1:13" ht="20.100000000000001" customHeight="1" x14ac:dyDescent="0.25">
      <c r="A8" s="13">
        <v>4</v>
      </c>
      <c r="B8" s="55">
        <v>5820</v>
      </c>
      <c r="C8" s="14" t="s">
        <v>297</v>
      </c>
      <c r="D8" s="14" t="e">
        <f ca="1">data!C224</f>
        <v>#NAME?</v>
      </c>
    </row>
    <row r="9" spans="1:13" ht="20.100000000000001" customHeight="1" x14ac:dyDescent="0.25">
      <c r="A9" s="13">
        <v>5</v>
      </c>
      <c r="B9" s="55">
        <v>5830</v>
      </c>
      <c r="C9" s="14" t="s">
        <v>309</v>
      </c>
      <c r="D9" s="14">
        <f>data!C225</f>
        <v>0</v>
      </c>
    </row>
    <row r="10" spans="1:13" ht="20.100000000000001" customHeight="1" x14ac:dyDescent="0.25">
      <c r="A10" s="13">
        <v>6</v>
      </c>
      <c r="B10" s="55">
        <v>5840</v>
      </c>
      <c r="C10" s="14" t="s">
        <v>347</v>
      </c>
      <c r="D10" s="14">
        <f>data!C226</f>
        <v>0</v>
      </c>
    </row>
    <row r="11" spans="1:13" ht="20.100000000000001" customHeight="1" x14ac:dyDescent="0.25">
      <c r="A11" s="13">
        <v>7</v>
      </c>
      <c r="B11" s="55">
        <v>5850</v>
      </c>
      <c r="C11" s="14" t="s">
        <v>1093</v>
      </c>
      <c r="D11" s="14" t="e">
        <f ca="1">data!C227</f>
        <v>#NAME?</v>
      </c>
    </row>
    <row r="12" spans="1:13" ht="20.100000000000001" customHeight="1" x14ac:dyDescent="0.25">
      <c r="A12" s="13">
        <v>8</v>
      </c>
      <c r="B12" s="55">
        <v>5860</v>
      </c>
      <c r="C12" s="14" t="s">
        <v>132</v>
      </c>
      <c r="D12" s="14">
        <f>data!C228</f>
        <v>0</v>
      </c>
    </row>
    <row r="13" spans="1:13" ht="20.100000000000001" customHeight="1" x14ac:dyDescent="0.25">
      <c r="A13" s="23">
        <v>9</v>
      </c>
      <c r="B13" s="24"/>
      <c r="C13" s="14" t="s">
        <v>1094</v>
      </c>
      <c r="D13" s="14" t="e">
        <f ca="1">data!D229</f>
        <v>#NAME?</v>
      </c>
    </row>
    <row r="14" spans="1:13" ht="20.100000000000001" customHeight="1" x14ac:dyDescent="0.25">
      <c r="A14" s="81">
        <v>10</v>
      </c>
      <c r="B14" s="56"/>
      <c r="C14" s="56"/>
      <c r="D14" s="56"/>
    </row>
    <row r="15" spans="1:13" ht="20.100000000000001" customHeight="1" x14ac:dyDescent="0.25">
      <c r="A15" s="23">
        <v>11</v>
      </c>
      <c r="B15" s="58"/>
      <c r="C15" s="9" t="s">
        <v>351</v>
      </c>
      <c r="D15" s="25"/>
    </row>
    <row r="16" spans="1:13" ht="20.100000000000001" customHeight="1" x14ac:dyDescent="0.25">
      <c r="A16" s="81">
        <v>12</v>
      </c>
      <c r="B16" s="56"/>
      <c r="C16" s="49" t="s">
        <v>1095</v>
      </c>
      <c r="D16" s="140">
        <f>+data!C231</f>
        <v>169</v>
      </c>
      <c r="M16" s="265"/>
    </row>
    <row r="17" spans="1:4" ht="20.100000000000001" customHeight="1" x14ac:dyDescent="0.25">
      <c r="A17" s="23">
        <v>13</v>
      </c>
      <c r="B17" s="58"/>
      <c r="C17" s="45"/>
      <c r="D17" s="83"/>
    </row>
    <row r="18" spans="1:4" ht="20.100000000000001" customHeight="1" x14ac:dyDescent="0.25">
      <c r="A18" s="13">
        <v>14</v>
      </c>
      <c r="B18" s="59">
        <v>5900</v>
      </c>
      <c r="C18" s="14" t="s">
        <v>353</v>
      </c>
      <c r="D18" s="60">
        <f>data!C233</f>
        <v>174772</v>
      </c>
    </row>
    <row r="19" spans="1:4" ht="20.100000000000001" customHeight="1" x14ac:dyDescent="0.25">
      <c r="A19" s="61">
        <v>15</v>
      </c>
      <c r="B19" s="55">
        <v>5910</v>
      </c>
      <c r="C19" s="22" t="s">
        <v>1096</v>
      </c>
      <c r="D19" s="14">
        <f>data!C234</f>
        <v>536208</v>
      </c>
    </row>
    <row r="20" spans="1:4" ht="20.100000000000001" customHeight="1" x14ac:dyDescent="0.25">
      <c r="A20" s="23">
        <v>16</v>
      </c>
      <c r="B20" s="24"/>
      <c r="C20" s="24"/>
      <c r="D20" s="56"/>
    </row>
    <row r="21" spans="1:4" ht="20.100000000000001" customHeight="1" x14ac:dyDescent="0.25">
      <c r="A21" s="23">
        <v>17</v>
      </c>
      <c r="B21" s="56"/>
      <c r="C21" s="56"/>
      <c r="D21" s="56"/>
    </row>
    <row r="22" spans="1:4" ht="20.100000000000001" customHeight="1" x14ac:dyDescent="0.25">
      <c r="A22" s="81">
        <v>18</v>
      </c>
      <c r="B22" s="56"/>
      <c r="C22" s="15" t="s">
        <v>1097</v>
      </c>
      <c r="D22" s="14">
        <f>data!D236</f>
        <v>710980</v>
      </c>
    </row>
    <row r="23" spans="1:4" ht="20.100000000000001" customHeight="1" x14ac:dyDescent="0.25">
      <c r="A23" s="62">
        <v>19</v>
      </c>
      <c r="B23" s="58"/>
      <c r="C23" s="58"/>
      <c r="D23" s="25"/>
    </row>
    <row r="24" spans="1:4" ht="20.100000000000001" customHeight="1" x14ac:dyDescent="0.25">
      <c r="A24" s="269">
        <v>20</v>
      </c>
      <c r="B24" s="55">
        <v>5970</v>
      </c>
      <c r="C24" s="14" t="s">
        <v>357</v>
      </c>
      <c r="D24" s="14">
        <f>data!C238</f>
        <v>57733</v>
      </c>
    </row>
    <row r="25" spans="1:4" ht="20.100000000000001" customHeight="1" x14ac:dyDescent="0.25">
      <c r="A25" s="62">
        <v>21</v>
      </c>
      <c r="B25" s="30"/>
      <c r="C25" s="30"/>
      <c r="D25" s="25"/>
    </row>
    <row r="26" spans="1:4" ht="20.100000000000001" customHeight="1" x14ac:dyDescent="0.25">
      <c r="A26" s="23">
        <v>22</v>
      </c>
      <c r="B26" s="55">
        <v>5980</v>
      </c>
      <c r="C26" s="14" t="s">
        <v>1098</v>
      </c>
      <c r="D26" s="14">
        <f>data!C239</f>
        <v>0</v>
      </c>
    </row>
    <row r="27" spans="1:4" ht="20.100000000000001" customHeight="1" x14ac:dyDescent="0.25">
      <c r="A27" s="64">
        <v>23</v>
      </c>
      <c r="B27" s="63" t="s">
        <v>1099</v>
      </c>
      <c r="C27" s="56"/>
      <c r="D27" s="14" t="e">
        <f ca="1">data!D242</f>
        <v>#NAME?</v>
      </c>
    </row>
    <row r="28" spans="1:4" ht="20.100000000000001" customHeight="1" x14ac:dyDescent="0.25">
      <c r="A28" s="126">
        <v>24</v>
      </c>
      <c r="B28" s="65" t="s">
        <v>1100</v>
      </c>
      <c r="C28" s="50"/>
      <c r="D28" s="54"/>
    </row>
    <row r="29" spans="1:4" ht="20.100000000000001" customHeight="1" x14ac:dyDescent="0.25">
      <c r="A29" s="66"/>
      <c r="B29" s="67"/>
      <c r="C29" s="67"/>
      <c r="D29" s="56"/>
    </row>
    <row r="30" spans="1:4" ht="20.100000000000001" customHeight="1" x14ac:dyDescent="0.25">
      <c r="A30" s="68"/>
      <c r="B30" s="38"/>
      <c r="C30" s="38"/>
      <c r="D30" s="56"/>
    </row>
    <row r="31" spans="1:4" ht="20.100000000000001" customHeight="1" x14ac:dyDescent="0.25">
      <c r="A31" s="68"/>
      <c r="B31" s="38"/>
      <c r="C31" s="38"/>
      <c r="D31" s="56"/>
    </row>
    <row r="32" spans="1:4" ht="20.100000000000001" customHeight="1" x14ac:dyDescent="0.25">
      <c r="A32" s="68"/>
      <c r="B32" s="38"/>
      <c r="C32" s="38"/>
      <c r="D32" s="56"/>
    </row>
    <row r="33" spans="1:4" ht="20.100000000000001" customHeight="1" x14ac:dyDescent="0.25">
      <c r="A33" s="68"/>
      <c r="B33" s="38"/>
      <c r="C33" s="38"/>
      <c r="D33" s="24"/>
    </row>
    <row r="34" spans="1:4" ht="20.100000000000001" customHeight="1" x14ac:dyDescent="0.25">
      <c r="A34" s="69"/>
      <c r="B34" s="70"/>
      <c r="C34" s="70"/>
      <c r="D34" s="27"/>
    </row>
  </sheetData>
  <phoneticPr fontId="0" type="noConversion"/>
  <printOptions horizontalCentered="1" verticalCentered="1" gridLinesSet="0"/>
  <pageMargins left="0" right="0" top="0" bottom="0" header="0" footer="0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M153"/>
  <sheetViews>
    <sheetView showGridLines="0" topLeftCell="A130" zoomScale="75" workbookViewId="0">
      <selection activeCell="C59" sqref="C59"/>
    </sheetView>
  </sheetViews>
  <sheetFormatPr defaultColWidth="57.4140625" defaultRowHeight="15" x14ac:dyDescent="0.25"/>
  <cols>
    <col min="1" max="1" width="5.75" style="7" customWidth="1"/>
    <col min="2" max="2" width="55.75" style="7" customWidth="1"/>
    <col min="3" max="3" width="22" style="7" customWidth="1"/>
    <col min="4" max="4" width="5.6640625" style="7" customWidth="1"/>
    <col min="5" max="16384" width="57.4140625" style="7"/>
  </cols>
  <sheetData>
    <row r="1" spans="1:13" ht="20.100000000000001" customHeight="1" x14ac:dyDescent="0.25">
      <c r="A1" s="4" t="s">
        <v>1101</v>
      </c>
      <c r="B1" s="5"/>
      <c r="C1" s="6"/>
    </row>
    <row r="2" spans="1:13" ht="20.100000000000001" customHeight="1" x14ac:dyDescent="0.25">
      <c r="A2" s="4"/>
      <c r="B2" s="5"/>
      <c r="C2" s="167" t="s">
        <v>1102</v>
      </c>
    </row>
    <row r="3" spans="1:13" ht="20.100000000000001" customHeight="1" x14ac:dyDescent="0.25">
      <c r="A3" s="29" t="str">
        <f>"HOSPITAL: "&amp;data!C84</f>
        <v>HOSPITAL: Lake Chelan Community Hospital</v>
      </c>
      <c r="B3" s="30"/>
      <c r="C3" s="31" t="str">
        <f>" FYE: "&amp;data!C82</f>
        <v xml:space="preserve"> FYE: 12/31/2019</v>
      </c>
    </row>
    <row r="4" spans="1:13" ht="20.100000000000001" customHeight="1" x14ac:dyDescent="0.25">
      <c r="A4" s="32"/>
      <c r="B4" s="33" t="s">
        <v>1103</v>
      </c>
      <c r="C4" s="34"/>
    </row>
    <row r="5" spans="1:13" ht="20.100000000000001" customHeight="1" x14ac:dyDescent="0.25">
      <c r="A5" s="23">
        <v>1</v>
      </c>
      <c r="B5" s="35" t="s">
        <v>361</v>
      </c>
      <c r="C5" s="36"/>
    </row>
    <row r="6" spans="1:13" ht="20.100000000000001" customHeight="1" x14ac:dyDescent="0.25">
      <c r="A6" s="13">
        <v>2</v>
      </c>
      <c r="B6" s="14" t="s">
        <v>362</v>
      </c>
      <c r="C6" s="21" t="e">
        <f ca="1">data!C250</f>
        <v>#NAME?</v>
      </c>
    </row>
    <row r="7" spans="1:13" ht="20.100000000000001" customHeight="1" x14ac:dyDescent="0.25">
      <c r="A7" s="13">
        <v>3</v>
      </c>
      <c r="B7" s="14" t="s">
        <v>363</v>
      </c>
      <c r="C7" s="21">
        <f>data!C251</f>
        <v>0</v>
      </c>
    </row>
    <row r="8" spans="1:13" ht="20.100000000000001" customHeight="1" x14ac:dyDescent="0.25">
      <c r="A8" s="13">
        <v>4</v>
      </c>
      <c r="B8" s="14" t="s">
        <v>364</v>
      </c>
      <c r="C8" s="21" t="e">
        <f ca="1">data!C252</f>
        <v>#NAME?</v>
      </c>
    </row>
    <row r="9" spans="1:13" ht="20.100000000000001" customHeight="1" x14ac:dyDescent="0.25">
      <c r="A9" s="13">
        <v>5</v>
      </c>
      <c r="B9" s="14" t="s">
        <v>1104</v>
      </c>
      <c r="C9" s="21" t="e">
        <f ca="1">data!C253</f>
        <v>#NAME?</v>
      </c>
    </row>
    <row r="10" spans="1:13" ht="20.100000000000001" customHeight="1" x14ac:dyDescent="0.25">
      <c r="A10" s="13">
        <v>6</v>
      </c>
      <c r="B10" s="14" t="s">
        <v>1105</v>
      </c>
      <c r="C10" s="21">
        <f>data!C254</f>
        <v>0</v>
      </c>
    </row>
    <row r="11" spans="1:13" ht="20.100000000000001" customHeight="1" x14ac:dyDescent="0.25">
      <c r="A11" s="13">
        <v>7</v>
      </c>
      <c r="B11" s="14" t="s">
        <v>1106</v>
      </c>
      <c r="C11" s="21" t="e">
        <f ca="1">data!C255</f>
        <v>#NAME?</v>
      </c>
    </row>
    <row r="12" spans="1:13" ht="20.100000000000001" customHeight="1" x14ac:dyDescent="0.25">
      <c r="A12" s="13">
        <v>8</v>
      </c>
      <c r="B12" s="14" t="s">
        <v>367</v>
      </c>
      <c r="C12" s="21">
        <f>data!C256</f>
        <v>0</v>
      </c>
    </row>
    <row r="13" spans="1:13" ht="20.100000000000001" customHeight="1" x14ac:dyDescent="0.25">
      <c r="A13" s="13">
        <v>9</v>
      </c>
      <c r="B13" s="14" t="s">
        <v>368</v>
      </c>
      <c r="C13" s="21" t="e">
        <f ca="1">data!C257</f>
        <v>#NAME?</v>
      </c>
    </row>
    <row r="14" spans="1:13" ht="20.100000000000001" customHeight="1" x14ac:dyDescent="0.25">
      <c r="A14" s="13">
        <v>10</v>
      </c>
      <c r="B14" s="14" t="s">
        <v>369</v>
      </c>
      <c r="C14" s="21" t="e">
        <f ca="1">data!C258</f>
        <v>#NAME?</v>
      </c>
    </row>
    <row r="15" spans="1:13" ht="20.100000000000001" customHeight="1" x14ac:dyDescent="0.25">
      <c r="A15" s="13">
        <v>11</v>
      </c>
      <c r="B15" s="14" t="s">
        <v>1107</v>
      </c>
      <c r="C15" s="21">
        <f>data!C259</f>
        <v>0</v>
      </c>
      <c r="M15" s="265"/>
    </row>
    <row r="16" spans="1:13" ht="20.100000000000001" customHeight="1" x14ac:dyDescent="0.25">
      <c r="A16" s="13">
        <v>12</v>
      </c>
      <c r="B16" s="14" t="s">
        <v>1108</v>
      </c>
      <c r="C16" s="21" t="e">
        <f ca="1">data!D260</f>
        <v>#NAME?</v>
      </c>
    </row>
    <row r="17" spans="1:3" ht="20.100000000000001" customHeight="1" x14ac:dyDescent="0.25">
      <c r="A17" s="13">
        <v>13</v>
      </c>
      <c r="B17" s="24"/>
      <c r="C17" s="24"/>
    </row>
    <row r="18" spans="1:3" ht="20.100000000000001" customHeight="1" x14ac:dyDescent="0.25">
      <c r="A18" s="13">
        <v>14</v>
      </c>
      <c r="B18" s="37" t="s">
        <v>1109</v>
      </c>
      <c r="C18" s="36"/>
    </row>
    <row r="19" spans="1:3" ht="20.100000000000001" customHeight="1" x14ac:dyDescent="0.25">
      <c r="A19" s="13">
        <v>15</v>
      </c>
      <c r="B19" s="14" t="s">
        <v>362</v>
      </c>
      <c r="C19" s="21" t="e">
        <f ca="1">data!C262</f>
        <v>#NAME?</v>
      </c>
    </row>
    <row r="20" spans="1:3" ht="20.100000000000001" customHeight="1" x14ac:dyDescent="0.25">
      <c r="A20" s="13">
        <v>16</v>
      </c>
      <c r="B20" s="14" t="s">
        <v>363</v>
      </c>
      <c r="C20" s="21">
        <f>data!C263</f>
        <v>0</v>
      </c>
    </row>
    <row r="21" spans="1:3" ht="20.100000000000001" customHeight="1" x14ac:dyDescent="0.25">
      <c r="A21" s="13">
        <v>17</v>
      </c>
      <c r="B21" s="14" t="s">
        <v>373</v>
      </c>
      <c r="C21" s="21" t="e">
        <f ca="1">data!C264</f>
        <v>#NAME?</v>
      </c>
    </row>
    <row r="22" spans="1:3" ht="20.100000000000001" customHeight="1" x14ac:dyDescent="0.25">
      <c r="A22" s="13">
        <v>18</v>
      </c>
      <c r="B22" s="14" t="s">
        <v>1110</v>
      </c>
      <c r="C22" s="21" t="e">
        <f ca="1">data!D265</f>
        <v>#NAME?</v>
      </c>
    </row>
    <row r="23" spans="1:3" ht="20.100000000000001" customHeight="1" x14ac:dyDescent="0.25">
      <c r="A23" s="13">
        <v>19</v>
      </c>
      <c r="B23" s="38"/>
      <c r="C23" s="24"/>
    </row>
    <row r="24" spans="1:3" ht="20.100000000000001" customHeight="1" x14ac:dyDescent="0.25">
      <c r="A24" s="13">
        <v>20</v>
      </c>
      <c r="B24" s="37" t="s">
        <v>1111</v>
      </c>
      <c r="C24" s="36"/>
    </row>
    <row r="25" spans="1:3" ht="20.100000000000001" customHeight="1" x14ac:dyDescent="0.25">
      <c r="A25" s="13">
        <v>21</v>
      </c>
      <c r="B25" s="14" t="s">
        <v>332</v>
      </c>
      <c r="C25" s="21" t="e">
        <f ca="1">data!C267</f>
        <v>#NAME?</v>
      </c>
    </row>
    <row r="26" spans="1:3" ht="20.100000000000001" customHeight="1" x14ac:dyDescent="0.25">
      <c r="A26" s="13">
        <v>22</v>
      </c>
      <c r="B26" s="14" t="s">
        <v>333</v>
      </c>
      <c r="C26" s="21" t="e">
        <f ca="1">data!C268</f>
        <v>#NAME?</v>
      </c>
    </row>
    <row r="27" spans="1:3" ht="20.100000000000001" customHeight="1" x14ac:dyDescent="0.25">
      <c r="A27" s="13">
        <v>23</v>
      </c>
      <c r="B27" s="14" t="s">
        <v>334</v>
      </c>
      <c r="C27" s="21" t="e">
        <f ca="1">data!C269</f>
        <v>#NAME?</v>
      </c>
    </row>
    <row r="28" spans="1:3" ht="20.100000000000001" customHeight="1" x14ac:dyDescent="0.25">
      <c r="A28" s="13">
        <v>24</v>
      </c>
      <c r="B28" s="14" t="s">
        <v>1112</v>
      </c>
      <c r="C28" s="21">
        <f>data!C270</f>
        <v>0</v>
      </c>
    </row>
    <row r="29" spans="1:3" ht="20.100000000000001" customHeight="1" x14ac:dyDescent="0.25">
      <c r="A29" s="13">
        <v>25</v>
      </c>
      <c r="B29" s="14" t="s">
        <v>336</v>
      </c>
      <c r="C29" s="21" t="e">
        <f ca="1">data!C271</f>
        <v>#NAME?</v>
      </c>
    </row>
    <row r="30" spans="1:3" ht="20.100000000000001" customHeight="1" x14ac:dyDescent="0.25">
      <c r="A30" s="13">
        <v>26</v>
      </c>
      <c r="B30" s="14" t="s">
        <v>378</v>
      </c>
      <c r="C30" s="21" t="e">
        <f ca="1">data!C272</f>
        <v>#NAME?</v>
      </c>
    </row>
    <row r="31" spans="1:3" ht="20.100000000000001" customHeight="1" x14ac:dyDescent="0.25">
      <c r="A31" s="13">
        <v>27</v>
      </c>
      <c r="B31" s="14" t="s">
        <v>339</v>
      </c>
      <c r="C31" s="21">
        <f>data!C273</f>
        <v>0</v>
      </c>
    </row>
    <row r="32" spans="1:3" ht="20.100000000000001" customHeight="1" x14ac:dyDescent="0.25">
      <c r="A32" s="13">
        <v>28</v>
      </c>
      <c r="B32" s="14" t="s">
        <v>340</v>
      </c>
      <c r="C32" s="21" t="e">
        <f ca="1">data!C274</f>
        <v>#NAME?</v>
      </c>
    </row>
    <row r="33" spans="1:3" ht="20.100000000000001" customHeight="1" x14ac:dyDescent="0.25">
      <c r="A33" s="13">
        <v>29</v>
      </c>
      <c r="B33" s="14" t="s">
        <v>661</v>
      </c>
      <c r="C33" s="21" t="e">
        <f ca="1">data!D275</f>
        <v>#NAME?</v>
      </c>
    </row>
    <row r="34" spans="1:3" ht="20.100000000000001" customHeight="1" x14ac:dyDescent="0.25">
      <c r="A34" s="13">
        <v>30</v>
      </c>
      <c r="B34" s="14" t="s">
        <v>1113</v>
      </c>
      <c r="C34" s="21" t="e">
        <f ca="1">data!C276</f>
        <v>#NAME?</v>
      </c>
    </row>
    <row r="35" spans="1:3" ht="20.100000000000001" customHeight="1" x14ac:dyDescent="0.25">
      <c r="A35" s="13">
        <v>31</v>
      </c>
      <c r="B35" s="14" t="s">
        <v>1114</v>
      </c>
      <c r="C35" s="21" t="e">
        <f ca="1">data!D277</f>
        <v>#NAME?</v>
      </c>
    </row>
    <row r="36" spans="1:3" ht="20.100000000000001" customHeight="1" x14ac:dyDescent="0.25">
      <c r="A36" s="13">
        <v>32</v>
      </c>
      <c r="B36" s="38"/>
      <c r="C36" s="24"/>
    </row>
    <row r="37" spans="1:3" ht="20.100000000000001" customHeight="1" x14ac:dyDescent="0.25">
      <c r="A37" s="23">
        <v>33</v>
      </c>
      <c r="B37" s="37" t="s">
        <v>1115</v>
      </c>
      <c r="C37" s="36"/>
    </row>
    <row r="38" spans="1:3" ht="20.100000000000001" customHeight="1" x14ac:dyDescent="0.25">
      <c r="A38" s="13">
        <v>34</v>
      </c>
      <c r="B38" s="14" t="s">
        <v>1116</v>
      </c>
      <c r="C38" s="21">
        <f>data!C279</f>
        <v>0</v>
      </c>
    </row>
    <row r="39" spans="1:3" ht="20.100000000000001" customHeight="1" x14ac:dyDescent="0.25">
      <c r="A39" s="13">
        <v>35</v>
      </c>
      <c r="B39" s="14" t="s">
        <v>1117</v>
      </c>
      <c r="C39" s="21">
        <f>data!C280</f>
        <v>0</v>
      </c>
    </row>
    <row r="40" spans="1:3" ht="20.100000000000001" customHeight="1" x14ac:dyDescent="0.25">
      <c r="A40" s="13">
        <v>36</v>
      </c>
      <c r="B40" s="14" t="s">
        <v>385</v>
      </c>
      <c r="C40" s="21">
        <f>data!C281</f>
        <v>0</v>
      </c>
    </row>
    <row r="41" spans="1:3" ht="20.100000000000001" customHeight="1" x14ac:dyDescent="0.25">
      <c r="A41" s="13">
        <v>37</v>
      </c>
      <c r="B41" s="14" t="s">
        <v>373</v>
      </c>
      <c r="C41" s="21" t="e">
        <f ca="1">data!C282</f>
        <v>#NAME?</v>
      </c>
    </row>
    <row r="42" spans="1:3" ht="20.100000000000001" customHeight="1" x14ac:dyDescent="0.25">
      <c r="A42" s="13">
        <v>38</v>
      </c>
      <c r="B42" s="14" t="s">
        <v>1118</v>
      </c>
      <c r="C42" s="21" t="e">
        <f ca="1">data!D283</f>
        <v>#NAME?</v>
      </c>
    </row>
    <row r="43" spans="1:3" ht="20.100000000000001" customHeight="1" x14ac:dyDescent="0.25">
      <c r="A43" s="13">
        <v>39</v>
      </c>
      <c r="B43" s="38"/>
      <c r="C43" s="24"/>
    </row>
    <row r="44" spans="1:3" ht="20.100000000000001" customHeight="1" x14ac:dyDescent="0.25">
      <c r="A44" s="23">
        <v>40</v>
      </c>
      <c r="B44" s="37" t="s">
        <v>1119</v>
      </c>
      <c r="C44" s="36"/>
    </row>
    <row r="45" spans="1:3" ht="20.100000000000001" customHeight="1" x14ac:dyDescent="0.25">
      <c r="A45" s="13">
        <v>41</v>
      </c>
      <c r="B45" s="14" t="s">
        <v>388</v>
      </c>
      <c r="C45" s="21">
        <f>data!C286</f>
        <v>0</v>
      </c>
    </row>
    <row r="46" spans="1:3" ht="20.100000000000001" customHeight="1" x14ac:dyDescent="0.25">
      <c r="A46" s="13">
        <v>42</v>
      </c>
      <c r="B46" s="14" t="s">
        <v>389</v>
      </c>
      <c r="C46" s="21">
        <f>data!C287</f>
        <v>0</v>
      </c>
    </row>
    <row r="47" spans="1:3" ht="20.100000000000001" customHeight="1" x14ac:dyDescent="0.25">
      <c r="A47" s="13">
        <v>43</v>
      </c>
      <c r="B47" s="14" t="s">
        <v>1120</v>
      </c>
      <c r="C47" s="21">
        <f>data!C288</f>
        <v>0</v>
      </c>
    </row>
    <row r="48" spans="1:3" ht="20.100000000000001" customHeight="1" x14ac:dyDescent="0.25">
      <c r="A48" s="13">
        <v>44</v>
      </c>
      <c r="B48" s="14" t="s">
        <v>391</v>
      </c>
      <c r="C48" s="21">
        <f>data!C289</f>
        <v>0</v>
      </c>
    </row>
    <row r="49" spans="1:3" ht="20.100000000000001" customHeight="1" x14ac:dyDescent="0.25">
      <c r="A49" s="13">
        <v>45</v>
      </c>
      <c r="B49" s="14" t="s">
        <v>1121</v>
      </c>
      <c r="C49" s="21">
        <f>data!D290</f>
        <v>0</v>
      </c>
    </row>
    <row r="50" spans="1:3" ht="20.100000000000001" customHeight="1" x14ac:dyDescent="0.25">
      <c r="A50" s="40">
        <v>46</v>
      </c>
      <c r="B50" s="41" t="s">
        <v>1122</v>
      </c>
      <c r="C50" s="21" t="e">
        <f ca="1">data!D292</f>
        <v>#NAME?</v>
      </c>
    </row>
    <row r="51" spans="1:3" ht="20.100000000000001" customHeight="1" x14ac:dyDescent="0.25"/>
    <row r="52" spans="1:3" ht="20.100000000000001" customHeight="1" x14ac:dyDescent="0.25"/>
    <row r="53" spans="1:3" ht="20.100000000000001" customHeight="1" x14ac:dyDescent="0.25">
      <c r="A53" s="4" t="s">
        <v>1123</v>
      </c>
      <c r="B53" s="5"/>
      <c r="C53" s="6"/>
    </row>
    <row r="54" spans="1:3" ht="20.100000000000001" customHeight="1" x14ac:dyDescent="0.25">
      <c r="A54" s="4"/>
      <c r="B54" s="5"/>
      <c r="C54" s="167" t="s">
        <v>1124</v>
      </c>
    </row>
    <row r="55" spans="1:3" ht="20.100000000000001" customHeight="1" x14ac:dyDescent="0.25">
      <c r="A55" s="29" t="str">
        <f>"HOSPITAL: "&amp;data!C84</f>
        <v>HOSPITAL: Lake Chelan Community Hospital</v>
      </c>
      <c r="B55" s="30"/>
      <c r="C55" s="31" t="str">
        <f>"FYE: "&amp;data!C82</f>
        <v>FYE: 12/31/2019</v>
      </c>
    </row>
    <row r="56" spans="1:3" ht="20.100000000000001" customHeight="1" x14ac:dyDescent="0.25">
      <c r="A56" s="42"/>
      <c r="B56" s="43" t="s">
        <v>1125</v>
      </c>
      <c r="C56" s="34"/>
    </row>
    <row r="57" spans="1:3" ht="20.100000000000001" customHeight="1" x14ac:dyDescent="0.25">
      <c r="A57" s="16">
        <v>1</v>
      </c>
      <c r="B57" s="4" t="s">
        <v>395</v>
      </c>
      <c r="C57" s="44"/>
    </row>
    <row r="58" spans="1:3" ht="20.100000000000001" customHeight="1" x14ac:dyDescent="0.25">
      <c r="A58" s="13">
        <v>2</v>
      </c>
      <c r="B58" s="14" t="s">
        <v>396</v>
      </c>
      <c r="C58" s="21">
        <f>data!C304</f>
        <v>350000</v>
      </c>
    </row>
    <row r="59" spans="1:3" ht="20.100000000000001" customHeight="1" x14ac:dyDescent="0.25">
      <c r="A59" s="13">
        <v>3</v>
      </c>
      <c r="B59" s="14" t="s">
        <v>1126</v>
      </c>
      <c r="C59" s="21">
        <f>data!C305</f>
        <v>2355003</v>
      </c>
    </row>
    <row r="60" spans="1:3" ht="20.100000000000001" customHeight="1" x14ac:dyDescent="0.25">
      <c r="A60" s="13">
        <v>4</v>
      </c>
      <c r="B60" s="14" t="s">
        <v>1127</v>
      </c>
      <c r="C60" s="21" t="e">
        <f ca="1">data!C306</f>
        <v>#NAME?</v>
      </c>
    </row>
    <row r="61" spans="1:3" ht="20.100000000000001" customHeight="1" x14ac:dyDescent="0.25">
      <c r="A61" s="13">
        <v>5</v>
      </c>
      <c r="B61" s="14" t="s">
        <v>399</v>
      </c>
      <c r="C61" s="21" t="e">
        <f ca="1">data!C307</f>
        <v>#NAME?</v>
      </c>
    </row>
    <row r="62" spans="1:3" ht="20.100000000000001" customHeight="1" x14ac:dyDescent="0.25">
      <c r="A62" s="13">
        <v>6</v>
      </c>
      <c r="B62" s="14" t="s">
        <v>1128</v>
      </c>
      <c r="C62" s="21">
        <f>data!C308</f>
        <v>0</v>
      </c>
    </row>
    <row r="63" spans="1:3" ht="20.100000000000001" customHeight="1" x14ac:dyDescent="0.25">
      <c r="A63" s="13">
        <v>7</v>
      </c>
      <c r="B63" s="14" t="s">
        <v>1129</v>
      </c>
      <c r="C63" s="21">
        <f>data!C309</f>
        <v>0</v>
      </c>
    </row>
    <row r="64" spans="1:3" ht="20.100000000000001" customHeight="1" x14ac:dyDescent="0.25">
      <c r="A64" s="13">
        <v>8</v>
      </c>
      <c r="B64" s="14" t="s">
        <v>401</v>
      </c>
      <c r="C64" s="21" t="e">
        <f ca="1">data!C310</f>
        <v>#NAME?</v>
      </c>
    </row>
    <row r="65" spans="1:3" ht="20.100000000000001" customHeight="1" x14ac:dyDescent="0.25">
      <c r="A65" s="13">
        <v>9</v>
      </c>
      <c r="B65" s="14" t="s">
        <v>402</v>
      </c>
      <c r="C65" s="21">
        <f>data!C311</f>
        <v>0</v>
      </c>
    </row>
    <row r="66" spans="1:3" ht="20.100000000000001" customHeight="1" x14ac:dyDescent="0.25">
      <c r="A66" s="13">
        <v>10</v>
      </c>
      <c r="B66" s="14" t="s">
        <v>403</v>
      </c>
      <c r="C66" s="21">
        <f>data!C312</f>
        <v>0</v>
      </c>
    </row>
    <row r="67" spans="1:3" ht="20.100000000000001" customHeight="1" x14ac:dyDescent="0.25">
      <c r="A67" s="13">
        <v>11</v>
      </c>
      <c r="B67" s="14" t="s">
        <v>1130</v>
      </c>
      <c r="C67" s="21" t="e">
        <f ca="1">data!C313</f>
        <v>#NAME?</v>
      </c>
    </row>
    <row r="68" spans="1:3" ht="20.100000000000001" customHeight="1" x14ac:dyDescent="0.25">
      <c r="A68" s="13">
        <v>12</v>
      </c>
      <c r="B68" s="14" t="s">
        <v>1131</v>
      </c>
      <c r="C68" s="21" t="e">
        <f ca="1">data!D314</f>
        <v>#NAME?</v>
      </c>
    </row>
    <row r="69" spans="1:3" ht="20.100000000000001" customHeight="1" x14ac:dyDescent="0.25">
      <c r="A69" s="13">
        <v>13</v>
      </c>
      <c r="B69" s="38"/>
      <c r="C69" s="24"/>
    </row>
    <row r="70" spans="1:3" ht="20.100000000000001" customHeight="1" x14ac:dyDescent="0.25">
      <c r="A70" s="13">
        <v>14</v>
      </c>
      <c r="B70" s="37" t="s">
        <v>1132</v>
      </c>
      <c r="C70" s="36"/>
    </row>
    <row r="71" spans="1:3" ht="20.100000000000001" customHeight="1" x14ac:dyDescent="0.25">
      <c r="A71" s="13">
        <v>15</v>
      </c>
      <c r="B71" s="14" t="s">
        <v>407</v>
      </c>
      <c r="C71" s="21">
        <f>data!C316</f>
        <v>0</v>
      </c>
    </row>
    <row r="72" spans="1:3" ht="20.100000000000001" customHeight="1" x14ac:dyDescent="0.25">
      <c r="A72" s="13">
        <v>16</v>
      </c>
      <c r="B72" s="14" t="s">
        <v>1133</v>
      </c>
      <c r="C72" s="21">
        <f>data!C317</f>
        <v>0</v>
      </c>
    </row>
    <row r="73" spans="1:3" ht="20.100000000000001" customHeight="1" x14ac:dyDescent="0.25">
      <c r="A73" s="13">
        <v>17</v>
      </c>
      <c r="B73" s="14" t="s">
        <v>409</v>
      </c>
      <c r="C73" s="21">
        <f>data!C318</f>
        <v>0</v>
      </c>
    </row>
    <row r="74" spans="1:3" ht="20.100000000000001" customHeight="1" x14ac:dyDescent="0.25">
      <c r="A74" s="13">
        <v>18</v>
      </c>
      <c r="B74" s="14" t="s">
        <v>1134</v>
      </c>
      <c r="C74" s="21">
        <f>data!D319</f>
        <v>0</v>
      </c>
    </row>
    <row r="75" spans="1:3" ht="20.100000000000001" customHeight="1" x14ac:dyDescent="0.25">
      <c r="A75" s="13">
        <v>19</v>
      </c>
      <c r="B75" s="38"/>
      <c r="C75" s="24"/>
    </row>
    <row r="76" spans="1:3" ht="20.100000000000001" customHeight="1" x14ac:dyDescent="0.25">
      <c r="A76" s="23">
        <v>20</v>
      </c>
      <c r="B76" s="37" t="s">
        <v>411</v>
      </c>
      <c r="C76" s="36"/>
    </row>
    <row r="77" spans="1:3" ht="20.100000000000001" customHeight="1" x14ac:dyDescent="0.25">
      <c r="A77" s="13">
        <v>21</v>
      </c>
      <c r="B77" s="14" t="s">
        <v>412</v>
      </c>
      <c r="C77" s="21">
        <f>data!C321</f>
        <v>0</v>
      </c>
    </row>
    <row r="78" spans="1:3" ht="20.100000000000001" customHeight="1" x14ac:dyDescent="0.25">
      <c r="A78" s="13">
        <v>22</v>
      </c>
      <c r="B78" s="14" t="s">
        <v>1135</v>
      </c>
      <c r="C78" s="21">
        <f>data!C322</f>
        <v>0</v>
      </c>
    </row>
    <row r="79" spans="1:3" ht="20.100000000000001" customHeight="1" x14ac:dyDescent="0.25">
      <c r="A79" s="13">
        <v>23</v>
      </c>
      <c r="B79" s="14" t="s">
        <v>414</v>
      </c>
      <c r="C79" s="21">
        <f>data!C323</f>
        <v>0</v>
      </c>
    </row>
    <row r="80" spans="1:3" ht="20.100000000000001" customHeight="1" x14ac:dyDescent="0.25">
      <c r="A80" s="13">
        <v>24</v>
      </c>
      <c r="B80" s="14" t="s">
        <v>1136</v>
      </c>
      <c r="C80" s="21" t="e">
        <f ca="1">data!C324</f>
        <v>#NAME?</v>
      </c>
    </row>
    <row r="81" spans="1:3" ht="20.100000000000001" customHeight="1" x14ac:dyDescent="0.25">
      <c r="A81" s="13">
        <v>25</v>
      </c>
      <c r="B81" s="14" t="s">
        <v>416</v>
      </c>
      <c r="C81" s="21" t="e">
        <f ca="1">data!C325</f>
        <v>#NAME?</v>
      </c>
    </row>
    <row r="82" spans="1:3" ht="20.100000000000001" customHeight="1" x14ac:dyDescent="0.25">
      <c r="A82" s="13">
        <v>26</v>
      </c>
      <c r="B82" s="14" t="s">
        <v>1137</v>
      </c>
      <c r="C82" s="21">
        <f>data!C326</f>
        <v>0</v>
      </c>
    </row>
    <row r="83" spans="1:3" ht="20.100000000000001" customHeight="1" x14ac:dyDescent="0.25">
      <c r="A83" s="13">
        <v>27</v>
      </c>
      <c r="B83" s="14" t="s">
        <v>418</v>
      </c>
      <c r="C83" s="21" t="e">
        <f ca="1">data!C327</f>
        <v>#NAME?</v>
      </c>
    </row>
    <row r="84" spans="1:3" ht="20.100000000000001" customHeight="1" x14ac:dyDescent="0.25">
      <c r="A84" s="13">
        <v>28</v>
      </c>
      <c r="B84" s="14" t="s">
        <v>661</v>
      </c>
      <c r="C84" s="21" t="e">
        <f ca="1">data!D328</f>
        <v>#NAME?</v>
      </c>
    </row>
    <row r="85" spans="1:3" ht="20.100000000000001" customHeight="1" x14ac:dyDescent="0.25">
      <c r="A85" s="13">
        <v>29</v>
      </c>
      <c r="B85" s="14" t="s">
        <v>1138</v>
      </c>
      <c r="C85" s="21" t="e">
        <f ca="1">data!D329</f>
        <v>#NAME?</v>
      </c>
    </row>
    <row r="86" spans="1:3" ht="20.100000000000001" customHeight="1" x14ac:dyDescent="0.25">
      <c r="A86" s="13">
        <v>30</v>
      </c>
      <c r="B86" s="14" t="s">
        <v>1139</v>
      </c>
      <c r="C86" s="21" t="e">
        <f ca="1">data!D330</f>
        <v>#NAME?</v>
      </c>
    </row>
    <row r="87" spans="1:3" ht="20.100000000000001" customHeight="1" x14ac:dyDescent="0.25">
      <c r="A87" s="13">
        <v>31</v>
      </c>
      <c r="B87" s="38"/>
      <c r="C87" s="24"/>
    </row>
    <row r="88" spans="1:3" ht="20.100000000000001" customHeight="1" x14ac:dyDescent="0.25">
      <c r="A88" s="13">
        <v>32</v>
      </c>
      <c r="B88" s="89" t="s">
        <v>1140</v>
      </c>
      <c r="C88" s="21" t="e">
        <f ca="1">data!C332</f>
        <v>#NAME?</v>
      </c>
    </row>
    <row r="89" spans="1:3" ht="20.100000000000001" customHeight="1" x14ac:dyDescent="0.25">
      <c r="A89" s="13">
        <v>33</v>
      </c>
      <c r="B89" s="24"/>
      <c r="C89" s="24"/>
    </row>
    <row r="90" spans="1:3" ht="20.100000000000001" customHeight="1" x14ac:dyDescent="0.25">
      <c r="A90" s="13">
        <v>34</v>
      </c>
      <c r="B90" s="37" t="s">
        <v>1141</v>
      </c>
      <c r="C90" s="36"/>
    </row>
    <row r="91" spans="1:3" ht="20.100000000000001" customHeight="1" x14ac:dyDescent="0.25">
      <c r="A91" s="13">
        <v>35</v>
      </c>
      <c r="B91" s="14" t="s">
        <v>1142</v>
      </c>
      <c r="C91" s="21">
        <f>data!C334</f>
        <v>0</v>
      </c>
    </row>
    <row r="92" spans="1:3" ht="20.100000000000001" customHeight="1" x14ac:dyDescent="0.25">
      <c r="A92" s="13">
        <v>36</v>
      </c>
      <c r="B92" s="38"/>
      <c r="C92" s="24"/>
    </row>
    <row r="93" spans="1:3" ht="20.100000000000001" customHeight="1" x14ac:dyDescent="0.25">
      <c r="A93" s="13">
        <v>37</v>
      </c>
      <c r="B93" s="14" t="s">
        <v>1143</v>
      </c>
      <c r="C93" s="21">
        <f>data!C335</f>
        <v>0</v>
      </c>
    </row>
    <row r="94" spans="1:3" ht="20.100000000000001" customHeight="1" x14ac:dyDescent="0.25">
      <c r="A94" s="13">
        <v>38</v>
      </c>
      <c r="B94" s="38"/>
      <c r="C94" s="24"/>
    </row>
    <row r="95" spans="1:3" ht="20.100000000000001" customHeight="1" x14ac:dyDescent="0.25">
      <c r="A95" s="13">
        <v>39</v>
      </c>
      <c r="B95" s="14" t="s">
        <v>1144</v>
      </c>
      <c r="C95" s="21">
        <f>data!C336</f>
        <v>0</v>
      </c>
    </row>
    <row r="96" spans="1:3" ht="20.100000000000001" customHeight="1" x14ac:dyDescent="0.25">
      <c r="A96" s="13">
        <v>40</v>
      </c>
      <c r="B96" s="38"/>
      <c r="C96" s="24"/>
    </row>
    <row r="97" spans="1:3" ht="20.100000000000001" customHeight="1" x14ac:dyDescent="0.25">
      <c r="A97" s="13">
        <v>41</v>
      </c>
      <c r="B97" s="14" t="s">
        <v>1145</v>
      </c>
      <c r="C97" s="21">
        <f>data!C337</f>
        <v>0</v>
      </c>
    </row>
    <row r="98" spans="1:3" ht="20.100000000000001" customHeight="1" x14ac:dyDescent="0.25">
      <c r="A98" s="13">
        <v>42</v>
      </c>
      <c r="B98" s="14" t="s">
        <v>1146</v>
      </c>
      <c r="C98" s="24"/>
    </row>
    <row r="99" spans="1:3" ht="20.100000000000001" customHeight="1" x14ac:dyDescent="0.25">
      <c r="A99" s="13">
        <v>43</v>
      </c>
      <c r="B99" s="38"/>
      <c r="C99" s="24"/>
    </row>
    <row r="100" spans="1:3" ht="20.100000000000001" customHeight="1" x14ac:dyDescent="0.25">
      <c r="A100" s="13">
        <v>44</v>
      </c>
      <c r="B100" s="14" t="s">
        <v>1147</v>
      </c>
      <c r="C100" s="21">
        <f>data!C338</f>
        <v>0</v>
      </c>
    </row>
    <row r="101" spans="1:3" ht="20.100000000000001" customHeight="1" x14ac:dyDescent="0.25">
      <c r="A101" s="13">
        <v>45</v>
      </c>
      <c r="B101" s="14" t="s">
        <v>1148</v>
      </c>
      <c r="C101" s="21" t="e">
        <f ca="1">data!C332+data!C334+data!C335+data!C336+data!C337-data!C338</f>
        <v>#NAME?</v>
      </c>
    </row>
    <row r="102" spans="1:3" ht="20.100000000000001" customHeight="1" x14ac:dyDescent="0.25">
      <c r="A102" s="13">
        <v>46</v>
      </c>
      <c r="B102" s="14" t="s">
        <v>1149</v>
      </c>
      <c r="C102" s="21" t="e">
        <f ca="1">data!D339</f>
        <v>#NAME?</v>
      </c>
    </row>
    <row r="103" spans="1:3" ht="20.100000000000001" customHeight="1" x14ac:dyDescent="0.25"/>
    <row r="104" spans="1:3" ht="20.100000000000001" customHeight="1" x14ac:dyDescent="0.25"/>
    <row r="105" spans="1:3" ht="20.100000000000001" customHeight="1" x14ac:dyDescent="0.25">
      <c r="A105" s="4" t="s">
        <v>1150</v>
      </c>
      <c r="B105" s="5"/>
      <c r="C105" s="6"/>
    </row>
    <row r="106" spans="1:3" ht="20.100000000000001" customHeight="1" x14ac:dyDescent="0.25">
      <c r="A106" s="45"/>
      <c r="B106" s="8"/>
      <c r="C106" s="167" t="s">
        <v>1151</v>
      </c>
    </row>
    <row r="107" spans="1:3" ht="20.100000000000001" customHeight="1" x14ac:dyDescent="0.25">
      <c r="A107" s="29" t="str">
        <f>"HOSPITAL: "&amp;data!C84</f>
        <v>HOSPITAL: Lake Chelan Community Hospital</v>
      </c>
      <c r="B107" s="30"/>
      <c r="C107" s="31" t="str">
        <f>" FYE: "&amp;data!C82</f>
        <v xml:space="preserve"> FYE: 12/31/2019</v>
      </c>
    </row>
    <row r="108" spans="1:3" ht="20.100000000000001" customHeight="1" x14ac:dyDescent="0.25">
      <c r="A108" s="32"/>
      <c r="B108" s="46"/>
      <c r="C108" s="47"/>
    </row>
    <row r="109" spans="1:3" ht="20.100000000000001" customHeight="1" x14ac:dyDescent="0.25">
      <c r="A109" s="13">
        <v>1</v>
      </c>
      <c r="B109" s="37" t="s">
        <v>1152</v>
      </c>
      <c r="C109" s="36"/>
    </row>
    <row r="110" spans="1:3" ht="20.100000000000001" customHeight="1" x14ac:dyDescent="0.25">
      <c r="A110" s="13">
        <v>2</v>
      </c>
      <c r="B110" s="14" t="s">
        <v>428</v>
      </c>
      <c r="C110" s="21" t="e">
        <f ca="1">data!C359</f>
        <v>#NAME?</v>
      </c>
    </row>
    <row r="111" spans="1:3" ht="20.100000000000001" customHeight="1" x14ac:dyDescent="0.25">
      <c r="A111" s="13">
        <v>3</v>
      </c>
      <c r="B111" s="14" t="s">
        <v>429</v>
      </c>
      <c r="C111" s="21" t="e">
        <f ca="1">data!C360</f>
        <v>#NAME?</v>
      </c>
    </row>
    <row r="112" spans="1:3" ht="20.100000000000001" customHeight="1" x14ac:dyDescent="0.25">
      <c r="A112" s="13">
        <v>4</v>
      </c>
      <c r="B112" s="14" t="s">
        <v>1153</v>
      </c>
      <c r="C112" s="21" t="e">
        <f ca="1">data!D361</f>
        <v>#NAME?</v>
      </c>
    </row>
    <row r="113" spans="1:3" ht="20.100000000000001" customHeight="1" x14ac:dyDescent="0.25">
      <c r="A113" s="13">
        <v>5</v>
      </c>
      <c r="B113" s="38"/>
      <c r="C113" s="24"/>
    </row>
    <row r="114" spans="1:3" ht="20.100000000000001" customHeight="1" x14ac:dyDescent="0.25">
      <c r="A114" s="13">
        <v>6</v>
      </c>
      <c r="B114" s="37" t="s">
        <v>1154</v>
      </c>
      <c r="C114" s="36"/>
    </row>
    <row r="115" spans="1:3" ht="20.100000000000001" customHeight="1" x14ac:dyDescent="0.25">
      <c r="A115" s="13">
        <v>7</v>
      </c>
      <c r="B115" s="268" t="s">
        <v>450</v>
      </c>
      <c r="C115" s="48" t="e">
        <f ca="1">data!C363</f>
        <v>#NAME?</v>
      </c>
    </row>
    <row r="116" spans="1:3" ht="20.100000000000001" customHeight="1" x14ac:dyDescent="0.25">
      <c r="A116" s="13">
        <v>8</v>
      </c>
      <c r="B116" s="14" t="s">
        <v>432</v>
      </c>
      <c r="C116" s="48" t="e">
        <f ca="1">data!C364</f>
        <v>#NAME?</v>
      </c>
    </row>
    <row r="117" spans="1:3" ht="20.100000000000001" customHeight="1" x14ac:dyDescent="0.25">
      <c r="A117" s="13">
        <v>9</v>
      </c>
      <c r="B117" s="14" t="s">
        <v>1155</v>
      </c>
      <c r="C117" s="48" t="e">
        <f ca="1">data!C365</f>
        <v>#NAME?</v>
      </c>
    </row>
    <row r="118" spans="1:3" ht="20.100000000000001" customHeight="1" x14ac:dyDescent="0.25">
      <c r="A118" s="13">
        <v>10</v>
      </c>
      <c r="B118" s="14" t="s">
        <v>1156</v>
      </c>
      <c r="C118" s="48">
        <f>data!C366</f>
        <v>0</v>
      </c>
    </row>
    <row r="119" spans="1:3" ht="20.100000000000001" customHeight="1" x14ac:dyDescent="0.25">
      <c r="A119" s="13">
        <v>11</v>
      </c>
      <c r="B119" s="14" t="s">
        <v>1099</v>
      </c>
      <c r="C119" s="48" t="e">
        <f ca="1">data!D367</f>
        <v>#NAME?</v>
      </c>
    </row>
    <row r="120" spans="1:3" ht="20.100000000000001" customHeight="1" x14ac:dyDescent="0.25">
      <c r="A120" s="13">
        <v>12</v>
      </c>
      <c r="B120" s="14" t="s">
        <v>1157</v>
      </c>
      <c r="C120" s="48" t="e">
        <f ca="1">data!D368</f>
        <v>#NAME?</v>
      </c>
    </row>
    <row r="121" spans="1:3" ht="20.100000000000001" customHeight="1" x14ac:dyDescent="0.25">
      <c r="A121" s="13">
        <v>13</v>
      </c>
      <c r="B121" s="38"/>
      <c r="C121" s="24"/>
    </row>
    <row r="122" spans="1:3" ht="20.100000000000001" customHeight="1" x14ac:dyDescent="0.25">
      <c r="A122" s="13">
        <v>14</v>
      </c>
      <c r="B122" s="37" t="s">
        <v>436</v>
      </c>
      <c r="C122" s="36"/>
    </row>
    <row r="123" spans="1:3" ht="20.100000000000001" customHeight="1" x14ac:dyDescent="0.25">
      <c r="A123" s="13">
        <v>15</v>
      </c>
      <c r="B123" s="14" t="s">
        <v>437</v>
      </c>
      <c r="C123" s="48" t="e">
        <f ca="1">data!C370</f>
        <v>#NAME?</v>
      </c>
    </row>
    <row r="124" spans="1:3" ht="20.100000000000001" customHeight="1" x14ac:dyDescent="0.25">
      <c r="A124" s="13">
        <v>16</v>
      </c>
      <c r="B124" s="14" t="s">
        <v>438</v>
      </c>
      <c r="C124" s="48" t="e">
        <f ca="1">data!C371</f>
        <v>#NAME?</v>
      </c>
    </row>
    <row r="125" spans="1:3" ht="20.100000000000001" customHeight="1" x14ac:dyDescent="0.25">
      <c r="A125" s="13">
        <v>17</v>
      </c>
      <c r="B125" s="14" t="s">
        <v>1158</v>
      </c>
      <c r="C125" s="48" t="e">
        <f ca="1">data!D372</f>
        <v>#NAME?</v>
      </c>
    </row>
    <row r="126" spans="1:3" ht="20.100000000000001" customHeight="1" x14ac:dyDescent="0.25">
      <c r="A126" s="13">
        <v>18</v>
      </c>
      <c r="B126" s="14" t="s">
        <v>1159</v>
      </c>
      <c r="C126" s="48" t="e">
        <f ca="1">data!D373</f>
        <v>#NAME?</v>
      </c>
    </row>
    <row r="127" spans="1:3" ht="20.100000000000001" customHeight="1" x14ac:dyDescent="0.25">
      <c r="A127" s="13">
        <v>19</v>
      </c>
      <c r="B127" s="38"/>
      <c r="C127" s="24"/>
    </row>
    <row r="128" spans="1:3" ht="20.100000000000001" customHeight="1" x14ac:dyDescent="0.25">
      <c r="A128" s="13">
        <v>20</v>
      </c>
      <c r="B128" s="37" t="s">
        <v>1160</v>
      </c>
      <c r="C128" s="36"/>
    </row>
    <row r="129" spans="1:3" ht="20.100000000000001" customHeight="1" x14ac:dyDescent="0.25">
      <c r="A129" s="13">
        <v>21</v>
      </c>
      <c r="B129" s="14" t="s">
        <v>442</v>
      </c>
      <c r="C129" s="48" t="e">
        <f ca="1">data!C378</f>
        <v>#NAME?</v>
      </c>
    </row>
    <row r="130" spans="1:3" ht="20.100000000000001" customHeight="1" x14ac:dyDescent="0.25">
      <c r="A130" s="13">
        <v>22</v>
      </c>
      <c r="B130" s="14" t="s">
        <v>3</v>
      </c>
      <c r="C130" s="48" t="e">
        <f ca="1">data!C379</f>
        <v>#NAME?</v>
      </c>
    </row>
    <row r="131" spans="1:3" ht="20.100000000000001" customHeight="1" x14ac:dyDescent="0.25">
      <c r="A131" s="13">
        <v>23</v>
      </c>
      <c r="B131" s="14" t="s">
        <v>236</v>
      </c>
      <c r="C131" s="48" t="e">
        <f ca="1">data!C380</f>
        <v>#NAME?</v>
      </c>
    </row>
    <row r="132" spans="1:3" ht="20.100000000000001" customHeight="1" x14ac:dyDescent="0.25">
      <c r="A132" s="13">
        <v>24</v>
      </c>
      <c r="B132" s="14" t="s">
        <v>237</v>
      </c>
      <c r="C132" s="48" t="e">
        <f ca="1">data!C381</f>
        <v>#NAME?</v>
      </c>
    </row>
    <row r="133" spans="1:3" ht="20.100000000000001" customHeight="1" x14ac:dyDescent="0.25">
      <c r="A133" s="13">
        <v>25</v>
      </c>
      <c r="B133" s="14" t="s">
        <v>1161</v>
      </c>
      <c r="C133" s="48" t="e">
        <f ca="1">data!C382</f>
        <v>#NAME?</v>
      </c>
    </row>
    <row r="134" spans="1:3" ht="20.100000000000001" customHeight="1" x14ac:dyDescent="0.25">
      <c r="A134" s="13">
        <v>26</v>
      </c>
      <c r="B134" s="14" t="s">
        <v>1162</v>
      </c>
      <c r="C134" s="48" t="e">
        <f ca="1">data!C383</f>
        <v>#NAME?</v>
      </c>
    </row>
    <row r="135" spans="1:3" ht="20.100000000000001" customHeight="1" x14ac:dyDescent="0.25">
      <c r="A135" s="13">
        <v>27</v>
      </c>
      <c r="B135" s="14" t="s">
        <v>6</v>
      </c>
      <c r="C135" s="48" t="e">
        <f ca="1">data!C384</f>
        <v>#NAME?</v>
      </c>
    </row>
    <row r="136" spans="1:3" ht="20.100000000000001" customHeight="1" x14ac:dyDescent="0.25">
      <c r="A136" s="13">
        <v>28</v>
      </c>
      <c r="B136" s="14" t="s">
        <v>1163</v>
      </c>
      <c r="C136" s="48" t="e">
        <f ca="1">data!C385</f>
        <v>#NAME?</v>
      </c>
    </row>
    <row r="137" spans="1:3" ht="20.100000000000001" customHeight="1" x14ac:dyDescent="0.25">
      <c r="A137" s="13">
        <v>29</v>
      </c>
      <c r="B137" s="14" t="s">
        <v>447</v>
      </c>
      <c r="C137" s="48" t="e">
        <f ca="1">data!C386</f>
        <v>#NAME?</v>
      </c>
    </row>
    <row r="138" spans="1:3" ht="20.100000000000001" customHeight="1" x14ac:dyDescent="0.25">
      <c r="A138" s="13">
        <v>30</v>
      </c>
      <c r="B138" s="14" t="s">
        <v>1164</v>
      </c>
      <c r="C138" s="48">
        <f>data!C387</f>
        <v>199572</v>
      </c>
    </row>
    <row r="139" spans="1:3" ht="20.100000000000001" customHeight="1" x14ac:dyDescent="0.25">
      <c r="A139" s="13">
        <v>31</v>
      </c>
      <c r="B139" s="14" t="s">
        <v>449</v>
      </c>
      <c r="C139" s="48">
        <f>data!C388</f>
        <v>1246513</v>
      </c>
    </row>
    <row r="140" spans="1:3" ht="20.100000000000001" customHeight="1" x14ac:dyDescent="0.25">
      <c r="A140" s="13">
        <v>32</v>
      </c>
      <c r="B140" s="14" t="s">
        <v>241</v>
      </c>
      <c r="C140" s="48">
        <f>data!C389</f>
        <v>1309143</v>
      </c>
    </row>
    <row r="141" spans="1:3" ht="20.100000000000001" customHeight="1" x14ac:dyDescent="0.25">
      <c r="A141" s="13">
        <v>34</v>
      </c>
      <c r="B141" s="14" t="s">
        <v>1165</v>
      </c>
      <c r="C141" s="48" t="e">
        <f ca="1">data!D390</f>
        <v>#NAME?</v>
      </c>
    </row>
    <row r="142" spans="1:3" ht="20.100000000000001" customHeight="1" x14ac:dyDescent="0.25">
      <c r="A142" s="13">
        <v>35</v>
      </c>
      <c r="B142" s="14" t="s">
        <v>1166</v>
      </c>
      <c r="C142" s="48" t="e">
        <f ca="1">data!D391</f>
        <v>#NAME?</v>
      </c>
    </row>
    <row r="143" spans="1:3" ht="20.100000000000001" customHeight="1" x14ac:dyDescent="0.25">
      <c r="A143" s="13">
        <v>36</v>
      </c>
      <c r="B143" s="38"/>
      <c r="C143" s="24"/>
    </row>
    <row r="144" spans="1:3" ht="20.100000000000001" customHeight="1" x14ac:dyDescent="0.25">
      <c r="A144" s="13">
        <v>37</v>
      </c>
      <c r="B144" s="14" t="s">
        <v>1167</v>
      </c>
      <c r="C144" s="48">
        <f>data!C392</f>
        <v>2203230</v>
      </c>
    </row>
    <row r="145" spans="1:3" ht="20.100000000000001" customHeight="1" x14ac:dyDescent="0.25">
      <c r="A145" s="13">
        <v>38</v>
      </c>
      <c r="B145" s="38"/>
      <c r="C145" s="24"/>
    </row>
    <row r="146" spans="1:3" ht="20.100000000000001" customHeight="1" x14ac:dyDescent="0.25">
      <c r="A146" s="13">
        <v>39</v>
      </c>
      <c r="B146" s="14" t="s">
        <v>1168</v>
      </c>
      <c r="C146" s="21" t="e">
        <f ca="1">data!D393</f>
        <v>#NAME?</v>
      </c>
    </row>
    <row r="147" spans="1:3" ht="20.100000000000001" customHeight="1" x14ac:dyDescent="0.25">
      <c r="A147" s="13">
        <v>40</v>
      </c>
      <c r="B147" s="38"/>
      <c r="C147" s="24"/>
    </row>
    <row r="148" spans="1:3" ht="20.100000000000001" customHeight="1" x14ac:dyDescent="0.25">
      <c r="A148" s="13">
        <v>41</v>
      </c>
      <c r="B148" s="14" t="s">
        <v>1169</v>
      </c>
      <c r="C148" s="48">
        <f>data!C394</f>
        <v>0</v>
      </c>
    </row>
    <row r="149" spans="1:3" ht="20.100000000000001" customHeight="1" x14ac:dyDescent="0.25">
      <c r="A149" s="13">
        <v>42</v>
      </c>
      <c r="B149" s="14" t="s">
        <v>1170</v>
      </c>
      <c r="C149" s="48">
        <f>data!C395</f>
        <v>0</v>
      </c>
    </row>
    <row r="150" spans="1:3" ht="20.100000000000001" customHeight="1" x14ac:dyDescent="0.25">
      <c r="A150" s="13">
        <v>43</v>
      </c>
      <c r="B150" s="38"/>
      <c r="C150" s="24"/>
    </row>
    <row r="151" spans="1:3" ht="20.100000000000001" customHeight="1" x14ac:dyDescent="0.25">
      <c r="A151" s="13">
        <v>44</v>
      </c>
      <c r="B151" s="14" t="s">
        <v>1171</v>
      </c>
      <c r="C151" s="48" t="e">
        <f ca="1">data!D396</f>
        <v>#NAME?</v>
      </c>
    </row>
    <row r="152" spans="1:3" ht="20.100000000000001" customHeight="1" x14ac:dyDescent="0.25">
      <c r="A152" s="40">
        <v>45</v>
      </c>
      <c r="B152" s="49" t="s">
        <v>1172</v>
      </c>
      <c r="C152" s="24"/>
    </row>
    <row r="153" spans="1:3" ht="20.100000000000001" customHeight="1" x14ac:dyDescent="0.25">
      <c r="A153" s="69"/>
      <c r="B153" s="50"/>
      <c r="C153" s="51"/>
    </row>
  </sheetData>
  <phoneticPr fontId="0" type="noConversion"/>
  <printOptions horizontalCentered="1" verticalCentered="1" gridLinesSet="0"/>
  <pageMargins left="0" right="0" top="0" bottom="0" header="0" footer="0"/>
  <pageSetup scale="70" fitToHeight="3" orientation="portrait" r:id="rId1"/>
  <headerFooter alignWithMargins="0"/>
  <rowBreaks count="2" manualBreakCount="2">
    <brk id="50" max="65535" man="1"/>
    <brk id="101" max="6553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M384"/>
  <sheetViews>
    <sheetView showGridLines="0" topLeftCell="A181" zoomScale="65" workbookViewId="0">
      <selection activeCell="A386" sqref="A386"/>
    </sheetView>
  </sheetViews>
  <sheetFormatPr defaultColWidth="8.9140625" defaultRowHeight="20.100000000000001" customHeight="1" x14ac:dyDescent="0.25"/>
  <cols>
    <col min="1" max="1" width="5.75" style="78" customWidth="1"/>
    <col min="2" max="2" width="22.4140625" style="78" customWidth="1"/>
    <col min="3" max="8" width="13.75" style="78" customWidth="1"/>
    <col min="9" max="9" width="15.75" style="78" customWidth="1"/>
    <col min="10" max="16384" width="8.9140625" style="78"/>
  </cols>
  <sheetData>
    <row r="1" spans="1:13" ht="20.100000000000001" customHeight="1" x14ac:dyDescent="0.25">
      <c r="A1" s="4" t="s">
        <v>1173</v>
      </c>
      <c r="B1" s="5"/>
      <c r="C1" s="5"/>
      <c r="D1" s="6"/>
      <c r="E1" s="5"/>
      <c r="F1" s="5"/>
      <c r="G1" s="5"/>
      <c r="H1" s="5"/>
      <c r="I1"/>
    </row>
    <row r="2" spans="1:13" ht="20.100000000000001" customHeight="1" x14ac:dyDescent="0.25">
      <c r="A2" s="45"/>
      <c r="B2" s="77"/>
      <c r="C2" s="77"/>
      <c r="D2" s="77"/>
      <c r="E2" s="77"/>
      <c r="F2" s="77"/>
      <c r="G2" s="77"/>
      <c r="H2" s="77"/>
      <c r="I2" s="168" t="s">
        <v>1174</v>
      </c>
    </row>
    <row r="3" spans="1:13" ht="20.100000000000001" customHeight="1" x14ac:dyDescent="0.25">
      <c r="A3" s="45"/>
      <c r="B3" s="77"/>
      <c r="C3" s="77"/>
      <c r="D3" s="77"/>
      <c r="E3" s="77"/>
      <c r="F3" s="77"/>
      <c r="G3" s="77"/>
      <c r="H3" s="77"/>
      <c r="I3" s="45"/>
    </row>
    <row r="4" spans="1:13" ht="20.100000000000001" customHeight="1" x14ac:dyDescent="0.25">
      <c r="A4" s="79" t="str">
        <f>"HOSPITAL NAME: "&amp;data!C84</f>
        <v>HOSPITAL NAME: Lake Chelan Community Hospital</v>
      </c>
      <c r="B4" s="77"/>
      <c r="C4" s="77"/>
      <c r="D4" s="77"/>
      <c r="E4" s="77"/>
      <c r="F4" s="77"/>
      <c r="G4" s="80"/>
      <c r="H4" s="79" t="str">
        <f>"FYE: "&amp;data!C82</f>
        <v>FYE: 12/31/2019</v>
      </c>
    </row>
    <row r="5" spans="1:13" ht="20.100000000000001" customHeight="1" x14ac:dyDescent="0.25">
      <c r="A5" s="23">
        <v>1</v>
      </c>
      <c r="B5" s="14" t="s">
        <v>209</v>
      </c>
      <c r="C5" s="89" t="s">
        <v>10</v>
      </c>
      <c r="D5" s="15" t="s">
        <v>11</v>
      </c>
      <c r="E5" s="15" t="s">
        <v>12</v>
      </c>
      <c r="F5" s="15" t="s">
        <v>13</v>
      </c>
      <c r="G5" s="15" t="s">
        <v>14</v>
      </c>
      <c r="H5" s="15" t="s">
        <v>15</v>
      </c>
      <c r="I5" s="15" t="s">
        <v>16</v>
      </c>
    </row>
    <row r="6" spans="1:13" ht="20.100000000000001" customHeight="1" x14ac:dyDescent="0.25">
      <c r="A6" s="81">
        <v>2</v>
      </c>
      <c r="B6" s="17" t="s">
        <v>1175</v>
      </c>
      <c r="C6" s="88" t="s">
        <v>92</v>
      </c>
      <c r="D6" s="18" t="s">
        <v>1176</v>
      </c>
      <c r="E6" s="18" t="s">
        <v>94</v>
      </c>
      <c r="F6" s="18" t="s">
        <v>95</v>
      </c>
      <c r="G6" s="18" t="s">
        <v>96</v>
      </c>
      <c r="H6" s="18" t="s">
        <v>97</v>
      </c>
      <c r="I6" s="18" t="s">
        <v>98</v>
      </c>
    </row>
    <row r="7" spans="1:13" ht="20.100000000000001" customHeight="1" x14ac:dyDescent="0.25">
      <c r="A7" s="82"/>
      <c r="B7" s="83"/>
      <c r="C7" s="18" t="s">
        <v>163</v>
      </c>
      <c r="D7" s="18" t="s">
        <v>1177</v>
      </c>
      <c r="E7" s="18" t="s">
        <v>163</v>
      </c>
      <c r="F7" s="18" t="s">
        <v>1178</v>
      </c>
      <c r="G7" s="18" t="s">
        <v>165</v>
      </c>
      <c r="H7" s="18" t="s">
        <v>163</v>
      </c>
      <c r="I7" s="18" t="s">
        <v>166</v>
      </c>
    </row>
    <row r="8" spans="1:13" ht="20.100000000000001" customHeight="1" x14ac:dyDescent="0.25">
      <c r="A8" s="23">
        <v>3</v>
      </c>
      <c r="B8" s="14" t="s">
        <v>1179</v>
      </c>
      <c r="C8" s="15" t="s">
        <v>215</v>
      </c>
      <c r="D8" s="15" t="s">
        <v>215</v>
      </c>
      <c r="E8" s="15" t="s">
        <v>215</v>
      </c>
      <c r="F8" s="15" t="s">
        <v>215</v>
      </c>
      <c r="G8" s="15" t="s">
        <v>215</v>
      </c>
      <c r="H8" s="15" t="s">
        <v>215</v>
      </c>
      <c r="I8" s="15" t="s">
        <v>215</v>
      </c>
    </row>
    <row r="9" spans="1:13" ht="20.100000000000001" customHeight="1" x14ac:dyDescent="0.25">
      <c r="A9" s="23">
        <v>4</v>
      </c>
      <c r="B9" s="14" t="s">
        <v>233</v>
      </c>
      <c r="C9" s="14">
        <f>data!C59</f>
        <v>0</v>
      </c>
      <c r="D9" s="14">
        <f>data!D59</f>
        <v>0</v>
      </c>
      <c r="E9" s="14">
        <f>data!E59</f>
        <v>659</v>
      </c>
      <c r="F9" s="14">
        <f>data!F59</f>
        <v>0</v>
      </c>
      <c r="G9" s="14">
        <f>data!G59</f>
        <v>0</v>
      </c>
      <c r="H9" s="14">
        <f>data!H59</f>
        <v>0</v>
      </c>
      <c r="I9" s="14">
        <f>data!I59</f>
        <v>438</v>
      </c>
    </row>
    <row r="10" spans="1:13" ht="20.100000000000001" customHeight="1" x14ac:dyDescent="0.25">
      <c r="A10" s="23">
        <v>5</v>
      </c>
      <c r="B10" s="14" t="s">
        <v>234</v>
      </c>
      <c r="C10" s="26">
        <f>data!C60</f>
        <v>0</v>
      </c>
      <c r="D10" s="26">
        <f>data!D60</f>
        <v>0</v>
      </c>
      <c r="E10" s="26">
        <f>data!E60</f>
        <v>9.34</v>
      </c>
      <c r="F10" s="26">
        <f>data!F60</f>
        <v>0</v>
      </c>
      <c r="G10" s="26">
        <f>data!G60</f>
        <v>0</v>
      </c>
      <c r="H10" s="26">
        <f>data!H60</f>
        <v>0</v>
      </c>
      <c r="I10" s="26">
        <f>data!I60</f>
        <v>2.42</v>
      </c>
    </row>
    <row r="11" spans="1:13" ht="20.100000000000001" customHeight="1" x14ac:dyDescent="0.25">
      <c r="A11" s="23">
        <v>6</v>
      </c>
      <c r="B11" s="14" t="s">
        <v>235</v>
      </c>
      <c r="C11" s="14">
        <f>data!C61</f>
        <v>0</v>
      </c>
      <c r="D11" s="14">
        <f>data!D61</f>
        <v>0</v>
      </c>
      <c r="E11" s="14">
        <f>data!E61</f>
        <v>754468</v>
      </c>
      <c r="F11" s="14">
        <f>data!F61</f>
        <v>0</v>
      </c>
      <c r="G11" s="14">
        <f>data!G61</f>
        <v>0</v>
      </c>
      <c r="H11" s="14">
        <f>data!H61</f>
        <v>0</v>
      </c>
      <c r="I11" s="14">
        <f>data!I61</f>
        <v>179355</v>
      </c>
    </row>
    <row r="12" spans="1:13" ht="20.100000000000001" customHeight="1" x14ac:dyDescent="0.25">
      <c r="A12" s="23">
        <v>7</v>
      </c>
      <c r="B12" s="14" t="s">
        <v>3</v>
      </c>
      <c r="C12" s="14">
        <f>data!C62</f>
        <v>0</v>
      </c>
      <c r="D12" s="14">
        <f>data!D62</f>
        <v>0</v>
      </c>
      <c r="E12" s="14">
        <f>data!E62</f>
        <v>153474</v>
      </c>
      <c r="F12" s="14">
        <f>data!F62</f>
        <v>0</v>
      </c>
      <c r="G12" s="14">
        <f>data!G62</f>
        <v>0</v>
      </c>
      <c r="H12" s="14">
        <f>data!H62</f>
        <v>0</v>
      </c>
      <c r="I12" s="14">
        <f>data!I62</f>
        <v>36484</v>
      </c>
    </row>
    <row r="13" spans="1:13" ht="20.100000000000001" customHeight="1" x14ac:dyDescent="0.25">
      <c r="A13" s="23">
        <v>8</v>
      </c>
      <c r="B13" s="14" t="s">
        <v>236</v>
      </c>
      <c r="C13" s="14">
        <f>data!C63</f>
        <v>0</v>
      </c>
      <c r="D13" s="14">
        <f>data!D63</f>
        <v>0</v>
      </c>
      <c r="E13" s="14">
        <f>data!E63</f>
        <v>0</v>
      </c>
      <c r="F13" s="14">
        <f>data!F63</f>
        <v>0</v>
      </c>
      <c r="G13" s="14">
        <f>data!G63</f>
        <v>0</v>
      </c>
      <c r="H13" s="14">
        <f>data!H63</f>
        <v>0</v>
      </c>
      <c r="I13" s="14">
        <f>data!I63</f>
        <v>0</v>
      </c>
    </row>
    <row r="14" spans="1:13" ht="20.100000000000001" customHeight="1" x14ac:dyDescent="0.25">
      <c r="A14" s="23">
        <v>9</v>
      </c>
      <c r="B14" s="14" t="s">
        <v>237</v>
      </c>
      <c r="C14" s="14">
        <f>data!C64</f>
        <v>0</v>
      </c>
      <c r="D14" s="14">
        <f>data!D64</f>
        <v>0</v>
      </c>
      <c r="E14" s="14">
        <f>data!E64</f>
        <v>22429</v>
      </c>
      <c r="F14" s="14">
        <f>data!F64</f>
        <v>0</v>
      </c>
      <c r="G14" s="14">
        <f>data!G64</f>
        <v>0</v>
      </c>
      <c r="H14" s="14">
        <f>data!H64</f>
        <v>0</v>
      </c>
      <c r="I14" s="14">
        <f>data!I64</f>
        <v>1558</v>
      </c>
    </row>
    <row r="15" spans="1:13" ht="20.100000000000001" customHeight="1" x14ac:dyDescent="0.25">
      <c r="A15" s="23">
        <v>10</v>
      </c>
      <c r="B15" s="14" t="s">
        <v>444</v>
      </c>
      <c r="C15" s="14">
        <f>data!C65</f>
        <v>0</v>
      </c>
      <c r="D15" s="14">
        <f>data!D65</f>
        <v>0</v>
      </c>
      <c r="E15" s="14">
        <f>data!E65</f>
        <v>146</v>
      </c>
      <c r="F15" s="14">
        <f>data!F65</f>
        <v>0</v>
      </c>
      <c r="G15" s="14">
        <f>data!G65</f>
        <v>0</v>
      </c>
      <c r="H15" s="14">
        <f>data!H65</f>
        <v>0</v>
      </c>
      <c r="I15" s="14">
        <f>data!I65</f>
        <v>597</v>
      </c>
      <c r="M15" s="264"/>
    </row>
    <row r="16" spans="1:13" ht="20.100000000000001" customHeight="1" x14ac:dyDescent="0.25">
      <c r="A16" s="23">
        <v>11</v>
      </c>
      <c r="B16" s="14" t="s">
        <v>445</v>
      </c>
      <c r="C16" s="14">
        <f>data!C66</f>
        <v>0</v>
      </c>
      <c r="D16" s="14">
        <f>data!D66</f>
        <v>0</v>
      </c>
      <c r="E16" s="14">
        <f>data!E66</f>
        <v>5119</v>
      </c>
      <c r="F16" s="14">
        <f>data!F66</f>
        <v>0</v>
      </c>
      <c r="G16" s="14">
        <f>data!G66</f>
        <v>0</v>
      </c>
      <c r="H16" s="14">
        <f>data!H66</f>
        <v>0</v>
      </c>
      <c r="I16" s="14">
        <f>data!I66</f>
        <v>1148</v>
      </c>
    </row>
    <row r="17" spans="1:9" ht="20.100000000000001" customHeight="1" x14ac:dyDescent="0.25">
      <c r="A17" s="23">
        <v>12</v>
      </c>
      <c r="B17" s="14" t="s">
        <v>6</v>
      </c>
      <c r="C17" s="14">
        <f>data!C67</f>
        <v>0</v>
      </c>
      <c r="D17" s="14">
        <f>data!D67</f>
        <v>0</v>
      </c>
      <c r="E17" s="14">
        <f>data!E67</f>
        <v>0</v>
      </c>
      <c r="F17" s="14">
        <f>data!F67</f>
        <v>0</v>
      </c>
      <c r="G17" s="14">
        <f>data!G67</f>
        <v>0</v>
      </c>
      <c r="H17" s="14">
        <f>data!H67</f>
        <v>0</v>
      </c>
      <c r="I17" s="14">
        <f>data!I67</f>
        <v>8444</v>
      </c>
    </row>
    <row r="18" spans="1:9" ht="20.100000000000001" customHeight="1" x14ac:dyDescent="0.25">
      <c r="A18" s="23">
        <v>13</v>
      </c>
      <c r="B18" s="14" t="s">
        <v>474</v>
      </c>
      <c r="C18" s="14">
        <f>data!C68</f>
        <v>0</v>
      </c>
      <c r="D18" s="14">
        <f>data!D68</f>
        <v>0</v>
      </c>
      <c r="E18" s="14">
        <f>data!E68</f>
        <v>8718</v>
      </c>
      <c r="F18" s="14">
        <f>data!F68</f>
        <v>0</v>
      </c>
      <c r="G18" s="14">
        <f>data!G68</f>
        <v>0</v>
      </c>
      <c r="H18" s="14">
        <f>data!H68</f>
        <v>0</v>
      </c>
      <c r="I18" s="14">
        <f>data!I68</f>
        <v>2786</v>
      </c>
    </row>
    <row r="19" spans="1:9" ht="20.100000000000001" customHeight="1" x14ac:dyDescent="0.25">
      <c r="A19" s="23">
        <v>14</v>
      </c>
      <c r="B19" s="14" t="s">
        <v>241</v>
      </c>
      <c r="C19" s="14">
        <f>data!C69</f>
        <v>0</v>
      </c>
      <c r="D19" s="14">
        <f>data!D69</f>
        <v>0</v>
      </c>
      <c r="E19" s="14">
        <f>data!E69</f>
        <v>32657</v>
      </c>
      <c r="F19" s="14">
        <f>data!F69</f>
        <v>0</v>
      </c>
      <c r="G19" s="14">
        <f>data!G69</f>
        <v>0</v>
      </c>
      <c r="H19" s="14">
        <f>data!H69</f>
        <v>0</v>
      </c>
      <c r="I19" s="14">
        <f>data!I69</f>
        <v>4860</v>
      </c>
    </row>
    <row r="20" spans="1:9" ht="20.100000000000001" customHeight="1" x14ac:dyDescent="0.25">
      <c r="A20" s="23">
        <v>15</v>
      </c>
      <c r="B20" s="14" t="s">
        <v>242</v>
      </c>
      <c r="C20" s="14">
        <f>-data!C70</f>
        <v>0</v>
      </c>
      <c r="D20" s="14">
        <f>-data!D70</f>
        <v>0</v>
      </c>
      <c r="E20" s="14">
        <f>-data!E70</f>
        <v>0</v>
      </c>
      <c r="F20" s="14">
        <f>-data!F70</f>
        <v>0</v>
      </c>
      <c r="G20" s="14">
        <f>-data!G70</f>
        <v>0</v>
      </c>
      <c r="H20" s="14">
        <f>-data!H70</f>
        <v>0</v>
      </c>
      <c r="I20" s="14">
        <f>-data!I70</f>
        <v>0</v>
      </c>
    </row>
    <row r="21" spans="1:9" ht="20.100000000000001" customHeight="1" x14ac:dyDescent="0.25">
      <c r="A21" s="23">
        <v>16</v>
      </c>
      <c r="B21" s="48" t="s">
        <v>1180</v>
      </c>
      <c r="C21" s="14">
        <f>data!C71</f>
        <v>0</v>
      </c>
      <c r="D21" s="14">
        <f>data!D71</f>
        <v>0</v>
      </c>
      <c r="E21" s="14">
        <f>data!E71</f>
        <v>977011</v>
      </c>
      <c r="F21" s="14">
        <f>data!F71</f>
        <v>0</v>
      </c>
      <c r="G21" s="14">
        <f>data!G71</f>
        <v>0</v>
      </c>
      <c r="H21" s="14">
        <f>data!H71</f>
        <v>0</v>
      </c>
      <c r="I21" s="14">
        <f>data!I71</f>
        <v>235232</v>
      </c>
    </row>
    <row r="22" spans="1:9" ht="20.100000000000001" customHeight="1" x14ac:dyDescent="0.25">
      <c r="A22" s="23">
        <v>17</v>
      </c>
      <c r="B22" s="14" t="s">
        <v>244</v>
      </c>
      <c r="C22" s="208"/>
      <c r="D22" s="209"/>
      <c r="E22" s="209"/>
      <c r="F22" s="209"/>
      <c r="G22" s="209"/>
      <c r="H22" s="209"/>
      <c r="I22" s="209"/>
    </row>
    <row r="23" spans="1:9" ht="20.100000000000001" customHeight="1" x14ac:dyDescent="0.25">
      <c r="A23" s="23">
        <v>18</v>
      </c>
      <c r="B23" s="14" t="s">
        <v>1181</v>
      </c>
      <c r="C23" s="48">
        <f>+data!M668</f>
        <v>0</v>
      </c>
      <c r="D23" s="48">
        <f>+data!M669</f>
        <v>0</v>
      </c>
      <c r="E23" s="48">
        <f>+data!M670</f>
        <v>581847</v>
      </c>
      <c r="F23" s="48">
        <f>+data!M671</f>
        <v>0</v>
      </c>
      <c r="G23" s="48">
        <f>+data!M672</f>
        <v>0</v>
      </c>
      <c r="H23" s="48">
        <f>+data!M673</f>
        <v>0</v>
      </c>
      <c r="I23" s="48">
        <f>+data!M674</f>
        <v>145936</v>
      </c>
    </row>
    <row r="24" spans="1:9" ht="20.100000000000001" customHeight="1" x14ac:dyDescent="0.25">
      <c r="A24" s="23">
        <v>19</v>
      </c>
      <c r="B24" s="48" t="s">
        <v>1182</v>
      </c>
      <c r="C24" s="14">
        <f>data!C73</f>
        <v>0</v>
      </c>
      <c r="D24" s="14">
        <f>data!D73</f>
        <v>0</v>
      </c>
      <c r="E24" s="14">
        <f>data!E73</f>
        <v>1385869.0499999998</v>
      </c>
      <c r="F24" s="14">
        <f>data!F73</f>
        <v>0</v>
      </c>
      <c r="G24" s="14">
        <f>data!G73</f>
        <v>0</v>
      </c>
      <c r="H24" s="14">
        <f>data!H73</f>
        <v>0</v>
      </c>
      <c r="I24" s="14">
        <f>data!I73</f>
        <v>596033.32000000007</v>
      </c>
    </row>
    <row r="25" spans="1:9" ht="20.100000000000001" customHeight="1" x14ac:dyDescent="0.25">
      <c r="A25" s="23">
        <v>20</v>
      </c>
      <c r="B25" s="48" t="s">
        <v>1183</v>
      </c>
      <c r="C25" s="14">
        <f>data!C74</f>
        <v>0</v>
      </c>
      <c r="D25" s="14">
        <f>data!D74</f>
        <v>0</v>
      </c>
      <c r="E25" s="14">
        <f>data!E74</f>
        <v>3245138.5371000008</v>
      </c>
      <c r="F25" s="14">
        <f>data!F74</f>
        <v>0</v>
      </c>
      <c r="G25" s="14">
        <f>data!G74</f>
        <v>0</v>
      </c>
      <c r="H25" s="14">
        <f>data!H74</f>
        <v>0</v>
      </c>
      <c r="I25" s="14">
        <f>data!I74</f>
        <v>51993.11</v>
      </c>
    </row>
    <row r="26" spans="1:9" ht="18" customHeight="1" x14ac:dyDescent="0.25">
      <c r="A26" s="23">
        <v>21</v>
      </c>
      <c r="B26" s="48" t="s">
        <v>1184</v>
      </c>
      <c r="C26" s="14">
        <f>data!C75</f>
        <v>0</v>
      </c>
      <c r="D26" s="14">
        <f>data!D75</f>
        <v>0</v>
      </c>
      <c r="E26" s="14">
        <f>data!E75</f>
        <v>4631007.5871000011</v>
      </c>
      <c r="F26" s="14">
        <f>data!F75</f>
        <v>0</v>
      </c>
      <c r="G26" s="14">
        <f>data!G75</f>
        <v>0</v>
      </c>
      <c r="H26" s="14">
        <f>data!H75</f>
        <v>0</v>
      </c>
      <c r="I26" s="14">
        <f>data!I75</f>
        <v>648026.43000000005</v>
      </c>
    </row>
    <row r="27" spans="1:9" ht="20.100000000000001" customHeight="1" x14ac:dyDescent="0.25">
      <c r="A27" s="23" t="s">
        <v>1185</v>
      </c>
      <c r="B27" s="60"/>
      <c r="C27" s="209"/>
      <c r="D27" s="209"/>
      <c r="E27" s="209"/>
      <c r="F27" s="209"/>
      <c r="G27" s="209"/>
      <c r="H27" s="209"/>
      <c r="I27" s="209"/>
    </row>
    <row r="28" spans="1:9" ht="20.100000000000001" customHeight="1" x14ac:dyDescent="0.25">
      <c r="A28" s="23">
        <v>22</v>
      </c>
      <c r="B28" s="14" t="s">
        <v>1186</v>
      </c>
      <c r="C28" s="14">
        <f>data!C76</f>
        <v>0</v>
      </c>
      <c r="D28" s="14">
        <f>data!D76</f>
        <v>0</v>
      </c>
      <c r="E28" s="14">
        <f>data!E76</f>
        <v>0</v>
      </c>
      <c r="F28" s="14">
        <f>data!F76</f>
        <v>0</v>
      </c>
      <c r="G28" s="14">
        <f>data!G76</f>
        <v>0</v>
      </c>
      <c r="H28" s="14">
        <f>data!H76</f>
        <v>0</v>
      </c>
      <c r="I28" s="14">
        <f>data!I76</f>
        <v>0</v>
      </c>
    </row>
    <row r="29" spans="1:9" ht="20.100000000000001" customHeight="1" x14ac:dyDescent="0.25">
      <c r="A29" s="23">
        <v>23</v>
      </c>
      <c r="B29" s="14" t="s">
        <v>1187</v>
      </c>
      <c r="C29" s="14">
        <f>data!C77</f>
        <v>0</v>
      </c>
      <c r="D29" s="14">
        <f>data!D77</f>
        <v>0</v>
      </c>
      <c r="E29" s="14">
        <f>data!E77</f>
        <v>1958</v>
      </c>
      <c r="F29" s="14">
        <f>data!F77</f>
        <v>0</v>
      </c>
      <c r="G29" s="14">
        <f>data!G77</f>
        <v>0</v>
      </c>
      <c r="H29" s="14">
        <f>data!H77</f>
        <v>0</v>
      </c>
      <c r="I29" s="14">
        <f>data!I77</f>
        <v>1302</v>
      </c>
    </row>
    <row r="30" spans="1:9" ht="20.100000000000001" customHeight="1" x14ac:dyDescent="0.25">
      <c r="A30" s="23">
        <v>24</v>
      </c>
      <c r="B30" s="14" t="s">
        <v>1188</v>
      </c>
      <c r="C30" s="14">
        <f>data!C78</f>
        <v>0</v>
      </c>
      <c r="D30" s="14">
        <f>data!D78</f>
        <v>0</v>
      </c>
      <c r="E30" s="14">
        <f>data!E78</f>
        <v>9.34</v>
      </c>
      <c r="F30" s="14">
        <f>data!F78</f>
        <v>0</v>
      </c>
      <c r="G30" s="14">
        <f>data!G78</f>
        <v>0</v>
      </c>
      <c r="H30" s="14">
        <f>data!H78</f>
        <v>0</v>
      </c>
      <c r="I30" s="14">
        <f>data!I78</f>
        <v>2.42</v>
      </c>
    </row>
    <row r="31" spans="1:9" ht="20.100000000000001" customHeight="1" x14ac:dyDescent="0.25">
      <c r="A31" s="23">
        <v>25</v>
      </c>
      <c r="B31" s="14" t="s">
        <v>1189</v>
      </c>
      <c r="C31" s="14">
        <f>data!C79</f>
        <v>0</v>
      </c>
      <c r="D31" s="14">
        <f>data!D79</f>
        <v>0</v>
      </c>
      <c r="E31" s="14">
        <f>data!E79</f>
        <v>40585.349699999999</v>
      </c>
      <c r="F31" s="14">
        <f>data!F79</f>
        <v>0</v>
      </c>
      <c r="G31" s="14">
        <f>data!G79</f>
        <v>0</v>
      </c>
      <c r="H31" s="14">
        <f>data!H79</f>
        <v>0</v>
      </c>
      <c r="I31" s="14">
        <f>data!I79</f>
        <v>0</v>
      </c>
    </row>
    <row r="32" spans="1:9" ht="20.100000000000001" customHeight="1" x14ac:dyDescent="0.25">
      <c r="A32" s="23">
        <v>26</v>
      </c>
      <c r="B32" s="14" t="s">
        <v>252</v>
      </c>
      <c r="C32" s="84">
        <f>data!C80</f>
        <v>0</v>
      </c>
      <c r="D32" s="84">
        <f>data!D80</f>
        <v>0</v>
      </c>
      <c r="E32" s="84">
        <f>data!E80</f>
        <v>9.34</v>
      </c>
      <c r="F32" s="84">
        <f>data!F80</f>
        <v>0</v>
      </c>
      <c r="G32" s="84">
        <f>data!G80</f>
        <v>0</v>
      </c>
      <c r="H32" s="84">
        <f>data!H80</f>
        <v>0</v>
      </c>
      <c r="I32" s="84">
        <f>data!I80</f>
        <v>2.42</v>
      </c>
    </row>
    <row r="33" spans="1:9" ht="20.100000000000001" customHeight="1" x14ac:dyDescent="0.25">
      <c r="A33" s="4" t="s">
        <v>1173</v>
      </c>
      <c r="B33" s="5"/>
      <c r="C33" s="5"/>
      <c r="D33" s="6"/>
      <c r="E33" s="5"/>
      <c r="F33" s="5"/>
      <c r="G33" s="5"/>
      <c r="H33" s="5"/>
      <c r="I33" s="4"/>
    </row>
    <row r="34" spans="1:9" ht="20.100000000000001" customHeight="1" x14ac:dyDescent="0.25">
      <c r="A34" s="45"/>
      <c r="B34" s="77"/>
      <c r="C34" s="77"/>
      <c r="D34" s="77"/>
      <c r="E34" s="77"/>
      <c r="F34" s="77"/>
      <c r="G34" s="77"/>
      <c r="H34" s="77"/>
      <c r="I34" s="168" t="s">
        <v>1190</v>
      </c>
    </row>
    <row r="35" spans="1:9" ht="20.100000000000001" customHeight="1" x14ac:dyDescent="0.25">
      <c r="A35" s="45"/>
      <c r="B35" s="77"/>
      <c r="C35" s="77"/>
      <c r="D35" s="77"/>
      <c r="E35" s="77"/>
      <c r="F35" s="77"/>
      <c r="G35" s="77"/>
      <c r="H35" s="77"/>
      <c r="I35" s="45"/>
    </row>
    <row r="36" spans="1:9" ht="20.100000000000001" customHeight="1" x14ac:dyDescent="0.25">
      <c r="A36" s="79" t="str">
        <f>"HOSPITAL NAME: "&amp;data!C84</f>
        <v>HOSPITAL NAME: Lake Chelan Community Hospital</v>
      </c>
      <c r="B36" s="77"/>
      <c r="C36" s="77"/>
      <c r="D36" s="77"/>
      <c r="E36" s="77"/>
      <c r="F36" s="77"/>
      <c r="G36" s="80"/>
      <c r="H36" s="79" t="str">
        <f>"FYE: "&amp;data!C82</f>
        <v>FYE: 12/31/2019</v>
      </c>
    </row>
    <row r="37" spans="1:9" ht="20.100000000000001" customHeight="1" x14ac:dyDescent="0.25">
      <c r="A37" s="23">
        <v>1</v>
      </c>
      <c r="B37" s="14" t="s">
        <v>209</v>
      </c>
      <c r="C37" s="15" t="s">
        <v>17</v>
      </c>
      <c r="D37" s="15" t="s">
        <v>18</v>
      </c>
      <c r="E37" s="15" t="s">
        <v>19</v>
      </c>
      <c r="F37" s="15" t="s">
        <v>20</v>
      </c>
      <c r="G37" s="15" t="s">
        <v>21</v>
      </c>
      <c r="H37" s="15" t="s">
        <v>22</v>
      </c>
      <c r="I37" s="15" t="s">
        <v>23</v>
      </c>
    </row>
    <row r="38" spans="1:9" ht="20.100000000000001" customHeight="1" x14ac:dyDescent="0.25">
      <c r="A38" s="81">
        <v>2</v>
      </c>
      <c r="B38" s="17" t="s">
        <v>1175</v>
      </c>
      <c r="C38" s="25"/>
      <c r="D38" s="18" t="s">
        <v>100</v>
      </c>
      <c r="E38" s="18" t="s">
        <v>101</v>
      </c>
      <c r="F38" s="18" t="s">
        <v>1191</v>
      </c>
      <c r="G38" s="18" t="s">
        <v>103</v>
      </c>
      <c r="H38" s="18" t="s">
        <v>1192</v>
      </c>
      <c r="I38" s="18" t="s">
        <v>105</v>
      </c>
    </row>
    <row r="39" spans="1:9" ht="20.100000000000001" customHeight="1" x14ac:dyDescent="0.25">
      <c r="A39" s="82"/>
      <c r="B39" s="83"/>
      <c r="C39" s="18" t="s">
        <v>99</v>
      </c>
      <c r="D39" s="18" t="s">
        <v>157</v>
      </c>
      <c r="E39" s="88" t="s">
        <v>167</v>
      </c>
      <c r="F39" s="18" t="s">
        <v>168</v>
      </c>
      <c r="G39" s="18" t="s">
        <v>169</v>
      </c>
      <c r="H39" s="18" t="s">
        <v>170</v>
      </c>
      <c r="I39" s="18" t="s">
        <v>169</v>
      </c>
    </row>
    <row r="40" spans="1:9" ht="20.100000000000001" customHeight="1" x14ac:dyDescent="0.25">
      <c r="A40" s="23">
        <v>3</v>
      </c>
      <c r="B40" s="14" t="s">
        <v>1179</v>
      </c>
      <c r="C40" s="15" t="s">
        <v>216</v>
      </c>
      <c r="D40" s="15" t="s">
        <v>215</v>
      </c>
      <c r="E40" s="15" t="s">
        <v>215</v>
      </c>
      <c r="F40" s="15" t="s">
        <v>215</v>
      </c>
      <c r="G40" s="15" t="s">
        <v>215</v>
      </c>
      <c r="H40" s="15" t="s">
        <v>217</v>
      </c>
      <c r="I40" s="89" t="s">
        <v>218</v>
      </c>
    </row>
    <row r="41" spans="1:9" ht="20.100000000000001" customHeight="1" x14ac:dyDescent="0.25">
      <c r="A41" s="23">
        <v>4</v>
      </c>
      <c r="B41" s="14" t="s">
        <v>233</v>
      </c>
      <c r="C41" s="14">
        <f>data!J59</f>
        <v>133</v>
      </c>
      <c r="D41" s="14">
        <f>data!K59</f>
        <v>0</v>
      </c>
      <c r="E41" s="14">
        <f>data!L59</f>
        <v>3983</v>
      </c>
      <c r="F41" s="14">
        <f>data!M59</f>
        <v>0</v>
      </c>
      <c r="G41" s="14">
        <f>data!N59</f>
        <v>0</v>
      </c>
      <c r="H41" s="14">
        <f>data!O59</f>
        <v>0</v>
      </c>
      <c r="I41" s="14">
        <f>data!P59</f>
        <v>0</v>
      </c>
    </row>
    <row r="42" spans="1:9" ht="20.100000000000001" customHeight="1" x14ac:dyDescent="0.25">
      <c r="A42" s="23">
        <v>5</v>
      </c>
      <c r="B42" s="14" t="s">
        <v>234</v>
      </c>
      <c r="C42" s="26">
        <f>data!J60</f>
        <v>0.01</v>
      </c>
      <c r="D42" s="26">
        <f>data!K60</f>
        <v>0</v>
      </c>
      <c r="E42" s="26">
        <f>data!L60</f>
        <v>28.169999999999998</v>
      </c>
      <c r="F42" s="26">
        <f>data!M60</f>
        <v>0</v>
      </c>
      <c r="G42" s="26">
        <f>data!N60</f>
        <v>0</v>
      </c>
      <c r="H42" s="26">
        <f>data!O60</f>
        <v>3.7170144230769231</v>
      </c>
      <c r="I42" s="26">
        <f>data!P60</f>
        <v>6.609360576923077</v>
      </c>
    </row>
    <row r="43" spans="1:9" ht="20.100000000000001" customHeight="1" x14ac:dyDescent="0.25">
      <c r="A43" s="23">
        <v>6</v>
      </c>
      <c r="B43" s="14" t="s">
        <v>235</v>
      </c>
      <c r="C43" s="14">
        <f>data!J61</f>
        <v>400</v>
      </c>
      <c r="D43" s="14">
        <f>data!K61</f>
        <v>0</v>
      </c>
      <c r="E43" s="14">
        <f>data!L61</f>
        <v>2155627</v>
      </c>
      <c r="F43" s="14">
        <f>data!M61</f>
        <v>0</v>
      </c>
      <c r="G43" s="14">
        <f>data!N61</f>
        <v>0</v>
      </c>
      <c r="H43" s="14">
        <f>data!O61</f>
        <v>346947</v>
      </c>
      <c r="I43" s="14">
        <f>data!P61</f>
        <v>510423</v>
      </c>
    </row>
    <row r="44" spans="1:9" ht="20.100000000000001" customHeight="1" x14ac:dyDescent="0.25">
      <c r="A44" s="23">
        <v>7</v>
      </c>
      <c r="B44" s="14" t="s">
        <v>3</v>
      </c>
      <c r="C44" s="14">
        <f>data!J62</f>
        <v>81</v>
      </c>
      <c r="D44" s="14">
        <f>data!K62</f>
        <v>0</v>
      </c>
      <c r="E44" s="14">
        <f>data!L62</f>
        <v>438497</v>
      </c>
      <c r="F44" s="14">
        <f>data!M62</f>
        <v>0</v>
      </c>
      <c r="G44" s="14">
        <f>data!N62</f>
        <v>0</v>
      </c>
      <c r="H44" s="14">
        <f>data!O62</f>
        <v>70576</v>
      </c>
      <c r="I44" s="14">
        <f>data!P62</f>
        <v>103830</v>
      </c>
    </row>
    <row r="45" spans="1:9" ht="20.100000000000001" customHeight="1" x14ac:dyDescent="0.25">
      <c r="A45" s="23">
        <v>8</v>
      </c>
      <c r="B45" s="14" t="s">
        <v>236</v>
      </c>
      <c r="C45" s="14">
        <f>data!J63</f>
        <v>0</v>
      </c>
      <c r="D45" s="14">
        <f>data!K63</f>
        <v>0</v>
      </c>
      <c r="E45" s="14">
        <f>data!L63</f>
        <v>0</v>
      </c>
      <c r="F45" s="14">
        <f>data!M63</f>
        <v>0</v>
      </c>
      <c r="G45" s="14">
        <f>data!N63</f>
        <v>0</v>
      </c>
      <c r="H45" s="14">
        <f>data!O63</f>
        <v>0</v>
      </c>
      <c r="I45" s="14">
        <f>data!P63</f>
        <v>0</v>
      </c>
    </row>
    <row r="46" spans="1:9" ht="20.100000000000001" customHeight="1" x14ac:dyDescent="0.25">
      <c r="A46" s="23">
        <v>9</v>
      </c>
      <c r="B46" s="14" t="s">
        <v>237</v>
      </c>
      <c r="C46" s="14" t="e">
        <f>data!#REF!</f>
        <v>#REF!</v>
      </c>
      <c r="D46" s="14">
        <f>data!K64</f>
        <v>0</v>
      </c>
      <c r="E46" s="14">
        <f>data!L64</f>
        <v>36314</v>
      </c>
      <c r="F46" s="14">
        <f>data!M64</f>
        <v>0</v>
      </c>
      <c r="G46" s="14">
        <f>data!J64</f>
        <v>9901</v>
      </c>
      <c r="H46" s="14">
        <f>data!O64</f>
        <v>17376</v>
      </c>
      <c r="I46" s="14">
        <f>data!P64</f>
        <v>62362</v>
      </c>
    </row>
    <row r="47" spans="1:9" ht="20.100000000000001" customHeight="1" x14ac:dyDescent="0.25">
      <c r="A47" s="23">
        <v>10</v>
      </c>
      <c r="B47" s="14" t="s">
        <v>444</v>
      </c>
      <c r="C47" s="14">
        <f>data!J65</f>
        <v>0</v>
      </c>
      <c r="D47" s="14">
        <f>data!K65</f>
        <v>0</v>
      </c>
      <c r="E47" s="14">
        <f>data!L65</f>
        <v>4552</v>
      </c>
      <c r="F47" s="14">
        <f>data!M65</f>
        <v>0</v>
      </c>
      <c r="G47" s="14">
        <f>data!N65</f>
        <v>0</v>
      </c>
      <c r="H47" s="14">
        <f>data!O65</f>
        <v>0</v>
      </c>
      <c r="I47" s="14">
        <f>data!P65</f>
        <v>3371</v>
      </c>
    </row>
    <row r="48" spans="1:9" ht="20.100000000000001" customHeight="1" x14ac:dyDescent="0.25">
      <c r="A48" s="23">
        <v>11</v>
      </c>
      <c r="B48" s="14" t="s">
        <v>445</v>
      </c>
      <c r="C48" s="14">
        <f>data!J66</f>
        <v>0</v>
      </c>
      <c r="D48" s="14">
        <f>data!K66</f>
        <v>0</v>
      </c>
      <c r="E48" s="14">
        <f>data!L66</f>
        <v>14121</v>
      </c>
      <c r="F48" s="14">
        <f>data!M66</f>
        <v>0</v>
      </c>
      <c r="G48" s="14">
        <f>data!N66</f>
        <v>0</v>
      </c>
      <c r="H48" s="14">
        <f>data!O66</f>
        <v>50582</v>
      </c>
      <c r="I48" s="14">
        <f>data!P66</f>
        <v>5707</v>
      </c>
    </row>
    <row r="49" spans="1:9" ht="20.100000000000001" customHeight="1" x14ac:dyDescent="0.25">
      <c r="A49" s="23">
        <v>12</v>
      </c>
      <c r="B49" s="14" t="s">
        <v>6</v>
      </c>
      <c r="C49" s="14">
        <f>data!J67</f>
        <v>532</v>
      </c>
      <c r="D49" s="14">
        <f>data!K67</f>
        <v>0</v>
      </c>
      <c r="E49" s="14">
        <f>data!L67</f>
        <v>0</v>
      </c>
      <c r="F49" s="14">
        <f>data!M67</f>
        <v>0</v>
      </c>
      <c r="G49" s="14">
        <f>data!N67</f>
        <v>0</v>
      </c>
      <c r="H49" s="14">
        <f>data!O67</f>
        <v>68835</v>
      </c>
      <c r="I49" s="14">
        <f>data!P67</f>
        <v>160749</v>
      </c>
    </row>
    <row r="50" spans="1:9" ht="20.100000000000001" customHeight="1" x14ac:dyDescent="0.25">
      <c r="A50" s="23">
        <v>13</v>
      </c>
      <c r="B50" s="14" t="s">
        <v>474</v>
      </c>
      <c r="C50" s="14">
        <f>data!J68</f>
        <v>0</v>
      </c>
      <c r="D50" s="14">
        <f>data!K68</f>
        <v>0</v>
      </c>
      <c r="E50" s="14">
        <f>data!L68</f>
        <v>30160</v>
      </c>
      <c r="F50" s="14">
        <f>data!M68</f>
        <v>0</v>
      </c>
      <c r="G50" s="14">
        <f>data!N68</f>
        <v>0</v>
      </c>
      <c r="H50" s="14">
        <f>data!O68</f>
        <v>4596</v>
      </c>
      <c r="I50" s="14">
        <f>data!P68</f>
        <v>8860</v>
      </c>
    </row>
    <row r="51" spans="1:9" ht="20.100000000000001" customHeight="1" x14ac:dyDescent="0.25">
      <c r="A51" s="23">
        <v>14</v>
      </c>
      <c r="B51" s="14" t="s">
        <v>241</v>
      </c>
      <c r="C51" s="14">
        <f>data!J69</f>
        <v>0</v>
      </c>
      <c r="D51" s="14">
        <f>data!K69</f>
        <v>0</v>
      </c>
      <c r="E51" s="14">
        <f>data!L69</f>
        <v>71945</v>
      </c>
      <c r="F51" s="14">
        <f>data!M69</f>
        <v>0</v>
      </c>
      <c r="G51" s="14">
        <f>data!N69</f>
        <v>0</v>
      </c>
      <c r="H51" s="14">
        <f>data!O69</f>
        <v>37175</v>
      </c>
      <c r="I51" s="14">
        <f>data!P69</f>
        <v>101642</v>
      </c>
    </row>
    <row r="52" spans="1:9" ht="20.100000000000001" customHeight="1" x14ac:dyDescent="0.25">
      <c r="A52" s="23">
        <v>15</v>
      </c>
      <c r="B52" s="14" t="s">
        <v>242</v>
      </c>
      <c r="C52" s="14">
        <f>-data!J70</f>
        <v>0</v>
      </c>
      <c r="D52" s="14">
        <f>-data!K70</f>
        <v>0</v>
      </c>
      <c r="E52" s="14">
        <f>-data!L70</f>
        <v>0</v>
      </c>
      <c r="F52" s="14">
        <f>-data!M70</f>
        <v>0</v>
      </c>
      <c r="G52" s="14">
        <f>-data!N70</f>
        <v>0</v>
      </c>
      <c r="H52" s="14">
        <f>-data!O70</f>
        <v>0</v>
      </c>
      <c r="I52" s="14">
        <f>-data!P70</f>
        <v>0</v>
      </c>
    </row>
    <row r="53" spans="1:9" ht="20.100000000000001" customHeight="1" x14ac:dyDescent="0.25">
      <c r="A53" s="23">
        <v>16</v>
      </c>
      <c r="B53" s="48" t="s">
        <v>1180</v>
      </c>
      <c r="C53" s="14">
        <f>data!J71</f>
        <v>10914</v>
      </c>
      <c r="D53" s="14">
        <f>data!K71</f>
        <v>0</v>
      </c>
      <c r="E53" s="14">
        <f>data!L71</f>
        <v>2751216</v>
      </c>
      <c r="F53" s="14">
        <f>data!M71</f>
        <v>0</v>
      </c>
      <c r="G53" s="14">
        <f>data!N71</f>
        <v>0</v>
      </c>
      <c r="H53" s="14">
        <f>data!O71</f>
        <v>596087</v>
      </c>
      <c r="I53" s="14">
        <f>data!P71</f>
        <v>956944</v>
      </c>
    </row>
    <row r="54" spans="1:9" ht="20.100000000000001" customHeight="1" x14ac:dyDescent="0.25">
      <c r="A54" s="23">
        <v>17</v>
      </c>
      <c r="B54" s="14" t="s">
        <v>244</v>
      </c>
      <c r="C54" s="209"/>
      <c r="D54" s="209"/>
      <c r="E54" s="209"/>
      <c r="F54" s="209"/>
      <c r="G54" s="209"/>
      <c r="H54" s="209"/>
      <c r="I54" s="209"/>
    </row>
    <row r="55" spans="1:9" ht="20.100000000000001" customHeight="1" x14ac:dyDescent="0.25">
      <c r="A55" s="23">
        <v>18</v>
      </c>
      <c r="B55" s="14" t="s">
        <v>1181</v>
      </c>
      <c r="C55" s="48">
        <f>+data!M675</f>
        <v>10428</v>
      </c>
      <c r="D55" s="48">
        <f>+data!M676</f>
        <v>0</v>
      </c>
      <c r="E55" s="48">
        <f>+data!M677</f>
        <v>1421608</v>
      </c>
      <c r="F55" s="48">
        <f>+data!M678</f>
        <v>0</v>
      </c>
      <c r="G55" s="48">
        <f>+data!M679</f>
        <v>0</v>
      </c>
      <c r="H55" s="48">
        <f>+data!M680</f>
        <v>241272</v>
      </c>
      <c r="I55" s="48">
        <f>+data!M681</f>
        <v>497671</v>
      </c>
    </row>
    <row r="56" spans="1:9" ht="20.100000000000001" customHeight="1" x14ac:dyDescent="0.25">
      <c r="A56" s="23">
        <v>19</v>
      </c>
      <c r="B56" s="48" t="s">
        <v>1182</v>
      </c>
      <c r="C56" s="14">
        <f>data!J73</f>
        <v>203420</v>
      </c>
      <c r="D56" s="14">
        <f>data!K73</f>
        <v>0</v>
      </c>
      <c r="E56" s="14">
        <f>data!L73</f>
        <v>4216791</v>
      </c>
      <c r="F56" s="14">
        <f>data!M73</f>
        <v>0</v>
      </c>
      <c r="G56" s="14">
        <f>data!N73</f>
        <v>0</v>
      </c>
      <c r="H56" s="14">
        <f>data!O73</f>
        <v>552123</v>
      </c>
      <c r="I56" s="14">
        <f>data!P73</f>
        <v>297470.3</v>
      </c>
    </row>
    <row r="57" spans="1:9" ht="20.100000000000001" customHeight="1" x14ac:dyDescent="0.25">
      <c r="A57" s="23">
        <v>20</v>
      </c>
      <c r="B57" s="48" t="s">
        <v>1183</v>
      </c>
      <c r="C57" s="14">
        <f>data!J74</f>
        <v>0</v>
      </c>
      <c r="D57" s="14">
        <f>data!K74</f>
        <v>0</v>
      </c>
      <c r="E57" s="14">
        <f>data!L74</f>
        <v>0</v>
      </c>
      <c r="F57" s="14">
        <f>data!M74</f>
        <v>0</v>
      </c>
      <c r="G57" s="14">
        <f>data!N74</f>
        <v>0</v>
      </c>
      <c r="H57" s="14">
        <f>data!O74</f>
        <v>69885.899999999994</v>
      </c>
      <c r="I57" s="14">
        <f>data!P74</f>
        <v>4143061.5209999997</v>
      </c>
    </row>
    <row r="58" spans="1:9" ht="20.100000000000001" customHeight="1" x14ac:dyDescent="0.25">
      <c r="A58" s="23">
        <v>21</v>
      </c>
      <c r="B58" s="48" t="s">
        <v>1184</v>
      </c>
      <c r="C58" s="14">
        <f>data!J75</f>
        <v>203420</v>
      </c>
      <c r="D58" s="14">
        <f>data!K75</f>
        <v>0</v>
      </c>
      <c r="E58" s="14">
        <f>data!L75</f>
        <v>4216791</v>
      </c>
      <c r="F58" s="14">
        <f>data!M75</f>
        <v>0</v>
      </c>
      <c r="G58" s="14">
        <f>data!N75</f>
        <v>0</v>
      </c>
      <c r="H58" s="14">
        <f>data!O75</f>
        <v>622008.9</v>
      </c>
      <c r="I58" s="14">
        <f>data!P75</f>
        <v>4440531.8209999995</v>
      </c>
    </row>
    <row r="59" spans="1:9" ht="20.100000000000001" customHeight="1" x14ac:dyDescent="0.25">
      <c r="A59" s="23" t="s">
        <v>1185</v>
      </c>
      <c r="B59" s="60"/>
      <c r="C59" s="209"/>
      <c r="D59" s="209"/>
      <c r="E59" s="209"/>
      <c r="F59" s="209"/>
      <c r="G59" s="209"/>
      <c r="H59" s="209"/>
      <c r="I59" s="209"/>
    </row>
    <row r="60" spans="1:9" ht="20.100000000000001" customHeight="1" x14ac:dyDescent="0.25">
      <c r="A60" s="23">
        <v>22</v>
      </c>
      <c r="B60" s="14" t="s">
        <v>1186</v>
      </c>
      <c r="C60" s="14">
        <f>data!J76</f>
        <v>0</v>
      </c>
      <c r="D60" s="14">
        <f>data!K76</f>
        <v>0</v>
      </c>
      <c r="E60" s="14">
        <f>data!L76</f>
        <v>0</v>
      </c>
      <c r="F60" s="14">
        <f>data!M76</f>
        <v>0</v>
      </c>
      <c r="G60" s="14">
        <f>data!N76</f>
        <v>0</v>
      </c>
      <c r="H60" s="14">
        <f>data!O76</f>
        <v>794</v>
      </c>
      <c r="I60" s="14">
        <f>data!P76</f>
        <v>907</v>
      </c>
    </row>
    <row r="61" spans="1:9" ht="20.100000000000001" customHeight="1" x14ac:dyDescent="0.25">
      <c r="A61" s="23">
        <v>23</v>
      </c>
      <c r="B61" s="14" t="s">
        <v>1187</v>
      </c>
      <c r="C61" s="14">
        <f>data!J77</f>
        <v>0</v>
      </c>
      <c r="D61" s="14">
        <f>data!K77</f>
        <v>0</v>
      </c>
      <c r="E61" s="14">
        <f>data!L77</f>
        <v>11838</v>
      </c>
      <c r="F61" s="14">
        <f>data!M77</f>
        <v>0</v>
      </c>
      <c r="G61" s="14">
        <f>data!N77</f>
        <v>0</v>
      </c>
      <c r="H61" s="14">
        <f>data!O77</f>
        <v>0</v>
      </c>
      <c r="I61" s="14">
        <f>data!P77</f>
        <v>0</v>
      </c>
    </row>
    <row r="62" spans="1:9" ht="20.100000000000001" customHeight="1" x14ac:dyDescent="0.25">
      <c r="A62" s="23">
        <v>24</v>
      </c>
      <c r="B62" s="14" t="s">
        <v>1188</v>
      </c>
      <c r="C62" s="14">
        <f>data!J78</f>
        <v>0.01</v>
      </c>
      <c r="D62" s="14">
        <f>data!K78</f>
        <v>0</v>
      </c>
      <c r="E62" s="14">
        <f>data!L78</f>
        <v>28.169999999999998</v>
      </c>
      <c r="F62" s="14">
        <f>data!M78</f>
        <v>0</v>
      </c>
      <c r="G62" s="14">
        <f>data!N78</f>
        <v>0</v>
      </c>
      <c r="H62" s="14">
        <f>data!O78</f>
        <v>794</v>
      </c>
      <c r="I62" s="14">
        <f>data!P78</f>
        <v>907</v>
      </c>
    </row>
    <row r="63" spans="1:9" ht="20.100000000000001" customHeight="1" x14ac:dyDescent="0.25">
      <c r="A63" s="23">
        <v>25</v>
      </c>
      <c r="B63" s="14" t="s">
        <v>1189</v>
      </c>
      <c r="C63" s="14">
        <f>data!J79</f>
        <v>321.88500000000005</v>
      </c>
      <c r="D63" s="14">
        <f>data!K79</f>
        <v>0</v>
      </c>
      <c r="E63" s="14">
        <f>data!L79</f>
        <v>0</v>
      </c>
      <c r="F63" s="14">
        <f>data!M79</f>
        <v>0</v>
      </c>
      <c r="G63" s="14">
        <f>data!N79</f>
        <v>0</v>
      </c>
      <c r="H63" s="14">
        <f>data!O79</f>
        <v>1850.92</v>
      </c>
      <c r="I63" s="14">
        <f>data!P79</f>
        <v>12816.460000000001</v>
      </c>
    </row>
    <row r="64" spans="1:9" ht="20.100000000000001" customHeight="1" x14ac:dyDescent="0.25">
      <c r="A64" s="23">
        <v>26</v>
      </c>
      <c r="B64" s="14" t="s">
        <v>252</v>
      </c>
      <c r="C64" s="26">
        <f>data!J80</f>
        <v>0.01</v>
      </c>
      <c r="D64" s="26">
        <f>data!K80</f>
        <v>0</v>
      </c>
      <c r="E64" s="26">
        <f>data!L80</f>
        <v>28.169999999999998</v>
      </c>
      <c r="F64" s="26">
        <f>data!M80</f>
        <v>0</v>
      </c>
      <c r="G64" s="26">
        <f>data!N80</f>
        <v>0</v>
      </c>
      <c r="H64" s="26">
        <f>data!O80</f>
        <v>3.7170144230769231</v>
      </c>
      <c r="I64" s="26">
        <f>data!P80</f>
        <v>6.609360576923077</v>
      </c>
    </row>
    <row r="65" spans="1:9" ht="20.100000000000001" customHeight="1" x14ac:dyDescent="0.25">
      <c r="A65" s="4" t="s">
        <v>1173</v>
      </c>
      <c r="B65" s="5"/>
      <c r="C65" s="5"/>
      <c r="D65" s="6"/>
      <c r="E65" s="5"/>
      <c r="F65" s="5"/>
      <c r="G65" s="5"/>
      <c r="H65" s="5"/>
      <c r="I65" s="4"/>
    </row>
    <row r="66" spans="1:9" ht="20.100000000000001" customHeight="1" x14ac:dyDescent="0.25">
      <c r="A66" s="77"/>
      <c r="B66" s="77"/>
      <c r="C66" s="77"/>
      <c r="D66" s="45"/>
      <c r="E66" s="77"/>
      <c r="F66" s="77"/>
      <c r="G66" s="77"/>
      <c r="H66" s="77"/>
      <c r="I66" s="168" t="s">
        <v>1193</v>
      </c>
    </row>
    <row r="67" spans="1:9" ht="20.100000000000001" customHeight="1" x14ac:dyDescent="0.25">
      <c r="A67" s="45"/>
      <c r="B67" s="77"/>
      <c r="C67" s="77"/>
      <c r="D67" s="77"/>
      <c r="E67" s="77"/>
      <c r="F67" s="77"/>
      <c r="G67" s="77"/>
      <c r="H67" s="77"/>
    </row>
    <row r="68" spans="1:9" ht="20.100000000000001" customHeight="1" x14ac:dyDescent="0.25">
      <c r="A68" s="79" t="str">
        <f>"HOSPITAL NAME: "&amp;data!C84</f>
        <v>HOSPITAL NAME: Lake Chelan Community Hospital</v>
      </c>
      <c r="B68" s="77"/>
      <c r="C68" s="77"/>
      <c r="D68" s="77"/>
      <c r="E68" s="77"/>
      <c r="F68" s="77"/>
      <c r="G68" s="80"/>
      <c r="H68" s="79" t="str">
        <f>"FYE: "&amp;data!C82</f>
        <v>FYE: 12/31/2019</v>
      </c>
    </row>
    <row r="69" spans="1:9" ht="20.100000000000001" customHeight="1" x14ac:dyDescent="0.25">
      <c r="A69" s="23">
        <v>1</v>
      </c>
      <c r="B69" s="14" t="s">
        <v>209</v>
      </c>
      <c r="C69" s="15" t="s">
        <v>24</v>
      </c>
      <c r="D69" s="15" t="s">
        <v>25</v>
      </c>
      <c r="E69" s="15" t="s">
        <v>26</v>
      </c>
      <c r="F69" s="15" t="s">
        <v>27</v>
      </c>
      <c r="G69" s="15" t="s">
        <v>28</v>
      </c>
      <c r="H69" s="15" t="s">
        <v>29</v>
      </c>
      <c r="I69" s="15" t="s">
        <v>30</v>
      </c>
    </row>
    <row r="70" spans="1:9" ht="20.100000000000001" customHeight="1" x14ac:dyDescent="0.25">
      <c r="A70" s="81">
        <v>2</v>
      </c>
      <c r="B70" s="17" t="s">
        <v>1175</v>
      </c>
      <c r="C70" s="18" t="s">
        <v>106</v>
      </c>
      <c r="D70" s="25"/>
      <c r="E70" s="18" t="s">
        <v>108</v>
      </c>
      <c r="F70" s="18" t="s">
        <v>1194</v>
      </c>
      <c r="G70" s="25"/>
      <c r="H70" s="18" t="s">
        <v>110</v>
      </c>
      <c r="I70" s="18" t="s">
        <v>111</v>
      </c>
    </row>
    <row r="71" spans="1:9" ht="20.100000000000001" customHeight="1" x14ac:dyDescent="0.25">
      <c r="A71" s="82"/>
      <c r="B71" s="83"/>
      <c r="C71" s="18" t="s">
        <v>171</v>
      </c>
      <c r="D71" s="18" t="s">
        <v>1195</v>
      </c>
      <c r="E71" s="18" t="s">
        <v>169</v>
      </c>
      <c r="F71" s="18" t="s">
        <v>172</v>
      </c>
      <c r="G71" s="18" t="s">
        <v>109</v>
      </c>
      <c r="H71" s="18" t="s">
        <v>173</v>
      </c>
      <c r="I71" s="18" t="s">
        <v>174</v>
      </c>
    </row>
    <row r="72" spans="1:9" ht="20.100000000000001" customHeight="1" x14ac:dyDescent="0.25">
      <c r="A72" s="23">
        <v>3</v>
      </c>
      <c r="B72" s="14" t="s">
        <v>1179</v>
      </c>
      <c r="C72" s="15" t="s">
        <v>1196</v>
      </c>
      <c r="D72" s="89" t="s">
        <v>1197</v>
      </c>
      <c r="E72" s="210"/>
      <c r="F72" s="210"/>
      <c r="G72" s="89" t="s">
        <v>1198</v>
      </c>
      <c r="H72" s="89" t="s">
        <v>1198</v>
      </c>
      <c r="I72" s="15" t="s">
        <v>223</v>
      </c>
    </row>
    <row r="73" spans="1:9" ht="20.100000000000001" customHeight="1" x14ac:dyDescent="0.25">
      <c r="A73" s="23">
        <v>4</v>
      </c>
      <c r="B73" s="14" t="s">
        <v>233</v>
      </c>
      <c r="C73" s="14">
        <f>data!Q59</f>
        <v>0</v>
      </c>
      <c r="D73" s="48">
        <f>data!R59</f>
        <v>0</v>
      </c>
      <c r="E73" s="210"/>
      <c r="F73" s="210"/>
      <c r="G73" s="14">
        <f>data!U59</f>
        <v>0</v>
      </c>
      <c r="H73" s="14">
        <f>data!V59</f>
        <v>0</v>
      </c>
      <c r="I73" s="14">
        <f>data!W59</f>
        <v>0</v>
      </c>
    </row>
    <row r="74" spans="1:9" ht="20.100000000000001" customHeight="1" x14ac:dyDescent="0.25">
      <c r="A74" s="23">
        <v>5</v>
      </c>
      <c r="B74" s="14" t="s">
        <v>234</v>
      </c>
      <c r="C74" s="26">
        <f>data!Q60</f>
        <v>2.3007788461538463</v>
      </c>
      <c r="D74" s="26">
        <f>data!R60</f>
        <v>1.0515625</v>
      </c>
      <c r="E74" s="26">
        <f>data!S60</f>
        <v>0</v>
      </c>
      <c r="F74" s="26">
        <f>data!T60</f>
        <v>0</v>
      </c>
      <c r="G74" s="26">
        <f>data!U60</f>
        <v>9.1093846153846147</v>
      </c>
      <c r="H74" s="26">
        <f>data!V60</f>
        <v>0</v>
      </c>
      <c r="I74" s="26">
        <f>data!W60</f>
        <v>0</v>
      </c>
    </row>
    <row r="75" spans="1:9" ht="20.100000000000001" customHeight="1" x14ac:dyDescent="0.25">
      <c r="A75" s="23">
        <v>6</v>
      </c>
      <c r="B75" s="14" t="s">
        <v>235</v>
      </c>
      <c r="C75" s="14">
        <f>data!Q61</f>
        <v>215350</v>
      </c>
      <c r="D75" s="14">
        <f>data!R61</f>
        <v>413543</v>
      </c>
      <c r="E75" s="14">
        <f>data!S61</f>
        <v>249486</v>
      </c>
      <c r="F75" s="14">
        <f>data!T61</f>
        <v>0</v>
      </c>
      <c r="G75" s="14">
        <f>data!U61</f>
        <v>578760</v>
      </c>
      <c r="H75" s="14">
        <f>data!V61</f>
        <v>0</v>
      </c>
      <c r="I75" s="14">
        <f>data!W61</f>
        <v>0</v>
      </c>
    </row>
    <row r="76" spans="1:9" ht="20.100000000000001" customHeight="1" x14ac:dyDescent="0.25">
      <c r="A76" s="23">
        <v>7</v>
      </c>
      <c r="B76" s="14" t="s">
        <v>3</v>
      </c>
      <c r="C76" s="14">
        <f>data!Q62</f>
        <v>43806</v>
      </c>
      <c r="D76" s="14">
        <f>data!R62</f>
        <v>84123</v>
      </c>
      <c r="E76" s="14">
        <f>data!S62</f>
        <v>50750</v>
      </c>
      <c r="F76" s="14">
        <f>data!T62</f>
        <v>0</v>
      </c>
      <c r="G76" s="14">
        <f>data!U62</f>
        <v>117731</v>
      </c>
      <c r="H76" s="14">
        <f>data!V62</f>
        <v>0</v>
      </c>
      <c r="I76" s="14">
        <f>data!W62</f>
        <v>0</v>
      </c>
    </row>
    <row r="77" spans="1:9" ht="20.100000000000001" customHeight="1" x14ac:dyDescent="0.25">
      <c r="A77" s="23">
        <v>8</v>
      </c>
      <c r="B77" s="14" t="s">
        <v>236</v>
      </c>
      <c r="C77" s="14">
        <f>data!Q63</f>
        <v>0</v>
      </c>
      <c r="D77" s="14">
        <f>data!R63</f>
        <v>0</v>
      </c>
      <c r="E77" s="14">
        <f>data!S63</f>
        <v>0</v>
      </c>
      <c r="F77" s="14">
        <f>data!T63</f>
        <v>0</v>
      </c>
      <c r="G77" s="14">
        <f>data!U63</f>
        <v>7200</v>
      </c>
      <c r="H77" s="14">
        <f>data!V63</f>
        <v>0</v>
      </c>
      <c r="I77" s="14">
        <f>data!W63</f>
        <v>0</v>
      </c>
    </row>
    <row r="78" spans="1:9" ht="20.100000000000001" customHeight="1" x14ac:dyDescent="0.25">
      <c r="A78" s="23">
        <v>9</v>
      </c>
      <c r="B78" s="14" t="s">
        <v>237</v>
      </c>
      <c r="C78" s="14">
        <f>data!Q64</f>
        <v>19420</v>
      </c>
      <c r="D78" s="14">
        <f>data!R64</f>
        <v>2693</v>
      </c>
      <c r="E78" s="14">
        <f>data!S64</f>
        <v>646102</v>
      </c>
      <c r="F78" s="14">
        <f>data!T64</f>
        <v>0</v>
      </c>
      <c r="G78" s="14">
        <f>data!U64</f>
        <v>393294</v>
      </c>
      <c r="H78" s="14">
        <f>data!V64</f>
        <v>0</v>
      </c>
      <c r="I78" s="14">
        <f>data!W64</f>
        <v>0</v>
      </c>
    </row>
    <row r="79" spans="1:9" ht="20.100000000000001" customHeight="1" x14ac:dyDescent="0.25">
      <c r="A79" s="23">
        <v>10</v>
      </c>
      <c r="B79" s="14" t="s">
        <v>444</v>
      </c>
      <c r="C79" s="14">
        <f>data!Q65</f>
        <v>522</v>
      </c>
      <c r="D79" s="14">
        <f>data!R65</f>
        <v>0</v>
      </c>
      <c r="E79" s="14">
        <f>data!S65</f>
        <v>0</v>
      </c>
      <c r="F79" s="14">
        <f>data!T65</f>
        <v>0</v>
      </c>
      <c r="G79" s="14">
        <f>data!U65</f>
        <v>597</v>
      </c>
      <c r="H79" s="14">
        <f>data!V65</f>
        <v>0</v>
      </c>
      <c r="I79" s="14">
        <f>data!W65</f>
        <v>0</v>
      </c>
    </row>
    <row r="80" spans="1:9" ht="20.100000000000001" customHeight="1" x14ac:dyDescent="0.25">
      <c r="A80" s="23">
        <v>11</v>
      </c>
      <c r="B80" s="14" t="s">
        <v>445</v>
      </c>
      <c r="C80" s="14">
        <f>data!Q66</f>
        <v>0</v>
      </c>
      <c r="D80" s="14">
        <f>data!R66</f>
        <v>64158</v>
      </c>
      <c r="E80" s="14">
        <f>data!S66</f>
        <v>50</v>
      </c>
      <c r="F80" s="14">
        <f>data!T66</f>
        <v>0</v>
      </c>
      <c r="G80" s="14">
        <f>data!U66</f>
        <v>183195</v>
      </c>
      <c r="H80" s="14">
        <f>data!V66</f>
        <v>0</v>
      </c>
      <c r="I80" s="14">
        <f>data!W66</f>
        <v>0</v>
      </c>
    </row>
    <row r="81" spans="1:9" ht="20.100000000000001" customHeight="1" x14ac:dyDescent="0.25">
      <c r="A81" s="23">
        <v>12</v>
      </c>
      <c r="B81" s="14" t="s">
        <v>6</v>
      </c>
      <c r="C81" s="14">
        <f>data!Q67</f>
        <v>4747</v>
      </c>
      <c r="D81" s="14">
        <f>data!R67</f>
        <v>23533</v>
      </c>
      <c r="E81" s="14">
        <f>data!S67</f>
        <v>15783</v>
      </c>
      <c r="F81" s="14">
        <f>data!T67</f>
        <v>0</v>
      </c>
      <c r="G81" s="14">
        <f>data!U67</f>
        <v>24422</v>
      </c>
      <c r="H81" s="14">
        <f>data!V67</f>
        <v>0</v>
      </c>
      <c r="I81" s="14">
        <f>data!W67</f>
        <v>0</v>
      </c>
    </row>
    <row r="82" spans="1:9" ht="20.100000000000001" customHeight="1" x14ac:dyDescent="0.25">
      <c r="A82" s="23">
        <v>13</v>
      </c>
      <c r="B82" s="14" t="s">
        <v>474</v>
      </c>
      <c r="C82" s="14">
        <f>data!Q68</f>
        <v>0</v>
      </c>
      <c r="D82" s="14">
        <f>data!R68</f>
        <v>168</v>
      </c>
      <c r="E82" s="14">
        <f>data!S68</f>
        <v>538</v>
      </c>
      <c r="F82" s="14">
        <f>data!T68</f>
        <v>0</v>
      </c>
      <c r="G82" s="14">
        <f>data!U68</f>
        <v>1200</v>
      </c>
      <c r="H82" s="14">
        <f>data!V68</f>
        <v>0</v>
      </c>
      <c r="I82" s="14">
        <f>data!W68</f>
        <v>0</v>
      </c>
    </row>
    <row r="83" spans="1:9" ht="20.100000000000001" customHeight="1" x14ac:dyDescent="0.25">
      <c r="A83" s="23">
        <v>14</v>
      </c>
      <c r="B83" s="14" t="s">
        <v>241</v>
      </c>
      <c r="C83" s="14">
        <f>data!Q69</f>
        <v>280</v>
      </c>
      <c r="D83" s="14">
        <f>data!R69</f>
        <v>13879</v>
      </c>
      <c r="E83" s="14">
        <f>data!S69</f>
        <v>17852</v>
      </c>
      <c r="F83" s="14">
        <f>data!T69</f>
        <v>0</v>
      </c>
      <c r="G83" s="14">
        <f>data!U69</f>
        <v>48207</v>
      </c>
      <c r="H83" s="14">
        <f>data!V69</f>
        <v>0</v>
      </c>
      <c r="I83" s="14">
        <f>data!W69</f>
        <v>0</v>
      </c>
    </row>
    <row r="84" spans="1:9" ht="20.100000000000001" customHeight="1" x14ac:dyDescent="0.25">
      <c r="A84" s="23">
        <v>15</v>
      </c>
      <c r="B84" s="14" t="s">
        <v>242</v>
      </c>
      <c r="C84" s="14">
        <f>-data!Q70</f>
        <v>0</v>
      </c>
      <c r="D84" s="14">
        <f>-data!R70</f>
        <v>0</v>
      </c>
      <c r="E84" s="14">
        <f>-data!S70</f>
        <v>0</v>
      </c>
      <c r="F84" s="14">
        <f>-data!T70</f>
        <v>0</v>
      </c>
      <c r="G84" s="14">
        <f>-data!U70</f>
        <v>0</v>
      </c>
      <c r="H84" s="14">
        <f>-data!V70</f>
        <v>0</v>
      </c>
      <c r="I84" s="14">
        <f>-data!W70</f>
        <v>0</v>
      </c>
    </row>
    <row r="85" spans="1:9" ht="20.100000000000001" customHeight="1" x14ac:dyDescent="0.25">
      <c r="A85" s="23">
        <v>16</v>
      </c>
      <c r="B85" s="48" t="s">
        <v>1180</v>
      </c>
      <c r="C85" s="14">
        <f>data!Q71</f>
        <v>284125</v>
      </c>
      <c r="D85" s="14">
        <f>data!R71</f>
        <v>602097</v>
      </c>
      <c r="E85" s="14">
        <f>data!S71</f>
        <v>980561</v>
      </c>
      <c r="F85" s="14">
        <f>data!T71</f>
        <v>0</v>
      </c>
      <c r="G85" s="14">
        <f>data!U71</f>
        <v>1354606</v>
      </c>
      <c r="H85" s="14">
        <f>data!V71</f>
        <v>0</v>
      </c>
      <c r="I85" s="14">
        <f>data!W71</f>
        <v>0</v>
      </c>
    </row>
    <row r="86" spans="1:9" ht="20.100000000000001" customHeight="1" x14ac:dyDescent="0.25">
      <c r="A86" s="23">
        <v>17</v>
      </c>
      <c r="B86" s="14" t="s">
        <v>244</v>
      </c>
      <c r="C86" s="209"/>
      <c r="D86" s="209"/>
      <c r="E86" s="209"/>
      <c r="F86" s="209"/>
      <c r="G86" s="209"/>
      <c r="H86" s="209"/>
      <c r="I86" s="209"/>
    </row>
    <row r="87" spans="1:9" ht="20.100000000000001" customHeight="1" x14ac:dyDescent="0.25">
      <c r="A87" s="23">
        <v>18</v>
      </c>
      <c r="B87" s="14" t="s">
        <v>1181</v>
      </c>
      <c r="C87" s="48">
        <f>+data!M682</f>
        <v>135098</v>
      </c>
      <c r="D87" s="48">
        <f>+data!M683</f>
        <v>196498</v>
      </c>
      <c r="E87" s="48">
        <f>+data!M684</f>
        <v>484584</v>
      </c>
      <c r="F87" s="48">
        <f>+data!M685</f>
        <v>0</v>
      </c>
      <c r="G87" s="48">
        <f>+data!M686</f>
        <v>526445</v>
      </c>
      <c r="H87" s="48">
        <f>+data!M687</f>
        <v>0</v>
      </c>
      <c r="I87" s="48">
        <f>+data!M688</f>
        <v>0</v>
      </c>
    </row>
    <row r="88" spans="1:9" ht="20.100000000000001" customHeight="1" x14ac:dyDescent="0.25">
      <c r="A88" s="23">
        <v>19</v>
      </c>
      <c r="B88" s="48" t="s">
        <v>1182</v>
      </c>
      <c r="C88" s="14">
        <f>data!Q73</f>
        <v>173198</v>
      </c>
      <c r="D88" s="14">
        <f>data!R73</f>
        <v>206682</v>
      </c>
      <c r="E88" s="14">
        <f>data!S73</f>
        <v>179050.28999999998</v>
      </c>
      <c r="F88" s="14">
        <f>data!T73</f>
        <v>0</v>
      </c>
      <c r="G88" s="14">
        <f>data!U73</f>
        <v>493063.9</v>
      </c>
      <c r="H88" s="14">
        <f>data!V73</f>
        <v>0</v>
      </c>
      <c r="I88" s="14">
        <f>data!W73</f>
        <v>0</v>
      </c>
    </row>
    <row r="89" spans="1:9" ht="20.100000000000001" customHeight="1" x14ac:dyDescent="0.25">
      <c r="A89" s="23">
        <v>20</v>
      </c>
      <c r="B89" s="48" t="s">
        <v>1183</v>
      </c>
      <c r="C89" s="14">
        <f>data!Q74</f>
        <v>455112</v>
      </c>
      <c r="D89" s="14">
        <f>data!R74</f>
        <v>1169674</v>
      </c>
      <c r="E89" s="14">
        <f>data!S74</f>
        <v>2690794.1199999996</v>
      </c>
      <c r="F89" s="14">
        <f>data!T74</f>
        <v>0</v>
      </c>
      <c r="G89" s="14">
        <f>data!U74</f>
        <v>3120654.0000000005</v>
      </c>
      <c r="H89" s="14">
        <f>data!V74</f>
        <v>0</v>
      </c>
      <c r="I89" s="14">
        <f>data!W74</f>
        <v>0</v>
      </c>
    </row>
    <row r="90" spans="1:9" ht="20.100000000000001" customHeight="1" x14ac:dyDescent="0.25">
      <c r="A90" s="23">
        <v>21</v>
      </c>
      <c r="B90" s="48" t="s">
        <v>1184</v>
      </c>
      <c r="C90" s="14">
        <f>data!Q75</f>
        <v>628310</v>
      </c>
      <c r="D90" s="14">
        <f>data!R75</f>
        <v>1376356</v>
      </c>
      <c r="E90" s="14">
        <f>data!S75</f>
        <v>2869844.4099999997</v>
      </c>
      <c r="F90" s="14">
        <f>data!T75</f>
        <v>0</v>
      </c>
      <c r="G90" s="14">
        <f>data!U75</f>
        <v>3613717.9000000004</v>
      </c>
      <c r="H90" s="14">
        <f>data!V75</f>
        <v>0</v>
      </c>
      <c r="I90" s="14">
        <f>data!W75</f>
        <v>0</v>
      </c>
    </row>
    <row r="91" spans="1:9" ht="20.100000000000001" customHeight="1" x14ac:dyDescent="0.25">
      <c r="A91" s="23" t="s">
        <v>1185</v>
      </c>
      <c r="B91" s="60"/>
      <c r="C91" s="209"/>
      <c r="D91" s="209"/>
      <c r="E91" s="209"/>
      <c r="F91" s="209"/>
      <c r="G91" s="209"/>
      <c r="H91" s="209"/>
      <c r="I91" s="209"/>
    </row>
    <row r="92" spans="1:9" ht="20.100000000000001" customHeight="1" x14ac:dyDescent="0.25">
      <c r="A92" s="23">
        <v>22</v>
      </c>
      <c r="B92" s="14" t="s">
        <v>1186</v>
      </c>
      <c r="C92" s="14">
        <f>data!Q76</f>
        <v>479</v>
      </c>
      <c r="D92" s="14">
        <f>data!R76</f>
        <v>60</v>
      </c>
      <c r="E92" s="14">
        <f>data!S76</f>
        <v>1754</v>
      </c>
      <c r="F92" s="14">
        <f>data!T76</f>
        <v>0</v>
      </c>
      <c r="G92" s="14">
        <f>data!U76</f>
        <v>729</v>
      </c>
      <c r="H92" s="14">
        <f>data!V76</f>
        <v>0</v>
      </c>
      <c r="I92" s="14">
        <f>data!W76</f>
        <v>0</v>
      </c>
    </row>
    <row r="93" spans="1:9" ht="20.100000000000001" customHeight="1" x14ac:dyDescent="0.25">
      <c r="A93" s="23">
        <v>23</v>
      </c>
      <c r="B93" s="14" t="s">
        <v>1187</v>
      </c>
      <c r="C93" s="14">
        <f>data!Q77</f>
        <v>0</v>
      </c>
      <c r="D93" s="14">
        <f>data!R77</f>
        <v>0</v>
      </c>
      <c r="E93" s="14">
        <f>data!S77</f>
        <v>0</v>
      </c>
      <c r="F93" s="14">
        <f>data!T77</f>
        <v>0</v>
      </c>
      <c r="G93" s="14">
        <f>data!U77</f>
        <v>0</v>
      </c>
      <c r="H93" s="14">
        <f>data!V77</f>
        <v>0</v>
      </c>
      <c r="I93" s="14">
        <f>data!W77</f>
        <v>0</v>
      </c>
    </row>
    <row r="94" spans="1:9" ht="20.100000000000001" customHeight="1" x14ac:dyDescent="0.25">
      <c r="A94" s="23">
        <v>24</v>
      </c>
      <c r="B94" s="14" t="s">
        <v>1188</v>
      </c>
      <c r="C94" s="14">
        <f>data!Q78</f>
        <v>479</v>
      </c>
      <c r="D94" s="14">
        <f>data!R78</f>
        <v>60</v>
      </c>
      <c r="E94" s="14">
        <f>data!S78</f>
        <v>1754</v>
      </c>
      <c r="F94" s="14">
        <f>data!T78</f>
        <v>0</v>
      </c>
      <c r="G94" s="14">
        <f>data!U78</f>
        <v>729</v>
      </c>
      <c r="H94" s="14">
        <f>data!V78</f>
        <v>0</v>
      </c>
      <c r="I94" s="14">
        <f>data!W78</f>
        <v>0</v>
      </c>
    </row>
    <row r="95" spans="1:9" ht="20.100000000000001" customHeight="1" x14ac:dyDescent="0.25">
      <c r="A95" s="23">
        <v>25</v>
      </c>
      <c r="B95" s="14" t="s">
        <v>1189</v>
      </c>
      <c r="C95" s="14">
        <f>data!Q79</f>
        <v>0</v>
      </c>
      <c r="D95" s="14">
        <f>data!R79</f>
        <v>0</v>
      </c>
      <c r="E95" s="14">
        <f>data!S79</f>
        <v>0</v>
      </c>
      <c r="F95" s="14">
        <f>data!T79</f>
        <v>0</v>
      </c>
      <c r="G95" s="14">
        <f>data!U79</f>
        <v>239.99</v>
      </c>
      <c r="H95" s="14">
        <f>data!V79</f>
        <v>0</v>
      </c>
      <c r="I95" s="14">
        <f>data!W79</f>
        <v>0</v>
      </c>
    </row>
    <row r="96" spans="1:9" ht="20.100000000000001" customHeight="1" x14ac:dyDescent="0.25">
      <c r="A96" s="23">
        <v>26</v>
      </c>
      <c r="B96" s="14" t="s">
        <v>252</v>
      </c>
      <c r="C96" s="84">
        <f>data!Q80</f>
        <v>2.3007788461538463</v>
      </c>
      <c r="D96" s="84">
        <f>data!R80</f>
        <v>1.0515625</v>
      </c>
      <c r="E96" s="84">
        <f>data!S80</f>
        <v>0</v>
      </c>
      <c r="F96" s="84">
        <f>data!T80</f>
        <v>0</v>
      </c>
      <c r="G96" s="84">
        <f>data!U80</f>
        <v>9.1093846153846147</v>
      </c>
      <c r="H96" s="84">
        <f>data!V80</f>
        <v>0</v>
      </c>
      <c r="I96" s="84">
        <f>data!W80</f>
        <v>0</v>
      </c>
    </row>
    <row r="97" spans="1:9" ht="20.100000000000001" customHeight="1" x14ac:dyDescent="0.25">
      <c r="A97" s="4" t="s">
        <v>1173</v>
      </c>
      <c r="B97" s="5"/>
      <c r="C97" s="5"/>
      <c r="D97" s="6"/>
      <c r="E97" s="5"/>
      <c r="F97" s="5"/>
      <c r="G97" s="5"/>
      <c r="H97" s="5"/>
      <c r="I97" s="4"/>
    </row>
    <row r="98" spans="1:9" ht="20.100000000000001" customHeight="1" x14ac:dyDescent="0.25">
      <c r="A98" s="77"/>
      <c r="B98" s="77"/>
      <c r="C98" s="77"/>
      <c r="D98" s="45"/>
      <c r="E98" s="77"/>
      <c r="F98" s="77"/>
      <c r="G98" s="77"/>
      <c r="H98" s="77"/>
      <c r="I98" s="168" t="s">
        <v>1199</v>
      </c>
    </row>
    <row r="99" spans="1:9" ht="20.100000000000001" customHeight="1" x14ac:dyDescent="0.25">
      <c r="A99" s="45"/>
      <c r="B99" s="77"/>
      <c r="C99" s="77"/>
      <c r="D99" s="77"/>
      <c r="E99" s="77"/>
      <c r="F99" s="77"/>
      <c r="G99" s="77"/>
      <c r="H99" s="77"/>
      <c r="I99" s="77"/>
    </row>
    <row r="100" spans="1:9" ht="20.100000000000001" customHeight="1" x14ac:dyDescent="0.25">
      <c r="A100" s="79" t="str">
        <f>"HOSPITAL NAME: "&amp;data!C84</f>
        <v>HOSPITAL NAME: Lake Chelan Community Hospital</v>
      </c>
      <c r="B100" s="77"/>
      <c r="C100" s="77"/>
      <c r="D100" s="77"/>
      <c r="E100" s="77"/>
      <c r="F100" s="77"/>
      <c r="G100" s="80"/>
      <c r="H100" s="79" t="str">
        <f>"FYE: "&amp;data!C82</f>
        <v>FYE: 12/31/2019</v>
      </c>
    </row>
    <row r="101" spans="1:9" ht="20.100000000000001" customHeight="1" x14ac:dyDescent="0.25">
      <c r="A101" s="23">
        <v>1</v>
      </c>
      <c r="B101" s="14" t="s">
        <v>209</v>
      </c>
      <c r="C101" s="15" t="s">
        <v>31</v>
      </c>
      <c r="D101" s="15" t="s">
        <v>32</v>
      </c>
      <c r="E101" s="15" t="s">
        <v>33</v>
      </c>
      <c r="F101" s="15" t="s">
        <v>34</v>
      </c>
      <c r="G101" s="15" t="s">
        <v>35</v>
      </c>
      <c r="H101" s="15" t="s">
        <v>36</v>
      </c>
      <c r="I101" s="15" t="s">
        <v>37</v>
      </c>
    </row>
    <row r="102" spans="1:9" ht="20.100000000000001" customHeight="1" x14ac:dyDescent="0.25">
      <c r="A102" s="81">
        <v>2</v>
      </c>
      <c r="B102" s="17" t="s">
        <v>1175</v>
      </c>
      <c r="C102" s="18" t="s">
        <v>1200</v>
      </c>
      <c r="D102" s="18" t="s">
        <v>1201</v>
      </c>
      <c r="E102" s="18" t="s">
        <v>1201</v>
      </c>
      <c r="F102" s="18" t="s">
        <v>114</v>
      </c>
      <c r="G102" s="25"/>
      <c r="H102" s="18" t="s">
        <v>116</v>
      </c>
      <c r="I102" s="25"/>
    </row>
    <row r="103" spans="1:9" ht="20.100000000000001" customHeight="1" x14ac:dyDescent="0.25">
      <c r="A103" s="82"/>
      <c r="B103" s="83"/>
      <c r="C103" s="18" t="s">
        <v>175</v>
      </c>
      <c r="D103" s="18" t="s">
        <v>176</v>
      </c>
      <c r="E103" s="18" t="s">
        <v>177</v>
      </c>
      <c r="F103" s="18" t="s">
        <v>178</v>
      </c>
      <c r="G103" s="18" t="s">
        <v>115</v>
      </c>
      <c r="H103" s="18" t="s">
        <v>172</v>
      </c>
      <c r="I103" s="18" t="s">
        <v>117</v>
      </c>
    </row>
    <row r="104" spans="1:9" ht="20.100000000000001" customHeight="1" x14ac:dyDescent="0.25">
      <c r="A104" s="23">
        <v>3</v>
      </c>
      <c r="B104" s="14" t="s">
        <v>1179</v>
      </c>
      <c r="C104" s="89" t="s">
        <v>224</v>
      </c>
      <c r="D104" s="15" t="s">
        <v>1202</v>
      </c>
      <c r="E104" s="15" t="s">
        <v>1202</v>
      </c>
      <c r="F104" s="15" t="s">
        <v>1202</v>
      </c>
      <c r="G104" s="210"/>
      <c r="H104" s="15" t="s">
        <v>226</v>
      </c>
      <c r="I104" s="15" t="s">
        <v>227</v>
      </c>
    </row>
    <row r="105" spans="1:9" ht="20.100000000000001" customHeight="1" x14ac:dyDescent="0.25">
      <c r="A105" s="23">
        <v>4</v>
      </c>
      <c r="B105" s="14" t="s">
        <v>233</v>
      </c>
      <c r="C105" s="14">
        <f>data!X59</f>
        <v>0</v>
      </c>
      <c r="D105" s="14">
        <f>data!Y59</f>
        <v>0</v>
      </c>
      <c r="E105" s="14">
        <f>data!Z59</f>
        <v>0</v>
      </c>
      <c r="F105" s="14">
        <f>data!AA59</f>
        <v>0</v>
      </c>
      <c r="G105" s="210"/>
      <c r="H105" s="14">
        <f>data!AC59</f>
        <v>0</v>
      </c>
      <c r="I105" s="14">
        <f>data!AD59</f>
        <v>0</v>
      </c>
    </row>
    <row r="106" spans="1:9" ht="20.100000000000001" customHeight="1" x14ac:dyDescent="0.25">
      <c r="A106" s="23">
        <v>5</v>
      </c>
      <c r="B106" s="14" t="s">
        <v>234</v>
      </c>
      <c r="C106" s="26">
        <f>data!X60</f>
        <v>0</v>
      </c>
      <c r="D106" s="26">
        <f>data!Y60</f>
        <v>7.7117067307692313</v>
      </c>
      <c r="E106" s="26">
        <f>data!Z60</f>
        <v>0</v>
      </c>
      <c r="F106" s="26">
        <f>data!AA60</f>
        <v>0</v>
      </c>
      <c r="G106" s="26">
        <f>data!AB60</f>
        <v>2.008173076923077</v>
      </c>
      <c r="H106" s="26">
        <f>data!AC60</f>
        <v>0.66201923076923075</v>
      </c>
      <c r="I106" s="26">
        <f>data!AD60</f>
        <v>0</v>
      </c>
    </row>
    <row r="107" spans="1:9" ht="20.100000000000001" customHeight="1" x14ac:dyDescent="0.25">
      <c r="A107" s="23">
        <v>6</v>
      </c>
      <c r="B107" s="14" t="s">
        <v>235</v>
      </c>
      <c r="C107" s="14">
        <f>data!X61</f>
        <v>0</v>
      </c>
      <c r="D107" s="14">
        <f>data!Y61</f>
        <v>508843</v>
      </c>
      <c r="E107" s="14">
        <f>data!Z61</f>
        <v>0</v>
      </c>
      <c r="F107" s="14">
        <f>data!AA61</f>
        <v>0</v>
      </c>
      <c r="G107" s="14">
        <f>data!AB61</f>
        <v>204806</v>
      </c>
      <c r="H107" s="14">
        <f>data!AC61</f>
        <v>69651</v>
      </c>
      <c r="I107" s="14">
        <f>data!AD61</f>
        <v>0</v>
      </c>
    </row>
    <row r="108" spans="1:9" ht="20.100000000000001" customHeight="1" x14ac:dyDescent="0.25">
      <c r="A108" s="23">
        <v>7</v>
      </c>
      <c r="B108" s="14" t="s">
        <v>3</v>
      </c>
      <c r="C108" s="14">
        <f>data!X62</f>
        <v>0</v>
      </c>
      <c r="D108" s="14">
        <f>data!Y62</f>
        <v>103509</v>
      </c>
      <c r="E108" s="14">
        <f>data!Z62</f>
        <v>0</v>
      </c>
      <c r="F108" s="14">
        <f>data!AA62</f>
        <v>0</v>
      </c>
      <c r="G108" s="14">
        <f>data!AB62</f>
        <v>41662</v>
      </c>
      <c r="H108" s="14">
        <f>data!AC62</f>
        <v>14168</v>
      </c>
      <c r="I108" s="14">
        <f>data!AD62</f>
        <v>0</v>
      </c>
    </row>
    <row r="109" spans="1:9" ht="20.100000000000001" customHeight="1" x14ac:dyDescent="0.25">
      <c r="A109" s="23">
        <v>8</v>
      </c>
      <c r="B109" s="14" t="s">
        <v>236</v>
      </c>
      <c r="C109" s="14">
        <f>data!X63</f>
        <v>0</v>
      </c>
      <c r="D109" s="14">
        <f>data!Y63</f>
        <v>335536</v>
      </c>
      <c r="E109" s="14">
        <f>data!Z63</f>
        <v>0</v>
      </c>
      <c r="F109" s="14">
        <f>data!AA63</f>
        <v>0</v>
      </c>
      <c r="G109" s="14">
        <f>data!AB63</f>
        <v>0</v>
      </c>
      <c r="H109" s="14">
        <f>data!AC63</f>
        <v>0</v>
      </c>
      <c r="I109" s="14">
        <f>data!AD63</f>
        <v>0</v>
      </c>
    </row>
    <row r="110" spans="1:9" ht="20.100000000000001" customHeight="1" x14ac:dyDescent="0.25">
      <c r="A110" s="23">
        <v>9</v>
      </c>
      <c r="B110" s="14" t="s">
        <v>237</v>
      </c>
      <c r="C110" s="14">
        <f>data!X64</f>
        <v>0</v>
      </c>
      <c r="D110" s="14">
        <f>data!Y64</f>
        <v>69395</v>
      </c>
      <c r="E110" s="14">
        <f>data!Z64</f>
        <v>0</v>
      </c>
      <c r="F110" s="14">
        <f>data!AA64</f>
        <v>0</v>
      </c>
      <c r="G110" s="14">
        <f>data!AB64</f>
        <v>305690</v>
      </c>
      <c r="H110" s="14">
        <f>data!AC64</f>
        <v>17323</v>
      </c>
      <c r="I110" s="14">
        <f>data!AD64</f>
        <v>0</v>
      </c>
    </row>
    <row r="111" spans="1:9" ht="20.100000000000001" customHeight="1" x14ac:dyDescent="0.25">
      <c r="A111" s="23">
        <v>10</v>
      </c>
      <c r="B111" s="14" t="s">
        <v>444</v>
      </c>
      <c r="C111" s="14">
        <f>data!X65</f>
        <v>0</v>
      </c>
      <c r="D111" s="14">
        <f>data!Y65</f>
        <v>1055</v>
      </c>
      <c r="E111" s="14">
        <f>data!Z65</f>
        <v>0</v>
      </c>
      <c r="F111" s="14">
        <f>data!AA65</f>
        <v>0</v>
      </c>
      <c r="G111" s="14">
        <f>data!AB65</f>
        <v>0</v>
      </c>
      <c r="H111" s="14">
        <f>data!AC65</f>
        <v>0</v>
      </c>
      <c r="I111" s="14">
        <f>data!AD65</f>
        <v>0</v>
      </c>
    </row>
    <row r="112" spans="1:9" ht="20.100000000000001" customHeight="1" x14ac:dyDescent="0.25">
      <c r="A112" s="23">
        <v>11</v>
      </c>
      <c r="B112" s="14" t="s">
        <v>445</v>
      </c>
      <c r="C112" s="14">
        <f>data!X66</f>
        <v>0</v>
      </c>
      <c r="D112" s="14">
        <f>data!Y66</f>
        <v>173242</v>
      </c>
      <c r="E112" s="14">
        <f>data!Z66</f>
        <v>0</v>
      </c>
      <c r="F112" s="14">
        <f>data!AA66</f>
        <v>0</v>
      </c>
      <c r="G112" s="14">
        <f>data!AB66</f>
        <v>125713</v>
      </c>
      <c r="H112" s="14">
        <f>data!AC66</f>
        <v>0</v>
      </c>
      <c r="I112" s="14">
        <f>data!AD66</f>
        <v>0</v>
      </c>
    </row>
    <row r="113" spans="1:9" ht="20.100000000000001" customHeight="1" x14ac:dyDescent="0.25">
      <c r="A113" s="23">
        <v>12</v>
      </c>
      <c r="B113" s="14" t="s">
        <v>6</v>
      </c>
      <c r="C113" s="14">
        <f>data!X67</f>
        <v>0</v>
      </c>
      <c r="D113" s="14">
        <f>data!Y67</f>
        <v>149739</v>
      </c>
      <c r="E113" s="14">
        <f>data!Z67</f>
        <v>0</v>
      </c>
      <c r="F113" s="14">
        <f>data!AA67</f>
        <v>0</v>
      </c>
      <c r="G113" s="14">
        <f>data!AB67</f>
        <v>5352</v>
      </c>
      <c r="H113" s="14">
        <f>data!AC67</f>
        <v>1287</v>
      </c>
      <c r="I113" s="14">
        <f>data!AD67</f>
        <v>0</v>
      </c>
    </row>
    <row r="114" spans="1:9" ht="20.100000000000001" customHeight="1" x14ac:dyDescent="0.25">
      <c r="A114" s="23">
        <v>13</v>
      </c>
      <c r="B114" s="14" t="s">
        <v>474</v>
      </c>
      <c r="C114" s="14">
        <f>data!X68</f>
        <v>0</v>
      </c>
      <c r="D114" s="14">
        <f>data!Y68</f>
        <v>1047</v>
      </c>
      <c r="E114" s="14">
        <f>data!Z68</f>
        <v>0</v>
      </c>
      <c r="F114" s="14">
        <f>data!AA68</f>
        <v>0</v>
      </c>
      <c r="G114" s="14">
        <f>data!AB68</f>
        <v>14122</v>
      </c>
      <c r="H114" s="14">
        <f>data!AC68</f>
        <v>4554</v>
      </c>
      <c r="I114" s="14">
        <f>data!AD68</f>
        <v>0</v>
      </c>
    </row>
    <row r="115" spans="1:9" ht="20.100000000000001" customHeight="1" x14ac:dyDescent="0.25">
      <c r="A115" s="23">
        <v>14</v>
      </c>
      <c r="B115" s="14" t="s">
        <v>241</v>
      </c>
      <c r="C115" s="14">
        <f>data!X69</f>
        <v>0</v>
      </c>
      <c r="D115" s="14">
        <f>data!Y69</f>
        <v>198449</v>
      </c>
      <c r="E115" s="14">
        <f>data!Z69</f>
        <v>0</v>
      </c>
      <c r="F115" s="14">
        <f>data!AA69</f>
        <v>0</v>
      </c>
      <c r="G115" s="14">
        <f>data!AB69</f>
        <v>15012</v>
      </c>
      <c r="H115" s="14">
        <f>data!AC69</f>
        <v>2109</v>
      </c>
      <c r="I115" s="14">
        <f>data!AD69</f>
        <v>0</v>
      </c>
    </row>
    <row r="116" spans="1:9" ht="20.100000000000001" customHeight="1" x14ac:dyDescent="0.25">
      <c r="A116" s="23">
        <v>15</v>
      </c>
      <c r="B116" s="14" t="s">
        <v>242</v>
      </c>
      <c r="C116" s="14">
        <f>-data!X70</f>
        <v>0</v>
      </c>
      <c r="D116" s="14">
        <f>-data!Y70</f>
        <v>0</v>
      </c>
      <c r="E116" s="14">
        <f>-data!Z70</f>
        <v>0</v>
      </c>
      <c r="F116" s="14">
        <f>-data!AA70</f>
        <v>0</v>
      </c>
      <c r="G116" s="14">
        <f>-data!AB70</f>
        <v>-582340</v>
      </c>
      <c r="H116" s="14">
        <f>-data!AC70</f>
        <v>0</v>
      </c>
      <c r="I116" s="14">
        <f>-data!AD70</f>
        <v>0</v>
      </c>
    </row>
    <row r="117" spans="1:9" ht="20.100000000000001" customHeight="1" x14ac:dyDescent="0.25">
      <c r="A117" s="23">
        <v>16</v>
      </c>
      <c r="B117" s="48" t="s">
        <v>1180</v>
      </c>
      <c r="C117" s="14">
        <f>data!X71</f>
        <v>0</v>
      </c>
      <c r="D117" s="14">
        <f>data!Y71</f>
        <v>1540815</v>
      </c>
      <c r="E117" s="14">
        <f>data!Z71</f>
        <v>0</v>
      </c>
      <c r="F117" s="14">
        <f>data!AA71</f>
        <v>0</v>
      </c>
      <c r="G117" s="14">
        <f>data!AB71</f>
        <v>130017</v>
      </c>
      <c r="H117" s="14">
        <f>data!AC71</f>
        <v>109092</v>
      </c>
      <c r="I117" s="14">
        <f>data!AD71</f>
        <v>0</v>
      </c>
    </row>
    <row r="118" spans="1:9" ht="20.100000000000001" customHeight="1" x14ac:dyDescent="0.25">
      <c r="A118" s="23">
        <v>17</v>
      </c>
      <c r="B118" s="14" t="s">
        <v>244</v>
      </c>
      <c r="C118" s="209"/>
      <c r="D118" s="209"/>
      <c r="E118" s="209"/>
      <c r="F118" s="209"/>
      <c r="G118" s="209"/>
      <c r="H118" s="209"/>
      <c r="I118" s="209"/>
    </row>
    <row r="119" spans="1:9" ht="20.100000000000001" customHeight="1" x14ac:dyDescent="0.25">
      <c r="A119" s="23">
        <v>18</v>
      </c>
      <c r="B119" s="14" t="s">
        <v>1181</v>
      </c>
      <c r="C119" s="48">
        <f>+data!M689</f>
        <v>0</v>
      </c>
      <c r="D119" s="48">
        <f>+data!M690</f>
        <v>705127</v>
      </c>
      <c r="E119" s="48">
        <f>+data!M691</f>
        <v>0</v>
      </c>
      <c r="F119" s="48">
        <f>+data!M692</f>
        <v>0</v>
      </c>
      <c r="G119" s="48">
        <f>+data!M693</f>
        <v>178158</v>
      </c>
      <c r="H119" s="48">
        <f>+data!M694</f>
        <v>64555</v>
      </c>
      <c r="I119" s="48">
        <f>+data!M695</f>
        <v>0</v>
      </c>
    </row>
    <row r="120" spans="1:9" ht="20.100000000000001" customHeight="1" x14ac:dyDescent="0.25">
      <c r="A120" s="23">
        <v>19</v>
      </c>
      <c r="B120" s="48" t="s">
        <v>1182</v>
      </c>
      <c r="C120" s="14">
        <f>data!X73</f>
        <v>0</v>
      </c>
      <c r="D120" s="14">
        <f>data!Y73</f>
        <v>135100.56</v>
      </c>
      <c r="E120" s="14">
        <f>data!Z73</f>
        <v>0</v>
      </c>
      <c r="F120" s="14">
        <f>data!AA73</f>
        <v>0</v>
      </c>
      <c r="G120" s="14">
        <f>data!AB73</f>
        <v>1626093.68</v>
      </c>
      <c r="H120" s="14">
        <f>data!AC73</f>
        <v>414781</v>
      </c>
      <c r="I120" s="14">
        <f>data!AD73</f>
        <v>0</v>
      </c>
    </row>
    <row r="121" spans="1:9" ht="20.100000000000001" customHeight="1" x14ac:dyDescent="0.25">
      <c r="A121" s="23">
        <v>20</v>
      </c>
      <c r="B121" s="48" t="s">
        <v>1183</v>
      </c>
      <c r="C121" s="14">
        <f>data!X74</f>
        <v>0</v>
      </c>
      <c r="D121" s="14">
        <f>data!Y74</f>
        <v>5043147.2699999996</v>
      </c>
      <c r="E121" s="14">
        <f>data!Z74</f>
        <v>0</v>
      </c>
      <c r="F121" s="14">
        <f>data!AA74</f>
        <v>0</v>
      </c>
      <c r="G121" s="14">
        <f>data!AB74</f>
        <v>1403658.4200000002</v>
      </c>
      <c r="H121" s="14">
        <f>data!AC74</f>
        <v>293836</v>
      </c>
      <c r="I121" s="14">
        <f>data!AD74</f>
        <v>0</v>
      </c>
    </row>
    <row r="122" spans="1:9" ht="20.100000000000001" customHeight="1" x14ac:dyDescent="0.25">
      <c r="A122" s="23">
        <v>21</v>
      </c>
      <c r="B122" s="48" t="s">
        <v>1184</v>
      </c>
      <c r="C122" s="14">
        <f>data!X75</f>
        <v>0</v>
      </c>
      <c r="D122" s="14">
        <f>data!Y75</f>
        <v>5178247.8299999991</v>
      </c>
      <c r="E122" s="14">
        <f>data!Z75</f>
        <v>0</v>
      </c>
      <c r="F122" s="14">
        <f>data!AA75</f>
        <v>0</v>
      </c>
      <c r="G122" s="14">
        <f>data!AB75</f>
        <v>3029752.1</v>
      </c>
      <c r="H122" s="14">
        <f>data!AC75</f>
        <v>708617</v>
      </c>
      <c r="I122" s="14">
        <f>data!AD75</f>
        <v>0</v>
      </c>
    </row>
    <row r="123" spans="1:9" ht="20.100000000000001" customHeight="1" x14ac:dyDescent="0.25">
      <c r="A123" s="23" t="s">
        <v>1185</v>
      </c>
      <c r="B123" s="60"/>
      <c r="C123" s="209"/>
      <c r="D123" s="209"/>
      <c r="E123" s="209"/>
      <c r="F123" s="209"/>
      <c r="G123" s="209"/>
      <c r="H123" s="209"/>
      <c r="I123" s="209"/>
    </row>
    <row r="124" spans="1:9" ht="20.100000000000001" customHeight="1" x14ac:dyDescent="0.25">
      <c r="A124" s="23">
        <v>22</v>
      </c>
      <c r="B124" s="14" t="s">
        <v>1186</v>
      </c>
      <c r="C124" s="14">
        <f>data!X76</f>
        <v>0</v>
      </c>
      <c r="D124" s="14">
        <f>data!Y76</f>
        <v>1408</v>
      </c>
      <c r="E124" s="14">
        <f>data!Z76</f>
        <v>0</v>
      </c>
      <c r="F124" s="14">
        <f>data!AA76</f>
        <v>0</v>
      </c>
      <c r="G124" s="14">
        <f>data!AB76</f>
        <v>406</v>
      </c>
      <c r="H124" s="14">
        <f>data!AC76</f>
        <v>143</v>
      </c>
      <c r="I124" s="14">
        <f>data!AD76</f>
        <v>0</v>
      </c>
    </row>
    <row r="125" spans="1:9" ht="20.100000000000001" customHeight="1" x14ac:dyDescent="0.25">
      <c r="A125" s="23">
        <v>23</v>
      </c>
      <c r="B125" s="14" t="s">
        <v>1187</v>
      </c>
      <c r="C125" s="14">
        <f>data!X77</f>
        <v>0</v>
      </c>
      <c r="D125" s="14">
        <f>data!Y77</f>
        <v>0</v>
      </c>
      <c r="E125" s="14">
        <f>data!Z77</f>
        <v>0</v>
      </c>
      <c r="F125" s="14">
        <f>data!AA77</f>
        <v>0</v>
      </c>
      <c r="G125" s="14">
        <f>data!AB77</f>
        <v>0</v>
      </c>
      <c r="H125" s="14">
        <f>data!AC77</f>
        <v>0</v>
      </c>
      <c r="I125" s="14">
        <f>data!AD77</f>
        <v>0</v>
      </c>
    </row>
    <row r="126" spans="1:9" ht="20.100000000000001" customHeight="1" x14ac:dyDescent="0.25">
      <c r="A126" s="23">
        <v>24</v>
      </c>
      <c r="B126" s="14" t="s">
        <v>1188</v>
      </c>
      <c r="C126" s="14">
        <f>data!X78</f>
        <v>0</v>
      </c>
      <c r="D126" s="14">
        <f>data!Y78</f>
        <v>1408</v>
      </c>
      <c r="E126" s="14">
        <f>data!Z78</f>
        <v>0</v>
      </c>
      <c r="F126" s="14">
        <f>data!AA78</f>
        <v>0</v>
      </c>
      <c r="G126" s="14">
        <f>data!AB78</f>
        <v>406</v>
      </c>
      <c r="H126" s="14">
        <f>data!AC78</f>
        <v>143</v>
      </c>
      <c r="I126" s="14">
        <f>data!AD78</f>
        <v>0</v>
      </c>
    </row>
    <row r="127" spans="1:9" ht="20.100000000000001" customHeight="1" x14ac:dyDescent="0.25">
      <c r="A127" s="23">
        <v>25</v>
      </c>
      <c r="B127" s="14" t="s">
        <v>1189</v>
      </c>
      <c r="C127" s="14">
        <f>data!X79</f>
        <v>0</v>
      </c>
      <c r="D127" s="14">
        <f>data!Y79</f>
        <v>12385.004000000001</v>
      </c>
      <c r="E127" s="14">
        <f>data!Z79</f>
        <v>0</v>
      </c>
      <c r="F127" s="14">
        <f>data!AA79</f>
        <v>0</v>
      </c>
      <c r="G127" s="14">
        <f>data!AB79</f>
        <v>0</v>
      </c>
      <c r="H127" s="14">
        <f>data!AC79</f>
        <v>0</v>
      </c>
      <c r="I127" s="14">
        <f>data!AD79</f>
        <v>0</v>
      </c>
    </row>
    <row r="128" spans="1:9" ht="20.100000000000001" customHeight="1" x14ac:dyDescent="0.25">
      <c r="A128" s="23">
        <v>26</v>
      </c>
      <c r="B128" s="14" t="s">
        <v>252</v>
      </c>
      <c r="C128" s="26">
        <f>data!X80</f>
        <v>0</v>
      </c>
      <c r="D128" s="26">
        <f>data!Y80</f>
        <v>7.7117067307692313</v>
      </c>
      <c r="E128" s="26">
        <f>data!Z80</f>
        <v>0</v>
      </c>
      <c r="F128" s="26">
        <f>data!AA80</f>
        <v>0</v>
      </c>
      <c r="G128" s="26">
        <f>data!AB80</f>
        <v>2.008173076923077</v>
      </c>
      <c r="H128" s="26">
        <f>data!AC80</f>
        <v>0.66201923076923075</v>
      </c>
      <c r="I128" s="26">
        <f>data!AD80</f>
        <v>0</v>
      </c>
    </row>
    <row r="129" spans="1:9" ht="20.100000000000001" customHeight="1" x14ac:dyDescent="0.25">
      <c r="A129" s="4" t="s">
        <v>1173</v>
      </c>
      <c r="B129" s="5"/>
      <c r="C129" s="5"/>
      <c r="D129" s="6"/>
      <c r="E129" s="5"/>
      <c r="F129" s="5"/>
      <c r="G129" s="5"/>
      <c r="H129" s="5"/>
      <c r="I129" s="4"/>
    </row>
    <row r="130" spans="1:9" ht="20.100000000000001" customHeight="1" x14ac:dyDescent="0.25">
      <c r="A130" s="77"/>
      <c r="B130" s="77"/>
      <c r="C130" s="77"/>
      <c r="D130" s="45"/>
      <c r="E130" s="77"/>
      <c r="F130" s="77"/>
      <c r="G130" s="77"/>
      <c r="H130" s="77"/>
      <c r="I130" s="168" t="s">
        <v>1203</v>
      </c>
    </row>
    <row r="131" spans="1:9" ht="20.100000000000001" customHeight="1" x14ac:dyDescent="0.25">
      <c r="A131" s="45"/>
      <c r="B131" s="77"/>
      <c r="C131" s="77"/>
      <c r="D131" s="77"/>
      <c r="E131" s="77"/>
      <c r="F131" s="77"/>
      <c r="G131" s="77"/>
      <c r="H131" s="77"/>
      <c r="I131" s="77"/>
    </row>
    <row r="132" spans="1:9" ht="20.100000000000001" customHeight="1" x14ac:dyDescent="0.25">
      <c r="A132" s="79" t="str">
        <f>"HOSPITAL NAME: "&amp;data!C84</f>
        <v>HOSPITAL NAME: Lake Chelan Community Hospital</v>
      </c>
      <c r="B132" s="77"/>
      <c r="C132" s="77"/>
      <c r="D132" s="77"/>
      <c r="E132" s="77"/>
      <c r="F132" s="77"/>
      <c r="G132" s="80"/>
      <c r="H132" s="79" t="str">
        <f>"FYE: "&amp;data!C82</f>
        <v>FYE: 12/31/2019</v>
      </c>
    </row>
    <row r="133" spans="1:9" ht="20.100000000000001" customHeight="1" x14ac:dyDescent="0.25">
      <c r="A133" s="23">
        <v>1</v>
      </c>
      <c r="B133" s="14" t="s">
        <v>209</v>
      </c>
      <c r="C133" s="15" t="s">
        <v>38</v>
      </c>
      <c r="D133" s="15" t="s">
        <v>39</v>
      </c>
      <c r="E133" s="15" t="s">
        <v>40</v>
      </c>
      <c r="F133" s="15" t="s">
        <v>41</v>
      </c>
      <c r="G133" s="15" t="s">
        <v>42</v>
      </c>
      <c r="H133" s="15" t="s">
        <v>43</v>
      </c>
      <c r="I133" s="15" t="s">
        <v>44</v>
      </c>
    </row>
    <row r="134" spans="1:9" ht="20.100000000000001" customHeight="1" x14ac:dyDescent="0.25">
      <c r="A134" s="81">
        <v>2</v>
      </c>
      <c r="B134" s="17" t="s">
        <v>1175</v>
      </c>
      <c r="C134" s="18" t="s">
        <v>96</v>
      </c>
      <c r="D134" s="18" t="s">
        <v>97</v>
      </c>
      <c r="E134" s="18" t="s">
        <v>118</v>
      </c>
      <c r="F134" s="25"/>
      <c r="G134" s="18" t="s">
        <v>1204</v>
      </c>
      <c r="H134" s="25"/>
      <c r="I134" s="18" t="s">
        <v>122</v>
      </c>
    </row>
    <row r="135" spans="1:9" ht="20.100000000000001" customHeight="1" x14ac:dyDescent="0.25">
      <c r="A135" s="82"/>
      <c r="B135" s="83"/>
      <c r="C135" s="18" t="s">
        <v>172</v>
      </c>
      <c r="D135" s="18" t="s">
        <v>179</v>
      </c>
      <c r="E135" s="18" t="s">
        <v>171</v>
      </c>
      <c r="F135" s="18" t="s">
        <v>119</v>
      </c>
      <c r="G135" s="18" t="s">
        <v>180</v>
      </c>
      <c r="H135" s="18" t="s">
        <v>121</v>
      </c>
      <c r="I135" s="18" t="s">
        <v>172</v>
      </c>
    </row>
    <row r="136" spans="1:9" ht="20.100000000000001" customHeight="1" x14ac:dyDescent="0.25">
      <c r="A136" s="23">
        <v>3</v>
      </c>
      <c r="B136" s="14" t="s">
        <v>1179</v>
      </c>
      <c r="C136" s="15" t="s">
        <v>226</v>
      </c>
      <c r="D136" s="15" t="s">
        <v>228</v>
      </c>
      <c r="E136" s="15" t="s">
        <v>228</v>
      </c>
      <c r="F136" s="15" t="s">
        <v>229</v>
      </c>
      <c r="G136" s="89" t="s">
        <v>1205</v>
      </c>
      <c r="H136" s="15" t="s">
        <v>228</v>
      </c>
      <c r="I136" s="15" t="s">
        <v>226</v>
      </c>
    </row>
    <row r="137" spans="1:9" ht="20.100000000000001" customHeight="1" x14ac:dyDescent="0.25">
      <c r="A137" s="23">
        <v>4</v>
      </c>
      <c r="B137" s="14" t="s">
        <v>233</v>
      </c>
      <c r="C137" s="14">
        <f>data!AE59</f>
        <v>0</v>
      </c>
      <c r="D137" s="14">
        <f>data!AF59</f>
        <v>0</v>
      </c>
      <c r="E137" s="14">
        <f>data!AG59</f>
        <v>0</v>
      </c>
      <c r="F137" s="14">
        <f>data!AH59</f>
        <v>0</v>
      </c>
      <c r="G137" s="14">
        <f>data!AI59</f>
        <v>0</v>
      </c>
      <c r="H137" s="14">
        <f>data!AJ59</f>
        <v>0</v>
      </c>
      <c r="I137" s="14">
        <f>data!AK59</f>
        <v>0</v>
      </c>
    </row>
    <row r="138" spans="1:9" ht="20.100000000000001" customHeight="1" x14ac:dyDescent="0.25">
      <c r="A138" s="23">
        <v>5</v>
      </c>
      <c r="B138" s="14" t="s">
        <v>234</v>
      </c>
      <c r="C138" s="26">
        <f>data!AE60</f>
        <v>4.3839903846153847</v>
      </c>
      <c r="D138" s="26">
        <f>data!AF60</f>
        <v>0</v>
      </c>
      <c r="E138" s="26">
        <f>data!AG60</f>
        <v>11.545985576923076</v>
      </c>
      <c r="F138" s="26">
        <f>data!AH60</f>
        <v>23.256581730769231</v>
      </c>
      <c r="G138" s="26">
        <f>data!AI60</f>
        <v>0</v>
      </c>
      <c r="H138" s="26">
        <f>data!AJ60</f>
        <v>38.320307692307694</v>
      </c>
      <c r="I138" s="26">
        <f>data!AK60</f>
        <v>1.1252644230769231</v>
      </c>
    </row>
    <row r="139" spans="1:9" ht="20.100000000000001" customHeight="1" x14ac:dyDescent="0.25">
      <c r="A139" s="23">
        <v>6</v>
      </c>
      <c r="B139" s="14" t="s">
        <v>235</v>
      </c>
      <c r="C139" s="14">
        <f>data!AE61</f>
        <v>367491</v>
      </c>
      <c r="D139" s="14">
        <f>data!AF61</f>
        <v>0</v>
      </c>
      <c r="E139" s="14">
        <f>data!AG61</f>
        <v>1735777</v>
      </c>
      <c r="F139" s="14">
        <f>data!AH61</f>
        <v>420842</v>
      </c>
      <c r="G139" s="14">
        <f>data!AI61</f>
        <v>0</v>
      </c>
      <c r="H139" s="14">
        <f>data!AJ61</f>
        <v>4056442</v>
      </c>
      <c r="I139" s="14">
        <f>data!AK61</f>
        <v>100455</v>
      </c>
    </row>
    <row r="140" spans="1:9" ht="20.100000000000001" customHeight="1" x14ac:dyDescent="0.25">
      <c r="A140" s="23">
        <v>7</v>
      </c>
      <c r="B140" s="14" t="s">
        <v>3</v>
      </c>
      <c r="C140" s="14">
        <f>data!AE62</f>
        <v>74755</v>
      </c>
      <c r="D140" s="14">
        <f>data!AF62</f>
        <v>0</v>
      </c>
      <c r="E140" s="14">
        <f>data!AG62</f>
        <v>353091</v>
      </c>
      <c r="F140" s="14">
        <f>data!AH62</f>
        <v>85608</v>
      </c>
      <c r="G140" s="14">
        <f>data!AI62</f>
        <v>0</v>
      </c>
      <c r="H140" s="14">
        <f>data!AJ62</f>
        <v>825160</v>
      </c>
      <c r="I140" s="14">
        <f>data!AK62</f>
        <v>20435</v>
      </c>
    </row>
    <row r="141" spans="1:9" ht="20.100000000000001" customHeight="1" x14ac:dyDescent="0.25">
      <c r="A141" s="23">
        <v>8</v>
      </c>
      <c r="B141" s="14" t="s">
        <v>236</v>
      </c>
      <c r="C141" s="14">
        <f>data!AE63</f>
        <v>0</v>
      </c>
      <c r="D141" s="14">
        <f>data!AF63</f>
        <v>0</v>
      </c>
      <c r="E141" s="14">
        <f>data!AG63</f>
        <v>144764</v>
      </c>
      <c r="F141" s="14">
        <f>data!AH63</f>
        <v>0</v>
      </c>
      <c r="G141" s="14">
        <f>data!AI63</f>
        <v>0</v>
      </c>
      <c r="H141" s="14">
        <f>data!AJ63</f>
        <v>75071</v>
      </c>
      <c r="I141" s="14">
        <f>data!AK63</f>
        <v>0</v>
      </c>
    </row>
    <row r="142" spans="1:9" ht="20.100000000000001" customHeight="1" x14ac:dyDescent="0.25">
      <c r="A142" s="23">
        <v>9</v>
      </c>
      <c r="B142" s="14" t="s">
        <v>237</v>
      </c>
      <c r="C142" s="14">
        <f>data!AE64</f>
        <v>3727</v>
      </c>
      <c r="D142" s="14">
        <f>data!AF64</f>
        <v>0</v>
      </c>
      <c r="E142" s="14">
        <f>data!AG64</f>
        <v>39075</v>
      </c>
      <c r="F142" s="14">
        <f>data!AH64</f>
        <v>71418</v>
      </c>
      <c r="G142" s="14">
        <f>data!AI64</f>
        <v>0</v>
      </c>
      <c r="H142" s="14">
        <f>data!AJ64</f>
        <v>225062</v>
      </c>
      <c r="I142" s="14">
        <f>data!AK64</f>
        <v>846</v>
      </c>
    </row>
    <row r="143" spans="1:9" ht="20.100000000000001" customHeight="1" x14ac:dyDescent="0.25">
      <c r="A143" s="23">
        <v>10</v>
      </c>
      <c r="B143" s="14" t="s">
        <v>444</v>
      </c>
      <c r="C143" s="14">
        <f>data!AE65</f>
        <v>1246</v>
      </c>
      <c r="D143" s="14">
        <f>data!AF65</f>
        <v>0</v>
      </c>
      <c r="E143" s="14">
        <f>data!AG65</f>
        <v>1339</v>
      </c>
      <c r="F143" s="14">
        <f>data!AH65</f>
        <v>10853</v>
      </c>
      <c r="G143" s="14">
        <f>data!AI65</f>
        <v>0</v>
      </c>
      <c r="H143" s="14">
        <f>data!AJ65</f>
        <v>28533</v>
      </c>
      <c r="I143" s="14">
        <f>data!AK65</f>
        <v>0</v>
      </c>
    </row>
    <row r="144" spans="1:9" ht="20.100000000000001" customHeight="1" x14ac:dyDescent="0.25">
      <c r="A144" s="23">
        <v>11</v>
      </c>
      <c r="B144" s="14" t="s">
        <v>445</v>
      </c>
      <c r="C144" s="14">
        <f>data!AE66</f>
        <v>11</v>
      </c>
      <c r="D144" s="14">
        <f>data!AF66</f>
        <v>0</v>
      </c>
      <c r="E144" s="14">
        <f>data!AG66</f>
        <v>16939</v>
      </c>
      <c r="F144" s="14">
        <f>data!AH66</f>
        <v>95586</v>
      </c>
      <c r="G144" s="14">
        <f>data!AI66</f>
        <v>0</v>
      </c>
      <c r="H144" s="14">
        <f>data!AJ66</f>
        <v>356536</v>
      </c>
      <c r="I144" s="14">
        <f>data!AK66</f>
        <v>0</v>
      </c>
    </row>
    <row r="145" spans="1:9" ht="20.100000000000001" customHeight="1" x14ac:dyDescent="0.25">
      <c r="A145" s="23">
        <v>12</v>
      </c>
      <c r="B145" s="14" t="s">
        <v>6</v>
      </c>
      <c r="C145" s="14">
        <f>data!AE67</f>
        <v>9835</v>
      </c>
      <c r="D145" s="14">
        <f>data!AF67</f>
        <v>0</v>
      </c>
      <c r="E145" s="14">
        <f>data!AG67</f>
        <v>32321</v>
      </c>
      <c r="F145" s="14">
        <f>data!AH67</f>
        <v>36648</v>
      </c>
      <c r="G145" s="14">
        <f>data!AI67</f>
        <v>0</v>
      </c>
      <c r="H145" s="14">
        <f>data!AJ67</f>
        <v>46477</v>
      </c>
      <c r="I145" s="14">
        <f>data!AK67</f>
        <v>0</v>
      </c>
    </row>
    <row r="146" spans="1:9" ht="20.100000000000001" customHeight="1" x14ac:dyDescent="0.25">
      <c r="A146" s="23">
        <v>13</v>
      </c>
      <c r="B146" s="14" t="s">
        <v>474</v>
      </c>
      <c r="C146" s="14">
        <f>data!AE68</f>
        <v>1263</v>
      </c>
      <c r="D146" s="14">
        <f>data!AF68</f>
        <v>0</v>
      </c>
      <c r="E146" s="14">
        <f>data!AG68</f>
        <v>14045</v>
      </c>
      <c r="F146" s="14">
        <f>data!AH68</f>
        <v>4453</v>
      </c>
      <c r="G146" s="14">
        <f>data!AI68</f>
        <v>0</v>
      </c>
      <c r="H146" s="14">
        <f>data!AJ68</f>
        <v>205772</v>
      </c>
      <c r="I146" s="14">
        <f>data!AK68</f>
        <v>0</v>
      </c>
    </row>
    <row r="147" spans="1:9" ht="20.100000000000001" customHeight="1" x14ac:dyDescent="0.25">
      <c r="A147" s="23">
        <v>14</v>
      </c>
      <c r="B147" s="14" t="s">
        <v>241</v>
      </c>
      <c r="C147" s="14">
        <f>data!AE69</f>
        <v>7981</v>
      </c>
      <c r="D147" s="14">
        <f>data!AF69</f>
        <v>0</v>
      </c>
      <c r="E147" s="14">
        <f>data!AG69</f>
        <v>73670</v>
      </c>
      <c r="F147" s="14">
        <f>data!AH69</f>
        <v>49831</v>
      </c>
      <c r="G147" s="14">
        <f>data!AI69</f>
        <v>0</v>
      </c>
      <c r="H147" s="14">
        <f>data!AJ69</f>
        <v>121158</v>
      </c>
      <c r="I147" s="14">
        <f>data!AK69</f>
        <v>258</v>
      </c>
    </row>
    <row r="148" spans="1:9" ht="20.100000000000001" customHeight="1" x14ac:dyDescent="0.25">
      <c r="A148" s="23">
        <v>15</v>
      </c>
      <c r="B148" s="14" t="s">
        <v>242</v>
      </c>
      <c r="C148" s="14">
        <f>-data!AE70</f>
        <v>0</v>
      </c>
      <c r="D148" s="14">
        <f>-data!AF70</f>
        <v>0</v>
      </c>
      <c r="E148" s="14">
        <f>-data!AG70</f>
        <v>0</v>
      </c>
      <c r="F148" s="14">
        <f>-data!AH70</f>
        <v>-61662</v>
      </c>
      <c r="G148" s="14">
        <f>-data!AI70</f>
        <v>0</v>
      </c>
      <c r="H148" s="14">
        <f>-data!AJ70</f>
        <v>0</v>
      </c>
      <c r="I148" s="14">
        <f>-data!AK70</f>
        <v>0</v>
      </c>
    </row>
    <row r="149" spans="1:9" ht="20.100000000000001" customHeight="1" x14ac:dyDescent="0.25">
      <c r="A149" s="23">
        <v>16</v>
      </c>
      <c r="B149" s="48" t="s">
        <v>1180</v>
      </c>
      <c r="C149" s="14">
        <f>data!AE71</f>
        <v>466309</v>
      </c>
      <c r="D149" s="14">
        <f>data!AF71</f>
        <v>0</v>
      </c>
      <c r="E149" s="14">
        <f>data!AG71</f>
        <v>2411021</v>
      </c>
      <c r="F149" s="14">
        <f>data!AH71</f>
        <v>713577</v>
      </c>
      <c r="G149" s="14">
        <f>data!AI71</f>
        <v>0</v>
      </c>
      <c r="H149" s="14">
        <f>data!AJ71</f>
        <v>5940211</v>
      </c>
      <c r="I149" s="14">
        <f>data!AK71</f>
        <v>121994</v>
      </c>
    </row>
    <row r="150" spans="1:9" ht="20.100000000000001" customHeight="1" x14ac:dyDescent="0.25">
      <c r="A150" s="23">
        <v>17</v>
      </c>
      <c r="B150" s="14" t="s">
        <v>244</v>
      </c>
      <c r="C150" s="209"/>
      <c r="D150" s="209"/>
      <c r="E150" s="209"/>
      <c r="F150" s="209"/>
      <c r="G150" s="209"/>
      <c r="H150" s="209"/>
      <c r="I150" s="209"/>
    </row>
    <row r="151" spans="1:9" ht="20.100000000000001" customHeight="1" x14ac:dyDescent="0.25">
      <c r="A151" s="23">
        <v>18</v>
      </c>
      <c r="B151" s="14" t="s">
        <v>1181</v>
      </c>
      <c r="C151" s="48">
        <f>+data!M696</f>
        <v>250433</v>
      </c>
      <c r="D151" s="48">
        <f>+data!M697</f>
        <v>0</v>
      </c>
      <c r="E151" s="48">
        <f>+data!M698</f>
        <v>1020309</v>
      </c>
      <c r="F151" s="48">
        <f>+data!M699</f>
        <v>417469</v>
      </c>
      <c r="G151" s="48">
        <f>+data!M700</f>
        <v>0</v>
      </c>
      <c r="H151" s="48">
        <f>+data!M701</f>
        <v>1529355</v>
      </c>
      <c r="I151" s="48">
        <f>+data!M702</f>
        <v>43023</v>
      </c>
    </row>
    <row r="152" spans="1:9" ht="20.100000000000001" customHeight="1" x14ac:dyDescent="0.25">
      <c r="A152" s="23">
        <v>19</v>
      </c>
      <c r="B152" s="48" t="s">
        <v>1182</v>
      </c>
      <c r="C152" s="14">
        <f>data!AE73</f>
        <v>132889.09</v>
      </c>
      <c r="D152" s="14">
        <f>data!AF73</f>
        <v>0</v>
      </c>
      <c r="E152" s="14">
        <f>data!AG73</f>
        <v>50662.97</v>
      </c>
      <c r="F152" s="14">
        <f>data!AH73</f>
        <v>0</v>
      </c>
      <c r="G152" s="14">
        <f>data!AI73</f>
        <v>0</v>
      </c>
      <c r="H152" s="14">
        <f>data!AJ73</f>
        <v>236236.82</v>
      </c>
      <c r="I152" s="14">
        <f>data!AK73</f>
        <v>43968.2</v>
      </c>
    </row>
    <row r="153" spans="1:9" ht="20.100000000000001" customHeight="1" x14ac:dyDescent="0.25">
      <c r="A153" s="23">
        <v>20</v>
      </c>
      <c r="B153" s="48" t="s">
        <v>1183</v>
      </c>
      <c r="C153" s="14">
        <f>data!AE74</f>
        <v>914066.41</v>
      </c>
      <c r="D153" s="14">
        <f>data!AF74</f>
        <v>0</v>
      </c>
      <c r="E153" s="14">
        <f>data!AG74</f>
        <v>8069179.1699999999</v>
      </c>
      <c r="F153" s="14">
        <f>data!AH74</f>
        <v>2066063.9400000002</v>
      </c>
      <c r="G153" s="14">
        <f>data!AI74</f>
        <v>0</v>
      </c>
      <c r="H153" s="14">
        <f>data!AJ74</f>
        <v>264918.7</v>
      </c>
      <c r="I153" s="14">
        <f>data!AK74</f>
        <v>304405.40000000002</v>
      </c>
    </row>
    <row r="154" spans="1:9" ht="20.100000000000001" customHeight="1" x14ac:dyDescent="0.25">
      <c r="A154" s="23">
        <v>21</v>
      </c>
      <c r="B154" s="48" t="s">
        <v>1184</v>
      </c>
      <c r="C154" s="14">
        <f>data!AE75</f>
        <v>1046955.5</v>
      </c>
      <c r="D154" s="14">
        <f>data!AF75</f>
        <v>0</v>
      </c>
      <c r="E154" s="14">
        <f>data!AG75</f>
        <v>8119842.1399999997</v>
      </c>
      <c r="F154" s="14">
        <f>data!AH75</f>
        <v>2066063.9400000002</v>
      </c>
      <c r="G154" s="14">
        <f>data!AI75</f>
        <v>0</v>
      </c>
      <c r="H154" s="14">
        <f>data!AJ75</f>
        <v>501155.52</v>
      </c>
      <c r="I154" s="14">
        <f>data!AK75</f>
        <v>348373.60000000003</v>
      </c>
    </row>
    <row r="155" spans="1:9" ht="20.100000000000001" customHeight="1" x14ac:dyDescent="0.25">
      <c r="A155" s="23" t="s">
        <v>1185</v>
      </c>
      <c r="B155" s="60"/>
      <c r="C155" s="209"/>
      <c r="D155" s="209"/>
      <c r="E155" s="209"/>
      <c r="F155" s="209"/>
      <c r="G155" s="209"/>
      <c r="H155" s="209"/>
      <c r="I155" s="209"/>
    </row>
    <row r="156" spans="1:9" ht="20.100000000000001" customHeight="1" x14ac:dyDescent="0.25">
      <c r="A156" s="23">
        <v>22</v>
      </c>
      <c r="B156" s="14" t="s">
        <v>1186</v>
      </c>
      <c r="C156" s="14">
        <f>data!AE76</f>
        <v>1093</v>
      </c>
      <c r="D156" s="14">
        <f>data!AF76</f>
        <v>0</v>
      </c>
      <c r="E156" s="14">
        <f>data!AG76</f>
        <v>1425</v>
      </c>
      <c r="F156" s="14">
        <f>data!AH76</f>
        <v>1396</v>
      </c>
      <c r="G156" s="14">
        <f>data!AI76</f>
        <v>0</v>
      </c>
      <c r="H156" s="14">
        <f>data!AJ76</f>
        <v>631</v>
      </c>
      <c r="I156" s="14">
        <f>data!AK76</f>
        <v>0</v>
      </c>
    </row>
    <row r="157" spans="1:9" ht="20.100000000000001" customHeight="1" x14ac:dyDescent="0.25">
      <c r="A157" s="23">
        <v>23</v>
      </c>
      <c r="B157" s="14" t="s">
        <v>1187</v>
      </c>
      <c r="C157" s="14">
        <f>data!AE77</f>
        <v>0</v>
      </c>
      <c r="D157" s="14">
        <f>data!AF77</f>
        <v>0</v>
      </c>
      <c r="E157" s="14">
        <f>data!AG77</f>
        <v>0</v>
      </c>
      <c r="F157" s="14">
        <f>data!AH77</f>
        <v>0</v>
      </c>
      <c r="G157" s="14">
        <f>data!AI77</f>
        <v>0</v>
      </c>
      <c r="H157" s="14">
        <f>data!AJ77</f>
        <v>0</v>
      </c>
      <c r="I157" s="14">
        <f>data!AK77</f>
        <v>0</v>
      </c>
    </row>
    <row r="158" spans="1:9" ht="20.100000000000001" customHeight="1" x14ac:dyDescent="0.25">
      <c r="A158" s="23">
        <v>24</v>
      </c>
      <c r="B158" s="14" t="s">
        <v>1188</v>
      </c>
      <c r="C158" s="14">
        <f>data!AE78</f>
        <v>1093</v>
      </c>
      <c r="D158" s="14">
        <f>data!AF78</f>
        <v>0</v>
      </c>
      <c r="E158" s="14">
        <f>data!AG78</f>
        <v>1425</v>
      </c>
      <c r="F158" s="14">
        <f>data!AH78</f>
        <v>1396</v>
      </c>
      <c r="G158" s="14">
        <f>data!AI78</f>
        <v>0</v>
      </c>
      <c r="H158" s="14">
        <f>data!AJ78</f>
        <v>631</v>
      </c>
      <c r="I158" s="14">
        <f>data!AK78</f>
        <v>0</v>
      </c>
    </row>
    <row r="159" spans="1:9" ht="20.100000000000001" customHeight="1" x14ac:dyDescent="0.25">
      <c r="A159" s="23">
        <v>25</v>
      </c>
      <c r="B159" s="14" t="s">
        <v>1189</v>
      </c>
      <c r="C159" s="14">
        <f>data!AE79</f>
        <v>0</v>
      </c>
      <c r="D159" s="14">
        <f>data!AF79</f>
        <v>0</v>
      </c>
      <c r="E159" s="14">
        <f>data!AG79</f>
        <v>11689.2768</v>
      </c>
      <c r="F159" s="14">
        <f>data!AH79</f>
        <v>5071.7420000000002</v>
      </c>
      <c r="G159" s="14">
        <f>data!AI79</f>
        <v>0</v>
      </c>
      <c r="H159" s="14">
        <f>data!AJ79</f>
        <v>0</v>
      </c>
      <c r="I159" s="14">
        <f>data!AK79</f>
        <v>0</v>
      </c>
    </row>
    <row r="160" spans="1:9" ht="20.100000000000001" customHeight="1" x14ac:dyDescent="0.25">
      <c r="A160" s="23">
        <v>26</v>
      </c>
      <c r="B160" s="14" t="s">
        <v>252</v>
      </c>
      <c r="C160" s="26">
        <f>data!AE80</f>
        <v>4.3839903846153847</v>
      </c>
      <c r="D160" s="26">
        <f>data!AF80</f>
        <v>0</v>
      </c>
      <c r="E160" s="26">
        <f>data!AG80</f>
        <v>11.545985576923076</v>
      </c>
      <c r="F160" s="26">
        <f>data!AH80</f>
        <v>23.256581730769231</v>
      </c>
      <c r="G160" s="26">
        <f>data!AI80</f>
        <v>0</v>
      </c>
      <c r="H160" s="26">
        <f>data!AJ80</f>
        <v>38.320307692307694</v>
      </c>
      <c r="I160" s="26">
        <f>data!AK80</f>
        <v>1.1252644230769231</v>
      </c>
    </row>
    <row r="161" spans="1:9" ht="20.100000000000001" customHeight="1" x14ac:dyDescent="0.25">
      <c r="A161" s="4" t="s">
        <v>1173</v>
      </c>
      <c r="B161" s="5"/>
      <c r="C161" s="5"/>
      <c r="D161" s="6"/>
      <c r="E161" s="5"/>
      <c r="F161" s="5"/>
      <c r="G161" s="5"/>
      <c r="H161" s="5"/>
      <c r="I161" s="4"/>
    </row>
    <row r="162" spans="1:9" ht="20.100000000000001" customHeight="1" x14ac:dyDescent="0.25">
      <c r="A162" s="77"/>
      <c r="B162" s="77"/>
      <c r="C162" s="77"/>
      <c r="D162" s="45"/>
      <c r="E162" s="77"/>
      <c r="F162" s="77"/>
      <c r="G162" s="77"/>
      <c r="H162" s="77"/>
      <c r="I162" s="168" t="s">
        <v>1206</v>
      </c>
    </row>
    <row r="163" spans="1:9" ht="20.100000000000001" customHeight="1" x14ac:dyDescent="0.25">
      <c r="A163" s="45"/>
      <c r="B163" s="77"/>
      <c r="C163" s="77"/>
      <c r="D163" s="77"/>
      <c r="E163" s="77"/>
      <c r="F163" s="77"/>
      <c r="G163" s="77"/>
      <c r="H163" s="77"/>
      <c r="I163" s="77"/>
    </row>
    <row r="164" spans="1:9" ht="20.100000000000001" customHeight="1" x14ac:dyDescent="0.25">
      <c r="A164" s="79" t="str">
        <f>"HOSPITAL NAME: "&amp;data!C84</f>
        <v>HOSPITAL NAME: Lake Chelan Community Hospital</v>
      </c>
      <c r="B164" s="77"/>
      <c r="C164" s="77"/>
      <c r="D164" s="77"/>
      <c r="E164" s="77"/>
      <c r="F164" s="77"/>
      <c r="G164" s="80"/>
      <c r="H164" s="79" t="str">
        <f>"FYE: "&amp;data!C82</f>
        <v>FYE: 12/31/2019</v>
      </c>
    </row>
    <row r="165" spans="1:9" ht="20.100000000000001" customHeight="1" x14ac:dyDescent="0.25">
      <c r="A165" s="23">
        <v>1</v>
      </c>
      <c r="B165" s="14" t="s">
        <v>209</v>
      </c>
      <c r="C165" s="15" t="s">
        <v>45</v>
      </c>
      <c r="D165" s="15" t="s">
        <v>46</v>
      </c>
      <c r="E165" s="15" t="s">
        <v>47</v>
      </c>
      <c r="F165" s="15" t="s">
        <v>48</v>
      </c>
      <c r="G165" s="15" t="s">
        <v>49</v>
      </c>
      <c r="H165" s="15" t="s">
        <v>50</v>
      </c>
      <c r="I165" s="15" t="s">
        <v>51</v>
      </c>
    </row>
    <row r="166" spans="1:9" ht="20.100000000000001" customHeight="1" x14ac:dyDescent="0.25">
      <c r="A166" s="81">
        <v>2</v>
      </c>
      <c r="B166" s="17" t="s">
        <v>1175</v>
      </c>
      <c r="C166" s="18" t="s">
        <v>123</v>
      </c>
      <c r="D166" s="18" t="s">
        <v>124</v>
      </c>
      <c r="E166" s="18" t="s">
        <v>110</v>
      </c>
      <c r="F166" s="18" t="s">
        <v>125</v>
      </c>
      <c r="G166" s="18" t="s">
        <v>1207</v>
      </c>
      <c r="H166" s="18" t="s">
        <v>127</v>
      </c>
      <c r="I166" s="18" t="s">
        <v>128</v>
      </c>
    </row>
    <row r="167" spans="1:9" ht="20.100000000000001" customHeight="1" x14ac:dyDescent="0.25">
      <c r="A167" s="82"/>
      <c r="B167" s="83"/>
      <c r="C167" s="18" t="s">
        <v>172</v>
      </c>
      <c r="D167" s="18" t="s">
        <v>172</v>
      </c>
      <c r="E167" s="18" t="s">
        <v>1208</v>
      </c>
      <c r="F167" s="18" t="s">
        <v>182</v>
      </c>
      <c r="G167" s="18" t="s">
        <v>121</v>
      </c>
      <c r="H167" s="88" t="s">
        <v>1209</v>
      </c>
      <c r="I167" s="18" t="s">
        <v>169</v>
      </c>
    </row>
    <row r="168" spans="1:9" ht="20.100000000000001" customHeight="1" x14ac:dyDescent="0.25">
      <c r="A168" s="23">
        <v>3</v>
      </c>
      <c r="B168" s="14" t="s">
        <v>1179</v>
      </c>
      <c r="C168" s="15" t="s">
        <v>226</v>
      </c>
      <c r="D168" s="15" t="s">
        <v>226</v>
      </c>
      <c r="E168" s="15" t="s">
        <v>217</v>
      </c>
      <c r="F168" s="15" t="s">
        <v>227</v>
      </c>
      <c r="G168" s="15" t="s">
        <v>228</v>
      </c>
      <c r="H168" s="15" t="s">
        <v>229</v>
      </c>
      <c r="I168" s="15" t="s">
        <v>228</v>
      </c>
    </row>
    <row r="169" spans="1:9" ht="20.100000000000001" customHeight="1" x14ac:dyDescent="0.25">
      <c r="A169" s="23">
        <v>4</v>
      </c>
      <c r="B169" s="14" t="s">
        <v>233</v>
      </c>
      <c r="C169" s="14">
        <f>data!AL59</f>
        <v>0</v>
      </c>
      <c r="D169" s="14">
        <f>data!AM59</f>
        <v>0</v>
      </c>
      <c r="E169" s="14">
        <f>data!AN59</f>
        <v>0</v>
      </c>
      <c r="F169" s="14">
        <f>data!AO59</f>
        <v>0</v>
      </c>
      <c r="G169" s="14">
        <f>data!AP59</f>
        <v>0</v>
      </c>
      <c r="H169" s="14">
        <f>data!AQ59</f>
        <v>0</v>
      </c>
      <c r="I169" s="14">
        <f>data!AR59</f>
        <v>0</v>
      </c>
    </row>
    <row r="170" spans="1:9" ht="20.100000000000001" customHeight="1" x14ac:dyDescent="0.25">
      <c r="A170" s="23">
        <v>5</v>
      </c>
      <c r="B170" s="14" t="s">
        <v>234</v>
      </c>
      <c r="C170" s="26">
        <f>data!AL60</f>
        <v>0</v>
      </c>
      <c r="D170" s="26">
        <f>data!AM60</f>
        <v>0</v>
      </c>
      <c r="E170" s="26">
        <f>data!AN60</f>
        <v>0</v>
      </c>
      <c r="F170" s="26">
        <f>data!AO60</f>
        <v>0</v>
      </c>
      <c r="G170" s="26">
        <f>data!AP60</f>
        <v>0</v>
      </c>
      <c r="H170" s="26">
        <f>data!AQ60</f>
        <v>0</v>
      </c>
      <c r="I170" s="26">
        <f>data!AR60</f>
        <v>0</v>
      </c>
    </row>
    <row r="171" spans="1:9" ht="20.100000000000001" customHeight="1" x14ac:dyDescent="0.25">
      <c r="A171" s="23">
        <v>6</v>
      </c>
      <c r="B171" s="14" t="s">
        <v>235</v>
      </c>
      <c r="C171" s="14">
        <f>data!AL61</f>
        <v>0</v>
      </c>
      <c r="D171" s="14">
        <f>data!AM61</f>
        <v>0</v>
      </c>
      <c r="E171" s="14">
        <f>data!AN61</f>
        <v>0</v>
      </c>
      <c r="F171" s="14">
        <f>data!AO61</f>
        <v>0</v>
      </c>
      <c r="G171" s="14">
        <f>data!AP61</f>
        <v>0</v>
      </c>
      <c r="H171" s="14">
        <f>data!AQ61</f>
        <v>0</v>
      </c>
      <c r="I171" s="14">
        <f>data!AR61</f>
        <v>-2211</v>
      </c>
    </row>
    <row r="172" spans="1:9" ht="20.100000000000001" customHeight="1" x14ac:dyDescent="0.25">
      <c r="A172" s="23">
        <v>7</v>
      </c>
      <c r="B172" s="14" t="s">
        <v>3</v>
      </c>
      <c r="C172" s="14">
        <f>data!AL62</f>
        <v>0</v>
      </c>
      <c r="D172" s="14">
        <f>data!AM62</f>
        <v>0</v>
      </c>
      <c r="E172" s="14">
        <f>data!AN62</f>
        <v>0</v>
      </c>
      <c r="F172" s="14">
        <f>data!AO62</f>
        <v>0</v>
      </c>
      <c r="G172" s="14">
        <f>data!AP62</f>
        <v>0</v>
      </c>
      <c r="H172" s="14">
        <f>data!AQ62</f>
        <v>0</v>
      </c>
      <c r="I172" s="14">
        <f>data!AR62</f>
        <v>-450</v>
      </c>
    </row>
    <row r="173" spans="1:9" ht="20.100000000000001" customHeight="1" x14ac:dyDescent="0.25">
      <c r="A173" s="23">
        <v>8</v>
      </c>
      <c r="B173" s="14" t="s">
        <v>236</v>
      </c>
      <c r="C173" s="14">
        <f>data!AL63</f>
        <v>0</v>
      </c>
      <c r="D173" s="14">
        <f>data!AM63</f>
        <v>0</v>
      </c>
      <c r="E173" s="14">
        <f>data!AN63</f>
        <v>0</v>
      </c>
      <c r="F173" s="14">
        <f>data!AO63</f>
        <v>0</v>
      </c>
      <c r="G173" s="14">
        <f>data!AP63</f>
        <v>0</v>
      </c>
      <c r="H173" s="14">
        <f>data!AQ63</f>
        <v>0</v>
      </c>
      <c r="I173" s="14">
        <f>data!AR63</f>
        <v>0</v>
      </c>
    </row>
    <row r="174" spans="1:9" ht="20.100000000000001" customHeight="1" x14ac:dyDescent="0.25">
      <c r="A174" s="23">
        <v>9</v>
      </c>
      <c r="B174" s="14" t="s">
        <v>237</v>
      </c>
      <c r="C174" s="14">
        <f>data!AL64</f>
        <v>0</v>
      </c>
      <c r="D174" s="14">
        <f>data!AM64</f>
        <v>0</v>
      </c>
      <c r="E174" s="14">
        <f>data!AN64</f>
        <v>0</v>
      </c>
      <c r="F174" s="14">
        <f>data!AO64</f>
        <v>0</v>
      </c>
      <c r="G174" s="14">
        <f>data!AP64</f>
        <v>0</v>
      </c>
      <c r="H174" s="14">
        <f>data!AQ64</f>
        <v>0</v>
      </c>
      <c r="I174" s="14">
        <f>data!AR64</f>
        <v>877</v>
      </c>
    </row>
    <row r="175" spans="1:9" ht="20.100000000000001" customHeight="1" x14ac:dyDescent="0.25">
      <c r="A175" s="23">
        <v>10</v>
      </c>
      <c r="B175" s="14" t="s">
        <v>444</v>
      </c>
      <c r="C175" s="14">
        <f>data!AL65</f>
        <v>0</v>
      </c>
      <c r="D175" s="14">
        <f>data!AM65</f>
        <v>0</v>
      </c>
      <c r="E175" s="14">
        <f>data!AN65</f>
        <v>0</v>
      </c>
      <c r="F175" s="14">
        <f>data!AO65</f>
        <v>0</v>
      </c>
      <c r="G175" s="14">
        <f>data!AP65</f>
        <v>0</v>
      </c>
      <c r="H175" s="14">
        <f>data!AQ65</f>
        <v>0</v>
      </c>
      <c r="I175" s="14">
        <f>data!AR65</f>
        <v>0</v>
      </c>
    </row>
    <row r="176" spans="1:9" ht="20.100000000000001" customHeight="1" x14ac:dyDescent="0.25">
      <c r="A176" s="23">
        <v>11</v>
      </c>
      <c r="B176" s="14" t="s">
        <v>445</v>
      </c>
      <c r="C176" s="14">
        <f>data!AL66</f>
        <v>0</v>
      </c>
      <c r="D176" s="14">
        <f>data!AM66</f>
        <v>0</v>
      </c>
      <c r="E176" s="14">
        <f>data!AN66</f>
        <v>0</v>
      </c>
      <c r="F176" s="14">
        <f>data!AO66</f>
        <v>0</v>
      </c>
      <c r="G176" s="14">
        <f>data!AP66</f>
        <v>0</v>
      </c>
      <c r="H176" s="14">
        <f>data!AQ66</f>
        <v>0</v>
      </c>
      <c r="I176" s="14">
        <f>data!AR66</f>
        <v>0</v>
      </c>
    </row>
    <row r="177" spans="1:9" ht="20.100000000000001" customHeight="1" x14ac:dyDescent="0.25">
      <c r="A177" s="23">
        <v>12</v>
      </c>
      <c r="B177" s="14" t="s">
        <v>6</v>
      </c>
      <c r="C177" s="14">
        <f>data!AL67</f>
        <v>0</v>
      </c>
      <c r="D177" s="14">
        <f>data!AM67</f>
        <v>0</v>
      </c>
      <c r="E177" s="14">
        <f>data!AN67</f>
        <v>0</v>
      </c>
      <c r="F177" s="14">
        <f>data!AO67</f>
        <v>0</v>
      </c>
      <c r="G177" s="14">
        <f>data!AP67</f>
        <v>0</v>
      </c>
      <c r="H177" s="14">
        <f>data!AQ67</f>
        <v>0</v>
      </c>
      <c r="I177" s="14">
        <f>data!AR67</f>
        <v>0</v>
      </c>
    </row>
    <row r="178" spans="1:9" ht="20.100000000000001" customHeight="1" x14ac:dyDescent="0.25">
      <c r="A178" s="23">
        <v>13</v>
      </c>
      <c r="B178" s="14" t="s">
        <v>474</v>
      </c>
      <c r="C178" s="14">
        <f>data!AL68</f>
        <v>0</v>
      </c>
      <c r="D178" s="14">
        <f>data!AM68</f>
        <v>0</v>
      </c>
      <c r="E178" s="14">
        <f>data!AN68</f>
        <v>0</v>
      </c>
      <c r="F178" s="14">
        <f>data!AO68</f>
        <v>0</v>
      </c>
      <c r="G178" s="14">
        <f>data!AP68</f>
        <v>0</v>
      </c>
      <c r="H178" s="14">
        <f>data!AQ68</f>
        <v>0</v>
      </c>
      <c r="I178" s="14">
        <f>data!AR68</f>
        <v>0</v>
      </c>
    </row>
    <row r="179" spans="1:9" ht="20.100000000000001" customHeight="1" x14ac:dyDescent="0.25">
      <c r="A179" s="23">
        <v>14</v>
      </c>
      <c r="B179" s="14" t="s">
        <v>241</v>
      </c>
      <c r="C179" s="14">
        <f>data!AL69</f>
        <v>0</v>
      </c>
      <c r="D179" s="14">
        <f>data!AM69</f>
        <v>0</v>
      </c>
      <c r="E179" s="14">
        <f>data!AN69</f>
        <v>0</v>
      </c>
      <c r="F179" s="14">
        <f>data!AO69</f>
        <v>0</v>
      </c>
      <c r="G179" s="14">
        <f>data!AP69</f>
        <v>0</v>
      </c>
      <c r="H179" s="14">
        <f>data!AQ69</f>
        <v>0</v>
      </c>
      <c r="I179" s="14">
        <f>data!AR69</f>
        <v>0</v>
      </c>
    </row>
    <row r="180" spans="1:9" ht="20.100000000000001" customHeight="1" x14ac:dyDescent="0.25">
      <c r="A180" s="23">
        <v>15</v>
      </c>
      <c r="B180" s="14" t="s">
        <v>242</v>
      </c>
      <c r="C180" s="14">
        <f>-data!AL70</f>
        <v>0</v>
      </c>
      <c r="D180" s="14">
        <f>-data!AM70</f>
        <v>0</v>
      </c>
      <c r="E180" s="14">
        <f>-data!AN70</f>
        <v>0</v>
      </c>
      <c r="F180" s="14">
        <f>-data!AO70</f>
        <v>0</v>
      </c>
      <c r="G180" s="14">
        <f>-data!AP70</f>
        <v>0</v>
      </c>
      <c r="H180" s="14">
        <f>-data!AQ70</f>
        <v>0</v>
      </c>
      <c r="I180" s="14">
        <f>-data!AR70</f>
        <v>0</v>
      </c>
    </row>
    <row r="181" spans="1:9" ht="20.100000000000001" customHeight="1" x14ac:dyDescent="0.25">
      <c r="A181" s="23">
        <v>16</v>
      </c>
      <c r="B181" s="48" t="s">
        <v>1180</v>
      </c>
      <c r="C181" s="14">
        <f>data!AL71</f>
        <v>0</v>
      </c>
      <c r="D181" s="14">
        <f>data!AM71</f>
        <v>0</v>
      </c>
      <c r="E181" s="14">
        <f>data!AN71</f>
        <v>0</v>
      </c>
      <c r="F181" s="14">
        <f>data!AO71</f>
        <v>0</v>
      </c>
      <c r="G181" s="14">
        <f>data!AP71</f>
        <v>0</v>
      </c>
      <c r="H181" s="14">
        <f>data!AQ71</f>
        <v>0</v>
      </c>
      <c r="I181" s="14">
        <f>data!AR71</f>
        <v>-1784</v>
      </c>
    </row>
    <row r="182" spans="1:9" ht="20.100000000000001" customHeight="1" x14ac:dyDescent="0.25">
      <c r="A182" s="23">
        <v>17</v>
      </c>
      <c r="B182" s="14" t="s">
        <v>244</v>
      </c>
      <c r="C182" s="209"/>
      <c r="D182" s="209"/>
      <c r="E182" s="209"/>
      <c r="F182" s="209"/>
      <c r="G182" s="209"/>
      <c r="H182" s="209"/>
      <c r="I182" s="209"/>
    </row>
    <row r="183" spans="1:9" ht="20.100000000000001" customHeight="1" x14ac:dyDescent="0.25">
      <c r="A183" s="23">
        <v>18</v>
      </c>
      <c r="B183" s="14" t="s">
        <v>1181</v>
      </c>
      <c r="C183" s="48">
        <f>+data!M703</f>
        <v>0</v>
      </c>
      <c r="D183" s="48">
        <f>+data!M704</f>
        <v>0</v>
      </c>
      <c r="E183" s="48">
        <f>+data!M705</f>
        <v>0</v>
      </c>
      <c r="F183" s="48">
        <f>+data!M706</f>
        <v>9632</v>
      </c>
      <c r="G183" s="48">
        <f>+data!M707</f>
        <v>0</v>
      </c>
      <c r="H183" s="48">
        <f>+data!M708</f>
        <v>0</v>
      </c>
      <c r="I183" s="48">
        <f>+data!M709</f>
        <v>-415</v>
      </c>
    </row>
    <row r="184" spans="1:9" ht="20.100000000000001" customHeight="1" x14ac:dyDescent="0.25">
      <c r="A184" s="23">
        <v>19</v>
      </c>
      <c r="B184" s="48" t="s">
        <v>1182</v>
      </c>
      <c r="C184" s="14">
        <f>data!AL73</f>
        <v>0</v>
      </c>
      <c r="D184" s="14">
        <f>data!AM73</f>
        <v>0</v>
      </c>
      <c r="E184" s="14">
        <f>data!AN73</f>
        <v>0</v>
      </c>
      <c r="F184" s="14">
        <f>data!AO73</f>
        <v>0</v>
      </c>
      <c r="G184" s="14">
        <f>data!AP73</f>
        <v>0</v>
      </c>
      <c r="H184" s="14">
        <f>data!AQ73</f>
        <v>0</v>
      </c>
      <c r="I184" s="14">
        <f>data!AR73</f>
        <v>0</v>
      </c>
    </row>
    <row r="185" spans="1:9" ht="20.100000000000001" customHeight="1" x14ac:dyDescent="0.25">
      <c r="A185" s="23">
        <v>20</v>
      </c>
      <c r="B185" s="48" t="s">
        <v>1183</v>
      </c>
      <c r="C185" s="14">
        <f>data!AL74</f>
        <v>0</v>
      </c>
      <c r="D185" s="14">
        <f>data!AM74</f>
        <v>0</v>
      </c>
      <c r="E185" s="14">
        <f>data!AN74</f>
        <v>0</v>
      </c>
      <c r="F185" s="14">
        <f>data!AO74</f>
        <v>269390.59999999998</v>
      </c>
      <c r="G185" s="14">
        <f>data!AP74</f>
        <v>0</v>
      </c>
      <c r="H185" s="14">
        <f>data!AQ74</f>
        <v>0</v>
      </c>
      <c r="I185" s="14">
        <f>data!AR74</f>
        <v>0</v>
      </c>
    </row>
    <row r="186" spans="1:9" ht="20.100000000000001" customHeight="1" x14ac:dyDescent="0.25">
      <c r="A186" s="23">
        <v>21</v>
      </c>
      <c r="B186" s="48" t="s">
        <v>1184</v>
      </c>
      <c r="C186" s="14">
        <f>data!AL75</f>
        <v>0</v>
      </c>
      <c r="D186" s="14">
        <f>data!AM75</f>
        <v>0</v>
      </c>
      <c r="E186" s="14">
        <f>data!AN75</f>
        <v>0</v>
      </c>
      <c r="F186" s="14">
        <f>data!AO75</f>
        <v>269390.59999999998</v>
      </c>
      <c r="G186" s="14">
        <f>data!AP75</f>
        <v>0</v>
      </c>
      <c r="H186" s="14">
        <f>data!AQ75</f>
        <v>0</v>
      </c>
      <c r="I186" s="14">
        <f>data!AR75</f>
        <v>0</v>
      </c>
    </row>
    <row r="187" spans="1:9" ht="20.100000000000001" customHeight="1" x14ac:dyDescent="0.25">
      <c r="A187" s="23" t="s">
        <v>1185</v>
      </c>
      <c r="B187" s="60"/>
      <c r="C187" s="209"/>
      <c r="D187" s="209"/>
      <c r="E187" s="209"/>
      <c r="F187" s="209"/>
      <c r="G187" s="209"/>
      <c r="H187" s="209"/>
      <c r="I187" s="209"/>
    </row>
    <row r="188" spans="1:9" ht="20.100000000000001" customHeight="1" x14ac:dyDescent="0.25">
      <c r="A188" s="23">
        <v>22</v>
      </c>
      <c r="B188" s="14" t="s">
        <v>1186</v>
      </c>
      <c r="C188" s="14">
        <f>data!AL76</f>
        <v>0</v>
      </c>
      <c r="D188" s="14">
        <f>data!AM76</f>
        <v>0</v>
      </c>
      <c r="E188" s="14">
        <f>data!AN76</f>
        <v>0</v>
      </c>
      <c r="F188" s="14">
        <f>data!AO76</f>
        <v>0</v>
      </c>
      <c r="G188" s="14">
        <f>data!AP76</f>
        <v>0</v>
      </c>
      <c r="H188" s="14">
        <f>data!AQ76</f>
        <v>0</v>
      </c>
      <c r="I188" s="14">
        <f>data!AR76</f>
        <v>0</v>
      </c>
    </row>
    <row r="189" spans="1:9" ht="20.100000000000001" customHeight="1" x14ac:dyDescent="0.25">
      <c r="A189" s="23">
        <v>23</v>
      </c>
      <c r="B189" s="14" t="s">
        <v>1187</v>
      </c>
      <c r="C189" s="14">
        <f>data!AL77</f>
        <v>0</v>
      </c>
      <c r="D189" s="14">
        <f>data!AM77</f>
        <v>0</v>
      </c>
      <c r="E189" s="14">
        <f>data!AN77</f>
        <v>0</v>
      </c>
      <c r="F189" s="14">
        <f>data!AO77</f>
        <v>0</v>
      </c>
      <c r="G189" s="14">
        <f>data!AP77</f>
        <v>0</v>
      </c>
      <c r="H189" s="14">
        <f>data!AQ77</f>
        <v>0</v>
      </c>
      <c r="I189" s="14">
        <f>data!AR77</f>
        <v>0</v>
      </c>
    </row>
    <row r="190" spans="1:9" ht="20.100000000000001" customHeight="1" x14ac:dyDescent="0.25">
      <c r="A190" s="23">
        <v>24</v>
      </c>
      <c r="B190" s="14" t="s">
        <v>1188</v>
      </c>
      <c r="C190" s="14">
        <f>data!AL78</f>
        <v>0</v>
      </c>
      <c r="D190" s="14">
        <f>data!AM78</f>
        <v>0</v>
      </c>
      <c r="E190" s="14">
        <f>data!AN78</f>
        <v>0</v>
      </c>
      <c r="F190" s="14">
        <f>data!AO78</f>
        <v>0</v>
      </c>
      <c r="G190" s="14">
        <f>data!AP78</f>
        <v>0</v>
      </c>
      <c r="H190" s="14">
        <f>data!AQ78</f>
        <v>0</v>
      </c>
      <c r="I190" s="14">
        <f>data!AR78</f>
        <v>0</v>
      </c>
    </row>
    <row r="191" spans="1:9" ht="20.100000000000001" customHeight="1" x14ac:dyDescent="0.25">
      <c r="A191" s="23">
        <v>25</v>
      </c>
      <c r="B191" s="14" t="s">
        <v>1189</v>
      </c>
      <c r="C191" s="14">
        <f>data!AL79</f>
        <v>0</v>
      </c>
      <c r="D191" s="14">
        <f>data!AM79</f>
        <v>0</v>
      </c>
      <c r="E191" s="14">
        <f>data!AN79</f>
        <v>0</v>
      </c>
      <c r="F191" s="14">
        <f>data!AO79</f>
        <v>0</v>
      </c>
      <c r="G191" s="14">
        <f>data!AP79</f>
        <v>0</v>
      </c>
      <c r="H191" s="14">
        <f>data!AQ79</f>
        <v>0</v>
      </c>
      <c r="I191" s="14">
        <f>data!AR79</f>
        <v>0</v>
      </c>
    </row>
    <row r="192" spans="1:9" ht="20.100000000000001" customHeight="1" x14ac:dyDescent="0.25">
      <c r="A192" s="23">
        <v>26</v>
      </c>
      <c r="B192" s="14" t="s">
        <v>252</v>
      </c>
      <c r="C192" s="26">
        <f>data!AL80</f>
        <v>0</v>
      </c>
      <c r="D192" s="26">
        <f>data!AM80</f>
        <v>0</v>
      </c>
      <c r="E192" s="26">
        <f>data!AN80</f>
        <v>0</v>
      </c>
      <c r="F192" s="26">
        <f>data!AO80</f>
        <v>0</v>
      </c>
      <c r="G192" s="26">
        <f>data!AP80</f>
        <v>0</v>
      </c>
      <c r="H192" s="26">
        <f>data!AQ80</f>
        <v>0</v>
      </c>
      <c r="I192" s="26">
        <f>data!AR80</f>
        <v>0</v>
      </c>
    </row>
    <row r="193" spans="1:9" ht="20.100000000000001" customHeight="1" x14ac:dyDescent="0.25">
      <c r="A193" s="4" t="s">
        <v>1173</v>
      </c>
      <c r="B193" s="5"/>
      <c r="C193" s="5"/>
      <c r="D193" s="6"/>
      <c r="E193" s="5"/>
      <c r="F193" s="5"/>
      <c r="G193" s="5"/>
      <c r="H193" s="5"/>
      <c r="I193" s="4"/>
    </row>
    <row r="194" spans="1:9" ht="20.100000000000001" customHeight="1" x14ac:dyDescent="0.25">
      <c r="A194" s="77"/>
      <c r="B194" s="77"/>
      <c r="C194" s="77"/>
      <c r="D194" s="45"/>
      <c r="E194" s="77"/>
      <c r="F194" s="77"/>
      <c r="G194" s="77"/>
      <c r="H194" s="77"/>
      <c r="I194" s="168" t="s">
        <v>1210</v>
      </c>
    </row>
    <row r="195" spans="1:9" ht="20.100000000000001" customHeight="1" x14ac:dyDescent="0.25">
      <c r="A195" s="45"/>
      <c r="B195" s="77"/>
      <c r="C195" s="77"/>
      <c r="D195" s="77"/>
      <c r="E195" s="77"/>
      <c r="F195" s="77"/>
      <c r="G195" s="77"/>
      <c r="H195" s="77"/>
      <c r="I195" s="77"/>
    </row>
    <row r="196" spans="1:9" ht="20.100000000000001" customHeight="1" x14ac:dyDescent="0.25">
      <c r="A196" s="79" t="str">
        <f>"HOSPITAL NAME: "&amp;data!C84</f>
        <v>HOSPITAL NAME: Lake Chelan Community Hospital</v>
      </c>
      <c r="B196" s="77"/>
      <c r="C196" s="77"/>
      <c r="D196" s="77"/>
      <c r="E196" s="77"/>
      <c r="F196" s="77"/>
      <c r="G196" s="80"/>
      <c r="H196" s="79" t="str">
        <f>"FYE: "&amp;data!C82</f>
        <v>FYE: 12/31/2019</v>
      </c>
    </row>
    <row r="197" spans="1:9" ht="20.100000000000001" customHeight="1" x14ac:dyDescent="0.25">
      <c r="A197" s="23">
        <v>1</v>
      </c>
      <c r="B197" s="14" t="s">
        <v>209</v>
      </c>
      <c r="C197" s="15" t="s">
        <v>52</v>
      </c>
      <c r="D197" s="15" t="s">
        <v>53</v>
      </c>
      <c r="E197" s="15" t="s">
        <v>54</v>
      </c>
      <c r="F197" s="15" t="s">
        <v>55</v>
      </c>
      <c r="G197" s="15" t="s">
        <v>56</v>
      </c>
      <c r="H197" s="15" t="s">
        <v>57</v>
      </c>
      <c r="I197" s="15" t="s">
        <v>58</v>
      </c>
    </row>
    <row r="198" spans="1:9" ht="20.100000000000001" customHeight="1" x14ac:dyDescent="0.25">
      <c r="A198" s="81">
        <v>2</v>
      </c>
      <c r="B198" s="17" t="s">
        <v>1175</v>
      </c>
      <c r="C198" s="25"/>
      <c r="D198" s="18" t="s">
        <v>130</v>
      </c>
      <c r="E198" s="18" t="s">
        <v>131</v>
      </c>
      <c r="F198" s="18" t="s">
        <v>132</v>
      </c>
      <c r="G198" s="18" t="s">
        <v>1211</v>
      </c>
      <c r="H198" s="18" t="s">
        <v>134</v>
      </c>
      <c r="I198" s="25"/>
    </row>
    <row r="199" spans="1:9" ht="20.100000000000001" customHeight="1" x14ac:dyDescent="0.25">
      <c r="A199" s="82"/>
      <c r="B199" s="83"/>
      <c r="C199" s="18" t="s">
        <v>129</v>
      </c>
      <c r="D199" s="18" t="s">
        <v>1212</v>
      </c>
      <c r="E199" s="18" t="s">
        <v>1213</v>
      </c>
      <c r="F199" s="18" t="s">
        <v>186</v>
      </c>
      <c r="G199" s="18" t="s">
        <v>201</v>
      </c>
      <c r="H199" s="18" t="s">
        <v>188</v>
      </c>
      <c r="I199" s="18" t="s">
        <v>135</v>
      </c>
    </row>
    <row r="200" spans="1:9" ht="20.100000000000001" customHeight="1" x14ac:dyDescent="0.25">
      <c r="A200" s="23">
        <v>3</v>
      </c>
      <c r="B200" s="14" t="s">
        <v>1179</v>
      </c>
      <c r="C200" s="15" t="s">
        <v>226</v>
      </c>
      <c r="D200" s="15" t="s">
        <v>1212</v>
      </c>
      <c r="E200" s="15" t="s">
        <v>228</v>
      </c>
      <c r="F200" s="210"/>
      <c r="G200" s="210"/>
      <c r="H200" s="210"/>
      <c r="I200" s="15" t="s">
        <v>231</v>
      </c>
    </row>
    <row r="201" spans="1:9" ht="20.100000000000001" customHeight="1" x14ac:dyDescent="0.25">
      <c r="A201" s="23">
        <v>4</v>
      </c>
      <c r="B201" s="14" t="s">
        <v>233</v>
      </c>
      <c r="C201" s="14">
        <f>data!AS59</f>
        <v>0</v>
      </c>
      <c r="D201" s="14">
        <f>data!AT59</f>
        <v>0</v>
      </c>
      <c r="E201" s="14">
        <f>data!AU59</f>
        <v>0</v>
      </c>
      <c r="F201" s="210"/>
      <c r="G201" s="210"/>
      <c r="H201" s="210"/>
      <c r="I201" s="14">
        <f>data!AY59</f>
        <v>15098</v>
      </c>
    </row>
    <row r="202" spans="1:9" ht="20.100000000000001" customHeight="1" x14ac:dyDescent="0.25">
      <c r="A202" s="23">
        <v>5</v>
      </c>
      <c r="B202" s="14" t="s">
        <v>234</v>
      </c>
      <c r="C202" s="26">
        <f>data!AS60</f>
        <v>0</v>
      </c>
      <c r="D202" s="26">
        <f>data!AT60</f>
        <v>0</v>
      </c>
      <c r="E202" s="26">
        <f>data!AU60</f>
        <v>0</v>
      </c>
      <c r="F202" s="26">
        <f>data!AV60</f>
        <v>0</v>
      </c>
      <c r="G202" s="26">
        <f>data!AW60</f>
        <v>0</v>
      </c>
      <c r="H202" s="26">
        <f>data!AX60</f>
        <v>0</v>
      </c>
      <c r="I202" s="26">
        <f>data!AY60</f>
        <v>8.2565817307692306</v>
      </c>
    </row>
    <row r="203" spans="1:9" ht="20.100000000000001" customHeight="1" x14ac:dyDescent="0.25">
      <c r="A203" s="23">
        <v>6</v>
      </c>
      <c r="B203" s="14" t="s">
        <v>235</v>
      </c>
      <c r="C203" s="14">
        <f>data!AS61</f>
        <v>0</v>
      </c>
      <c r="D203" s="14">
        <f>data!AT61</f>
        <v>0</v>
      </c>
      <c r="E203" s="14">
        <f>data!AU61</f>
        <v>0</v>
      </c>
      <c r="F203" s="14">
        <f>data!AV61</f>
        <v>0</v>
      </c>
      <c r="G203" s="14">
        <f>data!AW61</f>
        <v>0</v>
      </c>
      <c r="H203" s="14">
        <f>data!AX61</f>
        <v>0</v>
      </c>
      <c r="I203" s="14">
        <f>data!AY61</f>
        <v>337639</v>
      </c>
    </row>
    <row r="204" spans="1:9" ht="20.100000000000001" customHeight="1" x14ac:dyDescent="0.25">
      <c r="A204" s="23">
        <v>7</v>
      </c>
      <c r="B204" s="14" t="s">
        <v>3</v>
      </c>
      <c r="C204" s="14">
        <f>data!AS62</f>
        <v>0</v>
      </c>
      <c r="D204" s="14">
        <f>data!AT62</f>
        <v>0</v>
      </c>
      <c r="E204" s="14">
        <f>data!AU62</f>
        <v>0</v>
      </c>
      <c r="F204" s="14">
        <f>data!AV62</f>
        <v>0</v>
      </c>
      <c r="G204" s="14">
        <f>data!AW62</f>
        <v>0</v>
      </c>
      <c r="H204" s="14">
        <f>data!AX62</f>
        <v>0</v>
      </c>
      <c r="I204" s="14">
        <f>data!AY62</f>
        <v>68682</v>
      </c>
    </row>
    <row r="205" spans="1:9" ht="20.100000000000001" customHeight="1" x14ac:dyDescent="0.25">
      <c r="A205" s="23">
        <v>8</v>
      </c>
      <c r="B205" s="14" t="s">
        <v>236</v>
      </c>
      <c r="C205" s="14">
        <f>data!AS63</f>
        <v>0</v>
      </c>
      <c r="D205" s="14">
        <f>data!AT63</f>
        <v>0</v>
      </c>
      <c r="E205" s="14">
        <f>data!AU63</f>
        <v>0</v>
      </c>
      <c r="F205" s="14">
        <f>data!AV63</f>
        <v>0</v>
      </c>
      <c r="G205" s="14">
        <f>data!AW63</f>
        <v>0</v>
      </c>
      <c r="H205" s="14">
        <f>data!AX63</f>
        <v>0</v>
      </c>
      <c r="I205" s="14">
        <f>data!AY63</f>
        <v>0</v>
      </c>
    </row>
    <row r="206" spans="1:9" ht="20.100000000000001" customHeight="1" x14ac:dyDescent="0.25">
      <c r="A206" s="23">
        <v>9</v>
      </c>
      <c r="B206" s="14" t="s">
        <v>237</v>
      </c>
      <c r="C206" s="14">
        <f>data!AS64</f>
        <v>0</v>
      </c>
      <c r="D206" s="14">
        <f>data!AT64</f>
        <v>0</v>
      </c>
      <c r="E206" s="14">
        <f>data!AU64</f>
        <v>0</v>
      </c>
      <c r="F206" s="14">
        <f>data!AV64</f>
        <v>0</v>
      </c>
      <c r="G206" s="14">
        <f>data!AW64</f>
        <v>0</v>
      </c>
      <c r="H206" s="14">
        <f>data!AX64</f>
        <v>0</v>
      </c>
      <c r="I206" s="14">
        <f>data!AY64</f>
        <v>227162</v>
      </c>
    </row>
    <row r="207" spans="1:9" ht="20.100000000000001" customHeight="1" x14ac:dyDescent="0.25">
      <c r="A207" s="23">
        <v>10</v>
      </c>
      <c r="B207" s="14" t="s">
        <v>444</v>
      </c>
      <c r="C207" s="14">
        <f>data!AS65</f>
        <v>0</v>
      </c>
      <c r="D207" s="14">
        <f>data!AT65</f>
        <v>0</v>
      </c>
      <c r="E207" s="14">
        <f>data!AU65</f>
        <v>0</v>
      </c>
      <c r="F207" s="14">
        <f>data!AV65</f>
        <v>0</v>
      </c>
      <c r="G207" s="14">
        <f>data!AW65</f>
        <v>0</v>
      </c>
      <c r="H207" s="14">
        <f>data!AX65</f>
        <v>0</v>
      </c>
      <c r="I207" s="14">
        <f>data!AY65</f>
        <v>0</v>
      </c>
    </row>
    <row r="208" spans="1:9" ht="20.100000000000001" customHeight="1" x14ac:dyDescent="0.25">
      <c r="A208" s="23">
        <v>11</v>
      </c>
      <c r="B208" s="14" t="s">
        <v>445</v>
      </c>
      <c r="C208" s="14">
        <f>data!AS66</f>
        <v>0</v>
      </c>
      <c r="D208" s="14">
        <f>data!AT66</f>
        <v>0</v>
      </c>
      <c r="E208" s="14">
        <f>data!AU66</f>
        <v>0</v>
      </c>
      <c r="F208" s="14">
        <f>data!AV66</f>
        <v>0</v>
      </c>
      <c r="G208" s="14">
        <f>data!AW66</f>
        <v>0</v>
      </c>
      <c r="H208" s="14">
        <f>data!AX66</f>
        <v>0</v>
      </c>
      <c r="I208" s="14">
        <f>data!AY66</f>
        <v>5815</v>
      </c>
    </row>
    <row r="209" spans="1:9" ht="20.100000000000001" customHeight="1" x14ac:dyDescent="0.25">
      <c r="A209" s="23">
        <v>12</v>
      </c>
      <c r="B209" s="14" t="s">
        <v>6</v>
      </c>
      <c r="C209" s="14">
        <f>data!AS67</f>
        <v>0</v>
      </c>
      <c r="D209" s="14">
        <f>data!AT67</f>
        <v>0</v>
      </c>
      <c r="E209" s="14">
        <f>data!AU67</f>
        <v>0</v>
      </c>
      <c r="F209" s="14">
        <f>data!AV67</f>
        <v>1250</v>
      </c>
      <c r="G209" s="14">
        <f>data!AW67</f>
        <v>0</v>
      </c>
      <c r="H209" s="14">
        <f>data!AX67</f>
        <v>0</v>
      </c>
      <c r="I209" s="14">
        <f>data!AY67</f>
        <v>11412</v>
      </c>
    </row>
    <row r="210" spans="1:9" ht="20.100000000000001" customHeight="1" x14ac:dyDescent="0.25">
      <c r="A210" s="23">
        <v>13</v>
      </c>
      <c r="B210" s="14" t="s">
        <v>474</v>
      </c>
      <c r="C210" s="14">
        <f>data!AS68</f>
        <v>0</v>
      </c>
      <c r="D210" s="14">
        <f>data!AT68</f>
        <v>0</v>
      </c>
      <c r="E210" s="14">
        <f>data!AU68</f>
        <v>0</v>
      </c>
      <c r="F210" s="14">
        <f>data!AV68</f>
        <v>0</v>
      </c>
      <c r="G210" s="14">
        <f>data!AW68</f>
        <v>0</v>
      </c>
      <c r="H210" s="14">
        <f>data!AX68</f>
        <v>0</v>
      </c>
      <c r="I210" s="14">
        <f>data!AY68</f>
        <v>1047</v>
      </c>
    </row>
    <row r="211" spans="1:9" ht="20.100000000000001" customHeight="1" x14ac:dyDescent="0.25">
      <c r="A211" s="23">
        <v>14</v>
      </c>
      <c r="B211" s="14" t="s">
        <v>241</v>
      </c>
      <c r="C211" s="14">
        <f>data!AS69</f>
        <v>0</v>
      </c>
      <c r="D211" s="14">
        <f>data!AT69</f>
        <v>0</v>
      </c>
      <c r="E211" s="14">
        <f>data!AU69</f>
        <v>0</v>
      </c>
      <c r="F211" s="14">
        <f>data!AV69</f>
        <v>0</v>
      </c>
      <c r="G211" s="14">
        <f>data!AW69</f>
        <v>0</v>
      </c>
      <c r="H211" s="14">
        <f>data!AX69</f>
        <v>0</v>
      </c>
      <c r="I211" s="14">
        <f>data!AY69</f>
        <v>4431</v>
      </c>
    </row>
    <row r="212" spans="1:9" ht="20.100000000000001" customHeight="1" x14ac:dyDescent="0.25">
      <c r="A212" s="23">
        <v>15</v>
      </c>
      <c r="B212" s="14" t="s">
        <v>242</v>
      </c>
      <c r="C212" s="14">
        <f>-data!AS70</f>
        <v>0</v>
      </c>
      <c r="D212" s="14">
        <f>-data!AT70</f>
        <v>0</v>
      </c>
      <c r="E212" s="14">
        <f>-data!AU70</f>
        <v>0</v>
      </c>
      <c r="F212" s="14">
        <f>-data!AV70</f>
        <v>0</v>
      </c>
      <c r="G212" s="14">
        <f>-data!AW70</f>
        <v>0</v>
      </c>
      <c r="H212" s="14">
        <f>-data!AX70</f>
        <v>0</v>
      </c>
      <c r="I212" s="14">
        <f>-data!AY70</f>
        <v>-116770</v>
      </c>
    </row>
    <row r="213" spans="1:9" ht="20.100000000000001" customHeight="1" x14ac:dyDescent="0.25">
      <c r="A213" s="23">
        <v>16</v>
      </c>
      <c r="B213" s="48" t="s">
        <v>1180</v>
      </c>
      <c r="C213" s="14">
        <f>data!AS71</f>
        <v>0</v>
      </c>
      <c r="D213" s="14">
        <f>data!AT71</f>
        <v>0</v>
      </c>
      <c r="E213" s="14">
        <f>data!AU71</f>
        <v>0</v>
      </c>
      <c r="F213" s="14">
        <f>data!AV71</f>
        <v>1250</v>
      </c>
      <c r="G213" s="14">
        <f>data!AW71</f>
        <v>0</v>
      </c>
      <c r="H213" s="14">
        <f>data!AX71</f>
        <v>0</v>
      </c>
      <c r="I213" s="14">
        <f>data!AY71</f>
        <v>539418</v>
      </c>
    </row>
    <row r="214" spans="1:9" ht="20.100000000000001" customHeight="1" x14ac:dyDescent="0.25">
      <c r="A214" s="23">
        <v>17</v>
      </c>
      <c r="B214" s="14" t="s">
        <v>244</v>
      </c>
      <c r="C214" s="209"/>
      <c r="D214" s="209"/>
      <c r="E214" s="209"/>
      <c r="F214" s="209"/>
      <c r="G214" s="209"/>
      <c r="H214" s="209"/>
      <c r="I214" s="209"/>
    </row>
    <row r="215" spans="1:9" ht="20.100000000000001" customHeight="1" x14ac:dyDescent="0.25">
      <c r="A215" s="23">
        <v>18</v>
      </c>
      <c r="B215" s="14" t="s">
        <v>1181</v>
      </c>
      <c r="C215" s="48">
        <f>+data!M710</f>
        <v>0</v>
      </c>
      <c r="D215" s="48">
        <f>+data!M711</f>
        <v>0</v>
      </c>
      <c r="E215" s="48">
        <f>+data!M712</f>
        <v>0</v>
      </c>
      <c r="F215" s="48">
        <f>+data!M713</f>
        <v>291</v>
      </c>
      <c r="G215" s="22"/>
      <c r="H215" s="14"/>
      <c r="I215" s="14"/>
    </row>
    <row r="216" spans="1:9" ht="20.100000000000001" customHeight="1" x14ac:dyDescent="0.25">
      <c r="A216" s="23">
        <v>19</v>
      </c>
      <c r="B216" s="48" t="s">
        <v>1182</v>
      </c>
      <c r="C216" s="14">
        <f>data!AS73</f>
        <v>0</v>
      </c>
      <c r="D216" s="14">
        <f>data!AT73</f>
        <v>0</v>
      </c>
      <c r="E216" s="14">
        <f>data!AU73</f>
        <v>0</v>
      </c>
      <c r="F216" s="14">
        <f>data!AV73</f>
        <v>0</v>
      </c>
      <c r="G216" s="211" t="str">
        <f>IF(data!AW73&gt;0,data!AW73,"")</f>
        <v>x</v>
      </c>
      <c r="H216" s="211" t="str">
        <f>IF(data!AX73&gt;0,data!AX73,"")</f>
        <v>x</v>
      </c>
      <c r="I216" s="211" t="str">
        <f>IF(data!AY73&gt;0,data!AY73,"")</f>
        <v>x</v>
      </c>
    </row>
    <row r="217" spans="1:9" ht="20.100000000000001" customHeight="1" x14ac:dyDescent="0.25">
      <c r="A217" s="23">
        <v>20</v>
      </c>
      <c r="B217" s="48" t="s">
        <v>1183</v>
      </c>
      <c r="C217" s="14">
        <f>data!AS74</f>
        <v>0</v>
      </c>
      <c r="D217" s="14">
        <f>data!AT74</f>
        <v>0</v>
      </c>
      <c r="E217" s="14">
        <f>data!AU74</f>
        <v>0</v>
      </c>
      <c r="F217" s="14">
        <f>data!AV74</f>
        <v>0</v>
      </c>
      <c r="G217" s="211" t="str">
        <f>IF(data!AW74&gt;0,data!AW74,"")</f>
        <v>x</v>
      </c>
      <c r="H217" s="211" t="str">
        <f>IF(data!AX74&gt;0,data!AX74,"")</f>
        <v>x</v>
      </c>
      <c r="I217" s="211" t="str">
        <f>IF(data!AY74&gt;0,data!AY74,"")</f>
        <v>x</v>
      </c>
    </row>
    <row r="218" spans="1:9" ht="20.100000000000001" customHeight="1" x14ac:dyDescent="0.25">
      <c r="A218" s="23">
        <v>21</v>
      </c>
      <c r="B218" s="48" t="s">
        <v>1184</v>
      </c>
      <c r="C218" s="14">
        <f>data!AS75</f>
        <v>0</v>
      </c>
      <c r="D218" s="14">
        <f>data!AT75</f>
        <v>0</v>
      </c>
      <c r="E218" s="14">
        <f>data!AU75</f>
        <v>0</v>
      </c>
      <c r="F218" s="14">
        <f>data!AV75</f>
        <v>0</v>
      </c>
      <c r="G218" s="211" t="str">
        <f>IF(data!AW75&gt;0,data!AW75,"")</f>
        <v>x</v>
      </c>
      <c r="H218" s="211" t="str">
        <f>IF(data!AX75&gt;0,data!AX75,"")</f>
        <v>x</v>
      </c>
      <c r="I218" s="211" t="str">
        <f>IF(data!AY75&gt;0,data!AY75,"")</f>
        <v>x</v>
      </c>
    </row>
    <row r="219" spans="1:9" ht="20.100000000000001" customHeight="1" x14ac:dyDescent="0.25">
      <c r="A219" s="23" t="s">
        <v>1185</v>
      </c>
      <c r="B219" s="60"/>
      <c r="C219" s="209"/>
      <c r="D219" s="209"/>
      <c r="E219" s="209"/>
      <c r="F219" s="209"/>
      <c r="G219" s="209"/>
      <c r="H219" s="209"/>
      <c r="I219" s="209"/>
    </row>
    <row r="220" spans="1:9" ht="20.100000000000001" customHeight="1" x14ac:dyDescent="0.25">
      <c r="A220" s="23">
        <v>22</v>
      </c>
      <c r="B220" s="14" t="s">
        <v>1186</v>
      </c>
      <c r="C220" s="14">
        <f>data!AS76</f>
        <v>0</v>
      </c>
      <c r="D220" s="14">
        <f>data!AT76</f>
        <v>0</v>
      </c>
      <c r="E220" s="14">
        <f>data!AU76</f>
        <v>0</v>
      </c>
      <c r="F220" s="14">
        <f>data!AV76</f>
        <v>0</v>
      </c>
      <c r="G220" s="14">
        <f>data!AW76</f>
        <v>0</v>
      </c>
      <c r="H220" s="14">
        <f>data!AX76</f>
        <v>0</v>
      </c>
      <c r="I220" s="85">
        <f>data!AY76</f>
        <v>1117</v>
      </c>
    </row>
    <row r="221" spans="1:9" ht="20.100000000000001" customHeight="1" x14ac:dyDescent="0.25">
      <c r="A221" s="23">
        <v>23</v>
      </c>
      <c r="B221" s="14" t="s">
        <v>1187</v>
      </c>
      <c r="C221" s="14">
        <f>data!AS77</f>
        <v>0</v>
      </c>
      <c r="D221" s="14">
        <f>data!AT77</f>
        <v>0</v>
      </c>
      <c r="E221" s="14">
        <f>data!AU77</f>
        <v>0</v>
      </c>
      <c r="F221" s="14">
        <f>data!AV77</f>
        <v>0</v>
      </c>
      <c r="G221" s="14">
        <f>data!AW77</f>
        <v>0</v>
      </c>
      <c r="H221" s="211" t="str">
        <f>IF(data!AX77&gt;0,data!AX77,"")</f>
        <v>x</v>
      </c>
      <c r="I221" s="211" t="str">
        <f>IF(data!AY77&gt;0,data!AY77,"")</f>
        <v>x</v>
      </c>
    </row>
    <row r="222" spans="1:9" ht="20.100000000000001" customHeight="1" x14ac:dyDescent="0.25">
      <c r="A222" s="23">
        <v>24</v>
      </c>
      <c r="B222" s="14" t="s">
        <v>1188</v>
      </c>
      <c r="C222" s="14">
        <f>data!AS78</f>
        <v>0</v>
      </c>
      <c r="D222" s="14">
        <f>data!AT78</f>
        <v>0</v>
      </c>
      <c r="E222" s="14">
        <f>data!AU78</f>
        <v>0</v>
      </c>
      <c r="F222" s="14">
        <f>data!AV78</f>
        <v>0</v>
      </c>
      <c r="G222" s="14">
        <f>data!AW78</f>
        <v>0</v>
      </c>
      <c r="H222" s="211" t="str">
        <f>IF(data!AX78&gt;0,data!AX78,"")</f>
        <v>x</v>
      </c>
      <c r="I222" s="211" t="str">
        <f>IF(data!AY78&gt;0,data!AY78,"")</f>
        <v>x</v>
      </c>
    </row>
    <row r="223" spans="1:9" ht="20.100000000000001" customHeight="1" x14ac:dyDescent="0.25">
      <c r="A223" s="23">
        <v>25</v>
      </c>
      <c r="B223" s="14" t="s">
        <v>1189</v>
      </c>
      <c r="C223" s="14">
        <f>data!AS79</f>
        <v>0</v>
      </c>
      <c r="D223" s="14">
        <f>data!AT79</f>
        <v>0</v>
      </c>
      <c r="E223" s="14">
        <f>data!AU79</f>
        <v>0</v>
      </c>
      <c r="F223" s="14">
        <f>data!AV79</f>
        <v>0</v>
      </c>
      <c r="G223" s="14">
        <f>data!AW79</f>
        <v>0</v>
      </c>
      <c r="H223" s="211" t="str">
        <f>IF(data!AX79&gt;0,data!AX79,"")</f>
        <v>x</v>
      </c>
      <c r="I223" s="211" t="str">
        <f>IF(data!AY79&gt;0,data!AY79,"")</f>
        <v>x</v>
      </c>
    </row>
    <row r="224" spans="1:9" ht="20.100000000000001" customHeight="1" x14ac:dyDescent="0.25">
      <c r="A224" s="23">
        <v>26</v>
      </c>
      <c r="B224" s="14" t="s">
        <v>252</v>
      </c>
      <c r="C224" s="26">
        <f>data!AS80</f>
        <v>0</v>
      </c>
      <c r="D224" s="26">
        <f>data!AT80</f>
        <v>0</v>
      </c>
      <c r="E224" s="26">
        <f>data!AU80</f>
        <v>0</v>
      </c>
      <c r="F224" s="26">
        <f>data!AV80</f>
        <v>0</v>
      </c>
      <c r="G224" s="211" t="str">
        <f>IF(data!AW80&gt;0,data!AW80,"")</f>
        <v>x</v>
      </c>
      <c r="H224" s="211" t="str">
        <f>IF(data!AX80&gt;0,data!AX80,"")</f>
        <v>x</v>
      </c>
      <c r="I224" s="211" t="str">
        <f>IF(data!AY80&gt;0,data!AY80,"")</f>
        <v>x</v>
      </c>
    </row>
    <row r="225" spans="1:9" ht="20.100000000000001" customHeight="1" x14ac:dyDescent="0.25">
      <c r="A225" s="4" t="s">
        <v>1173</v>
      </c>
      <c r="B225" s="5"/>
      <c r="C225" s="5"/>
      <c r="D225" s="6"/>
      <c r="E225" s="5"/>
      <c r="F225" s="5"/>
      <c r="G225" s="5"/>
      <c r="H225" s="5"/>
      <c r="I225" s="4"/>
    </row>
    <row r="226" spans="1:9" ht="20.100000000000001" customHeight="1" x14ac:dyDescent="0.25">
      <c r="A226" s="77"/>
      <c r="B226" s="77"/>
      <c r="C226" s="77"/>
      <c r="D226" s="45"/>
      <c r="E226" s="77"/>
      <c r="F226" s="77"/>
      <c r="G226" s="77"/>
      <c r="H226" s="77"/>
      <c r="I226" s="168" t="s">
        <v>1214</v>
      </c>
    </row>
    <row r="227" spans="1:9" ht="20.100000000000001" customHeight="1" x14ac:dyDescent="0.25">
      <c r="A227" s="45"/>
      <c r="B227" s="77"/>
      <c r="C227" s="77"/>
      <c r="D227" s="77"/>
      <c r="E227" s="77"/>
      <c r="F227" s="77"/>
      <c r="G227" s="77"/>
      <c r="H227" s="77"/>
      <c r="I227" s="77"/>
    </row>
    <row r="228" spans="1:9" ht="20.100000000000001" customHeight="1" x14ac:dyDescent="0.25">
      <c r="A228" s="79" t="str">
        <f>"HOSPITAL NAME: "&amp;data!C84</f>
        <v>HOSPITAL NAME: Lake Chelan Community Hospital</v>
      </c>
      <c r="B228" s="77"/>
      <c r="C228" s="77"/>
      <c r="D228" s="77"/>
      <c r="E228" s="77"/>
      <c r="F228" s="77"/>
      <c r="G228" s="80"/>
      <c r="H228" s="79" t="str">
        <f>"FYE: "&amp;data!C82</f>
        <v>FYE: 12/31/2019</v>
      </c>
    </row>
    <row r="229" spans="1:9" ht="20.100000000000001" customHeight="1" x14ac:dyDescent="0.25">
      <c r="A229" s="23">
        <v>1</v>
      </c>
      <c r="B229" s="14" t="s">
        <v>209</v>
      </c>
      <c r="C229" s="15" t="s">
        <v>59</v>
      </c>
      <c r="D229" s="15" t="s">
        <v>60</v>
      </c>
      <c r="E229" s="15" t="s">
        <v>61</v>
      </c>
      <c r="F229" s="15" t="s">
        <v>62</v>
      </c>
      <c r="G229" s="15" t="s">
        <v>63</v>
      </c>
      <c r="H229" s="15" t="s">
        <v>64</v>
      </c>
      <c r="I229" s="15" t="s">
        <v>65</v>
      </c>
    </row>
    <row r="230" spans="1:9" ht="20.100000000000001" customHeight="1" x14ac:dyDescent="0.25">
      <c r="A230" s="81">
        <v>2</v>
      </c>
      <c r="B230" s="17" t="s">
        <v>1175</v>
      </c>
      <c r="C230" s="25"/>
      <c r="D230" s="18" t="s">
        <v>137</v>
      </c>
      <c r="E230" s="18" t="s">
        <v>138</v>
      </c>
      <c r="F230" s="18" t="s">
        <v>108</v>
      </c>
      <c r="G230" s="25"/>
      <c r="H230" s="25"/>
      <c r="I230" s="25"/>
    </row>
    <row r="231" spans="1:9" ht="20.100000000000001" customHeight="1" x14ac:dyDescent="0.25">
      <c r="A231" s="82"/>
      <c r="B231" s="83"/>
      <c r="C231" s="18" t="s">
        <v>136</v>
      </c>
      <c r="D231" s="18" t="s">
        <v>189</v>
      </c>
      <c r="E231" s="18" t="s">
        <v>1215</v>
      </c>
      <c r="F231" s="18" t="s">
        <v>1216</v>
      </c>
      <c r="G231" s="18" t="s">
        <v>139</v>
      </c>
      <c r="H231" s="18" t="s">
        <v>140</v>
      </c>
      <c r="I231" s="18" t="s">
        <v>141</v>
      </c>
    </row>
    <row r="232" spans="1:9" ht="20.100000000000001" customHeight="1" x14ac:dyDescent="0.25">
      <c r="A232" s="23">
        <v>3</v>
      </c>
      <c r="B232" s="14" t="s">
        <v>1179</v>
      </c>
      <c r="C232" s="15" t="s">
        <v>1217</v>
      </c>
      <c r="D232" s="15" t="s">
        <v>1218</v>
      </c>
      <c r="E232" s="210"/>
      <c r="F232" s="210"/>
      <c r="G232" s="210"/>
      <c r="H232" s="15" t="s">
        <v>232</v>
      </c>
      <c r="I232" s="210"/>
    </row>
    <row r="233" spans="1:9" ht="20.100000000000001" customHeight="1" x14ac:dyDescent="0.25">
      <c r="A233" s="23">
        <v>4</v>
      </c>
      <c r="B233" s="14" t="s">
        <v>233</v>
      </c>
      <c r="C233" s="14">
        <f>data!AZ59</f>
        <v>0</v>
      </c>
      <c r="D233" s="14">
        <f>data!BA59</f>
        <v>0</v>
      </c>
      <c r="E233" s="210"/>
      <c r="F233" s="210"/>
      <c r="G233" s="210"/>
      <c r="H233" s="14">
        <f>data!BE59</f>
        <v>35649</v>
      </c>
      <c r="I233" s="210"/>
    </row>
    <row r="234" spans="1:9" ht="20.100000000000001" customHeight="1" x14ac:dyDescent="0.25">
      <c r="A234" s="23">
        <v>5</v>
      </c>
      <c r="B234" s="14" t="s">
        <v>234</v>
      </c>
      <c r="C234" s="26">
        <f>data!AZ60</f>
        <v>0</v>
      </c>
      <c r="D234" s="26">
        <f>data!BA60</f>
        <v>1.6760480769230768</v>
      </c>
      <c r="E234" s="26">
        <f>data!BB60</f>
        <v>0.78539423076923076</v>
      </c>
      <c r="F234" s="26">
        <f>data!BC60</f>
        <v>0</v>
      </c>
      <c r="G234" s="26">
        <f>data!BD60</f>
        <v>3.4980769230769231</v>
      </c>
      <c r="H234" s="26">
        <f>data!BE60</f>
        <v>4.5380769230769236</v>
      </c>
      <c r="I234" s="26">
        <f>data!BF60</f>
        <v>5.0796875000000004</v>
      </c>
    </row>
    <row r="235" spans="1:9" ht="20.100000000000001" customHeight="1" x14ac:dyDescent="0.25">
      <c r="A235" s="23">
        <v>6</v>
      </c>
      <c r="B235" s="14" t="s">
        <v>235</v>
      </c>
      <c r="C235" s="14">
        <f>data!AZ61</f>
        <v>0</v>
      </c>
      <c r="D235" s="14">
        <f>data!BA61</f>
        <v>15480</v>
      </c>
      <c r="E235" s="14">
        <f>data!BB61</f>
        <v>64612</v>
      </c>
      <c r="F235" s="14">
        <f>data!BC61</f>
        <v>0</v>
      </c>
      <c r="G235" s="14">
        <f>data!BD61</f>
        <v>0</v>
      </c>
      <c r="H235" s="14">
        <f>data!BE61</f>
        <v>209099</v>
      </c>
      <c r="I235" s="14">
        <f>data!BF61</f>
        <v>181763</v>
      </c>
    </row>
    <row r="236" spans="1:9" ht="20.100000000000001" customHeight="1" x14ac:dyDescent="0.25">
      <c r="A236" s="23">
        <v>7</v>
      </c>
      <c r="B236" s="14" t="s">
        <v>3</v>
      </c>
      <c r="C236" s="14">
        <f>data!AZ62</f>
        <v>0</v>
      </c>
      <c r="D236" s="14">
        <f>data!BA62</f>
        <v>3149</v>
      </c>
      <c r="E236" s="14">
        <f>data!BB62</f>
        <v>13143</v>
      </c>
      <c r="F236" s="14">
        <f>data!BC62</f>
        <v>0</v>
      </c>
      <c r="G236" s="14">
        <f>data!BD62</f>
        <v>0</v>
      </c>
      <c r="H236" s="14">
        <f>data!BE62</f>
        <v>42535</v>
      </c>
      <c r="I236" s="14">
        <f>data!BF62</f>
        <v>36974</v>
      </c>
    </row>
    <row r="237" spans="1:9" ht="20.100000000000001" customHeight="1" x14ac:dyDescent="0.25">
      <c r="A237" s="23">
        <v>8</v>
      </c>
      <c r="B237" s="14" t="s">
        <v>236</v>
      </c>
      <c r="C237" s="14">
        <f>data!AZ63</f>
        <v>0</v>
      </c>
      <c r="D237" s="14">
        <f>data!BA63</f>
        <v>0</v>
      </c>
      <c r="E237" s="14">
        <f>data!BB63</f>
        <v>0</v>
      </c>
      <c r="F237" s="14">
        <f>data!BC63</f>
        <v>0</v>
      </c>
      <c r="G237" s="14">
        <f>data!BD63</f>
        <v>0</v>
      </c>
      <c r="H237" s="14">
        <f>data!BE63</f>
        <v>0</v>
      </c>
      <c r="I237" s="14">
        <f>data!BF63</f>
        <v>0</v>
      </c>
    </row>
    <row r="238" spans="1:9" ht="20.100000000000001" customHeight="1" x14ac:dyDescent="0.25">
      <c r="A238" s="23">
        <v>9</v>
      </c>
      <c r="B238" s="14" t="s">
        <v>237</v>
      </c>
      <c r="C238" s="14">
        <f>data!AZ64</f>
        <v>0</v>
      </c>
      <c r="D238" s="14">
        <f>data!BA64</f>
        <v>35</v>
      </c>
      <c r="E238" s="14">
        <f>data!BB64</f>
        <v>136</v>
      </c>
      <c r="F238" s="14">
        <f>data!BC64</f>
        <v>0</v>
      </c>
      <c r="G238" s="14">
        <f>data!BD64</f>
        <v>0</v>
      </c>
      <c r="H238" s="14">
        <f>data!BE64</f>
        <v>10053</v>
      </c>
      <c r="I238" s="14">
        <f>data!BF64</f>
        <v>25617</v>
      </c>
    </row>
    <row r="239" spans="1:9" ht="20.100000000000001" customHeight="1" x14ac:dyDescent="0.25">
      <c r="A239" s="23">
        <v>10</v>
      </c>
      <c r="B239" s="14" t="s">
        <v>444</v>
      </c>
      <c r="C239" s="14">
        <f>data!AZ65</f>
        <v>0</v>
      </c>
      <c r="D239" s="14">
        <f>data!BA65</f>
        <v>0</v>
      </c>
      <c r="E239" s="14">
        <f>data!BB65</f>
        <v>0</v>
      </c>
      <c r="F239" s="14">
        <f>data!BC65</f>
        <v>0</v>
      </c>
      <c r="G239" s="14">
        <f>data!BD65</f>
        <v>0</v>
      </c>
      <c r="H239" s="14">
        <f>data!BE65</f>
        <v>110400</v>
      </c>
      <c r="I239" s="14">
        <f>data!BF65</f>
        <v>789</v>
      </c>
    </row>
    <row r="240" spans="1:9" ht="20.100000000000001" customHeight="1" x14ac:dyDescent="0.25">
      <c r="A240" s="23">
        <v>11</v>
      </c>
      <c r="B240" s="14" t="s">
        <v>445</v>
      </c>
      <c r="C240" s="14">
        <f>data!AZ66</f>
        <v>0</v>
      </c>
      <c r="D240" s="14">
        <f>data!BA66</f>
        <v>99929</v>
      </c>
      <c r="E240" s="14">
        <f>data!BB66</f>
        <v>0</v>
      </c>
      <c r="F240" s="14">
        <f>data!BC66</f>
        <v>0</v>
      </c>
      <c r="G240" s="14">
        <f>data!BD66</f>
        <v>0</v>
      </c>
      <c r="H240" s="14">
        <f>data!BE66</f>
        <v>23588</v>
      </c>
      <c r="I240" s="14">
        <f>data!BF66</f>
        <v>5</v>
      </c>
    </row>
    <row r="241" spans="1:9" ht="20.100000000000001" customHeight="1" x14ac:dyDescent="0.25">
      <c r="A241" s="23">
        <v>12</v>
      </c>
      <c r="B241" s="14" t="s">
        <v>6</v>
      </c>
      <c r="C241" s="14">
        <f>data!AZ67</f>
        <v>8494</v>
      </c>
      <c r="D241" s="14">
        <f>data!BA67</f>
        <v>1008</v>
      </c>
      <c r="E241" s="14">
        <f>data!BB67</f>
        <v>648</v>
      </c>
      <c r="F241" s="14">
        <f>data!BC67</f>
        <v>0</v>
      </c>
      <c r="G241" s="14">
        <f>data!BD67</f>
        <v>0</v>
      </c>
      <c r="H241" s="14">
        <f>data!BE67</f>
        <v>22726</v>
      </c>
      <c r="I241" s="14">
        <f>data!BF67</f>
        <v>2942</v>
      </c>
    </row>
    <row r="242" spans="1:9" ht="20.100000000000001" customHeight="1" x14ac:dyDescent="0.25">
      <c r="A242" s="23">
        <v>13</v>
      </c>
      <c r="B242" s="14" t="s">
        <v>474</v>
      </c>
      <c r="C242" s="14">
        <f>data!AZ68</f>
        <v>0</v>
      </c>
      <c r="D242" s="14">
        <f>data!BA68</f>
        <v>0</v>
      </c>
      <c r="E242" s="14">
        <f>data!BB68</f>
        <v>605</v>
      </c>
      <c r="F242" s="14">
        <f>data!BC68</f>
        <v>0</v>
      </c>
      <c r="G242" s="14">
        <f>data!BD68</f>
        <v>0</v>
      </c>
      <c r="H242" s="14">
        <f>data!BE68</f>
        <v>109</v>
      </c>
      <c r="I242" s="14">
        <f>data!BF68</f>
        <v>0</v>
      </c>
    </row>
    <row r="243" spans="1:9" ht="20.100000000000001" customHeight="1" x14ac:dyDescent="0.25">
      <c r="A243" s="23">
        <v>14</v>
      </c>
      <c r="B243" s="14" t="s">
        <v>241</v>
      </c>
      <c r="C243" s="14">
        <f>data!AZ69</f>
        <v>0</v>
      </c>
      <c r="D243" s="14">
        <f>data!BA69</f>
        <v>0</v>
      </c>
      <c r="E243" s="14">
        <f>data!BB69</f>
        <v>0</v>
      </c>
      <c r="F243" s="14">
        <f>data!BC69</f>
        <v>0</v>
      </c>
      <c r="G243" s="14">
        <f>data!BD69</f>
        <v>0</v>
      </c>
      <c r="H243" s="14">
        <f>data!BE69</f>
        <v>18991</v>
      </c>
      <c r="I243" s="14">
        <f>data!BF69</f>
        <v>1376</v>
      </c>
    </row>
    <row r="244" spans="1:9" ht="20.100000000000001" customHeight="1" x14ac:dyDescent="0.25">
      <c r="A244" s="23">
        <v>15</v>
      </c>
      <c r="B244" s="14" t="s">
        <v>242</v>
      </c>
      <c r="C244" s="14">
        <f>-data!AZ70</f>
        <v>0</v>
      </c>
      <c r="D244" s="14">
        <f>-data!BA70</f>
        <v>0</v>
      </c>
      <c r="E244" s="14">
        <f>-data!BB70</f>
        <v>0</v>
      </c>
      <c r="F244" s="14">
        <f>-data!BC70</f>
        <v>0</v>
      </c>
      <c r="G244" s="14">
        <f>-data!BD70</f>
        <v>0</v>
      </c>
      <c r="H244" s="14">
        <f>-data!BE70</f>
        <v>0</v>
      </c>
      <c r="I244" s="14">
        <f>-data!BF70</f>
        <v>0</v>
      </c>
    </row>
    <row r="245" spans="1:9" ht="20.100000000000001" customHeight="1" x14ac:dyDescent="0.25">
      <c r="A245" s="23">
        <v>16</v>
      </c>
      <c r="B245" s="48" t="s">
        <v>1180</v>
      </c>
      <c r="C245" s="14">
        <f>data!AZ71</f>
        <v>8494</v>
      </c>
      <c r="D245" s="14">
        <f>data!BA71</f>
        <v>119601</v>
      </c>
      <c r="E245" s="14">
        <f>data!BB71</f>
        <v>79144</v>
      </c>
      <c r="F245" s="14">
        <f>data!BC71</f>
        <v>0</v>
      </c>
      <c r="G245" s="14">
        <f>data!BD71</f>
        <v>0</v>
      </c>
      <c r="H245" s="14">
        <f>data!BE71</f>
        <v>437501</v>
      </c>
      <c r="I245" s="14">
        <f>data!BF71</f>
        <v>249466</v>
      </c>
    </row>
    <row r="246" spans="1:9" ht="20.100000000000001" customHeight="1" x14ac:dyDescent="0.25">
      <c r="A246" s="23">
        <v>17</v>
      </c>
      <c r="B246" s="14" t="s">
        <v>244</v>
      </c>
      <c r="C246" s="209"/>
      <c r="D246" s="209"/>
      <c r="E246" s="209"/>
      <c r="F246" s="209"/>
      <c r="G246" s="209"/>
      <c r="H246" s="209"/>
      <c r="I246" s="209"/>
    </row>
    <row r="247" spans="1:9" ht="20.100000000000001" customHeight="1" x14ac:dyDescent="0.25">
      <c r="A247" s="23">
        <v>18</v>
      </c>
      <c r="B247" s="14" t="s">
        <v>1181</v>
      </c>
      <c r="C247" s="14"/>
      <c r="D247" s="14"/>
      <c r="E247" s="14"/>
      <c r="F247" s="14"/>
      <c r="G247" s="14"/>
      <c r="H247" s="14"/>
      <c r="I247" s="14"/>
    </row>
    <row r="248" spans="1:9" ht="20.100000000000001" customHeight="1" x14ac:dyDescent="0.25">
      <c r="A248" s="23">
        <v>19</v>
      </c>
      <c r="B248" s="48" t="s">
        <v>1182</v>
      </c>
      <c r="C248" s="211" t="str">
        <f>IF(data!AZ73&gt;0,data!AZ73,"")</f>
        <v>x</v>
      </c>
      <c r="D248" s="211" t="str">
        <f>IF(data!BA73&gt;0,data!BA73,"")</f>
        <v>x</v>
      </c>
      <c r="E248" s="211" t="str">
        <f>IF(data!BB73&gt;0,data!BB73,"")</f>
        <v>x</v>
      </c>
      <c r="F248" s="211" t="str">
        <f>IF(data!BC73&gt;0,data!BC73,"")</f>
        <v>x</v>
      </c>
      <c r="G248" s="211" t="str">
        <f>IF(data!BD73&gt;0,data!BD73,"")</f>
        <v>x</v>
      </c>
      <c r="H248" s="211" t="str">
        <f>IF(data!BE73&gt;0,data!BE73,"")</f>
        <v>x</v>
      </c>
      <c r="I248" s="211" t="str">
        <f>IF(data!BF73&gt;0,data!BF73,"")</f>
        <v>x</v>
      </c>
    </row>
    <row r="249" spans="1:9" ht="20.100000000000001" customHeight="1" x14ac:dyDescent="0.25">
      <c r="A249" s="23">
        <v>20</v>
      </c>
      <c r="B249" s="48" t="s">
        <v>1183</v>
      </c>
      <c r="C249" s="211" t="str">
        <f>IF(data!AZ74&gt;0,data!AZ74,"")</f>
        <v>x</v>
      </c>
      <c r="D249" s="211" t="str">
        <f>IF(data!BA74&gt;0,data!BA74,"")</f>
        <v>x</v>
      </c>
      <c r="E249" s="211" t="str">
        <f>IF(data!BB74&gt;0,data!BB74,"")</f>
        <v>x</v>
      </c>
      <c r="F249" s="211" t="str">
        <f>IF(data!BC74&gt;0,data!BC74,"")</f>
        <v>x</v>
      </c>
      <c r="G249" s="211" t="str">
        <f>IF(data!BD74&gt;0,data!BD74,"")</f>
        <v>x</v>
      </c>
      <c r="H249" s="211" t="str">
        <f>IF(data!BE74&gt;0,data!BE74,"")</f>
        <v>x</v>
      </c>
      <c r="I249" s="211" t="str">
        <f>IF(data!BF74&gt;0,data!BF74,"")</f>
        <v>x</v>
      </c>
    </row>
    <row r="250" spans="1:9" ht="20.100000000000001" customHeight="1" x14ac:dyDescent="0.25">
      <c r="A250" s="23">
        <v>21</v>
      </c>
      <c r="B250" s="48" t="s">
        <v>1184</v>
      </c>
      <c r="C250" s="211" t="str">
        <f>IF(data!AZ75&gt;0,data!AZ75,"")</f>
        <v>x</v>
      </c>
      <c r="D250" s="211" t="str">
        <f>IF(data!BA75&gt;0,data!BA75,"")</f>
        <v>x</v>
      </c>
      <c r="E250" s="211" t="str">
        <f>IF(data!BB75&gt;0,data!BB75,"")</f>
        <v>x</v>
      </c>
      <c r="F250" s="211" t="str">
        <f>IF(data!BC75&gt;0,data!BC75,"")</f>
        <v>x</v>
      </c>
      <c r="G250" s="211" t="str">
        <f>IF(data!BD75&gt;0,data!BD75,"")</f>
        <v>x</v>
      </c>
      <c r="H250" s="211" t="str">
        <f>IF(data!BE75&gt;0,data!BE75,"")</f>
        <v>x</v>
      </c>
      <c r="I250" s="211" t="str">
        <f>IF(data!BF75&gt;0,data!BF75,"")</f>
        <v>x</v>
      </c>
    </row>
    <row r="251" spans="1:9" ht="20.100000000000001" customHeight="1" x14ac:dyDescent="0.25">
      <c r="A251" s="23" t="s">
        <v>1185</v>
      </c>
      <c r="B251" s="60"/>
      <c r="C251" s="209"/>
      <c r="D251" s="209"/>
      <c r="E251" s="209"/>
      <c r="F251" s="209"/>
      <c r="G251" s="209"/>
      <c r="H251" s="209"/>
      <c r="I251" s="209"/>
    </row>
    <row r="252" spans="1:9" ht="20.100000000000001" customHeight="1" x14ac:dyDescent="0.25">
      <c r="A252" s="23">
        <v>22</v>
      </c>
      <c r="B252" s="14" t="s">
        <v>1186</v>
      </c>
      <c r="C252" s="85">
        <f>data!AZ76</f>
        <v>944</v>
      </c>
      <c r="D252" s="85">
        <f>data!BA76</f>
        <v>112</v>
      </c>
      <c r="E252" s="85">
        <f>data!BB76</f>
        <v>72</v>
      </c>
      <c r="F252" s="85">
        <f>data!BC76</f>
        <v>0</v>
      </c>
      <c r="G252" s="85">
        <f>data!BD76</f>
        <v>0</v>
      </c>
      <c r="H252" s="85">
        <f>data!BE76</f>
        <v>2054</v>
      </c>
      <c r="I252" s="85">
        <f>data!BF76</f>
        <v>327</v>
      </c>
    </row>
    <row r="253" spans="1:9" ht="20.100000000000001" customHeight="1" x14ac:dyDescent="0.25">
      <c r="A253" s="23">
        <v>23</v>
      </c>
      <c r="B253" s="14" t="s">
        <v>1187</v>
      </c>
      <c r="C253" s="85">
        <f>data!AZ77</f>
        <v>0</v>
      </c>
      <c r="D253" s="85">
        <f>data!BA77</f>
        <v>0</v>
      </c>
      <c r="E253" s="85">
        <f>data!BB77</f>
        <v>0</v>
      </c>
      <c r="F253" s="85">
        <f>data!BC77</f>
        <v>0</v>
      </c>
      <c r="G253" s="211" t="str">
        <f>IF(data!BD77&gt;0,data!BD77,"")</f>
        <v>x</v>
      </c>
      <c r="H253" s="211" t="str">
        <f>IF(data!BE77&gt;0,data!BE77,"")</f>
        <v>x</v>
      </c>
      <c r="I253" s="85">
        <f>data!BF77</f>
        <v>0</v>
      </c>
    </row>
    <row r="254" spans="1:9" ht="20.100000000000001" customHeight="1" x14ac:dyDescent="0.25">
      <c r="A254" s="23">
        <v>24</v>
      </c>
      <c r="B254" s="14" t="s">
        <v>1188</v>
      </c>
      <c r="C254" s="211" t="str">
        <f>IF(data!AZ78&gt;0,data!AZ78,"")</f>
        <v>x</v>
      </c>
      <c r="D254" s="85">
        <f>data!BA78</f>
        <v>112</v>
      </c>
      <c r="E254" s="85">
        <f>data!BB78</f>
        <v>72</v>
      </c>
      <c r="F254" s="85">
        <f>data!BC78</f>
        <v>0</v>
      </c>
      <c r="G254" s="211" t="str">
        <f>IF(data!BD78&gt;0,data!BD78,"")</f>
        <v>x</v>
      </c>
      <c r="H254" s="211" t="str">
        <f>IF(data!BE78&gt;0,data!BE78,"")</f>
        <v>x</v>
      </c>
      <c r="I254" s="211" t="str">
        <f>IF(data!BF78&gt;0,data!BF78,"")</f>
        <v>x</v>
      </c>
    </row>
    <row r="255" spans="1:9" ht="20.100000000000001" customHeight="1" x14ac:dyDescent="0.25">
      <c r="A255" s="23">
        <v>25</v>
      </c>
      <c r="B255" s="14" t="s">
        <v>1189</v>
      </c>
      <c r="C255" s="211" t="str">
        <f>IF(data!AZ79&gt;0,data!AZ79,"")</f>
        <v>x</v>
      </c>
      <c r="D255" s="211" t="str">
        <f>IF(data!BA79&gt;0,data!BA79,"")</f>
        <v>x</v>
      </c>
      <c r="E255" s="85">
        <f>data!BB79</f>
        <v>0</v>
      </c>
      <c r="F255" s="85">
        <f>data!BC79</f>
        <v>0</v>
      </c>
      <c r="G255" s="211" t="str">
        <f>IF(data!BD79&gt;0,data!BD79,"")</f>
        <v>x</v>
      </c>
      <c r="H255" s="211" t="str">
        <f>IF(data!BE79&gt;0,data!BE79,"")</f>
        <v>x</v>
      </c>
      <c r="I255" s="211" t="str">
        <f>IF(data!BF79&gt;0,data!BF79,"")</f>
        <v>x</v>
      </c>
    </row>
    <row r="256" spans="1:9" ht="20.100000000000001" customHeight="1" x14ac:dyDescent="0.25">
      <c r="A256" s="23">
        <v>26</v>
      </c>
      <c r="B256" s="14" t="s">
        <v>252</v>
      </c>
      <c r="C256" s="211" t="str">
        <f>IF(data!AZ80&gt;0,data!AZ80,"")</f>
        <v>x</v>
      </c>
      <c r="D256" s="211" t="str">
        <f>IF(data!BA80&gt;0,data!BA80,"")</f>
        <v>x</v>
      </c>
      <c r="E256" s="211" t="str">
        <f>IF(data!BB80&gt;0,data!BB80,"")</f>
        <v>x</v>
      </c>
      <c r="F256" s="211" t="str">
        <f>IF(data!BC80&gt;0,data!BC80,"")</f>
        <v>x</v>
      </c>
      <c r="G256" s="211" t="str">
        <f>IF(data!BD80&gt;0,data!BD80,"")</f>
        <v>x</v>
      </c>
      <c r="H256" s="211" t="str">
        <f>IF(data!BE80&gt;0,data!BE80,"")</f>
        <v>x</v>
      </c>
      <c r="I256" s="211" t="str">
        <f>IF(data!BF80&gt;0,data!BF80,"")</f>
        <v>x</v>
      </c>
    </row>
    <row r="257" spans="1:9" ht="20.100000000000001" customHeight="1" x14ac:dyDescent="0.25">
      <c r="A257" s="4" t="s">
        <v>1173</v>
      </c>
      <c r="B257" s="5"/>
      <c r="C257" s="5"/>
      <c r="D257" s="6"/>
      <c r="E257" s="5"/>
      <c r="F257" s="5"/>
      <c r="G257" s="5"/>
      <c r="H257" s="5"/>
      <c r="I257" s="4"/>
    </row>
    <row r="258" spans="1:9" ht="20.100000000000001" customHeight="1" x14ac:dyDescent="0.25">
      <c r="A258" s="77"/>
      <c r="C258" s="77"/>
      <c r="D258" s="45"/>
      <c r="E258" s="77"/>
      <c r="F258" s="77"/>
      <c r="G258" s="77"/>
      <c r="H258" s="77"/>
      <c r="I258" s="168" t="s">
        <v>1219</v>
      </c>
    </row>
    <row r="259" spans="1:9" ht="20.100000000000001" customHeight="1" x14ac:dyDescent="0.25">
      <c r="A259" s="45"/>
      <c r="B259" s="77"/>
      <c r="C259" s="77"/>
      <c r="D259" s="77"/>
      <c r="E259" s="77"/>
      <c r="F259" s="77"/>
      <c r="G259" s="77"/>
      <c r="H259" s="77"/>
      <c r="I259" s="77"/>
    </row>
    <row r="260" spans="1:9" ht="20.100000000000001" customHeight="1" x14ac:dyDescent="0.25">
      <c r="A260" s="79" t="str">
        <f>"HOSPITAL NAME: "&amp;data!C84</f>
        <v>HOSPITAL NAME: Lake Chelan Community Hospital</v>
      </c>
      <c r="B260" s="77"/>
      <c r="C260" s="77"/>
      <c r="D260" s="77"/>
      <c r="E260" s="77"/>
      <c r="F260" s="77"/>
      <c r="G260" s="80"/>
      <c r="H260" s="79" t="str">
        <f>"FYE: "&amp;data!C82</f>
        <v>FYE: 12/31/2019</v>
      </c>
    </row>
    <row r="261" spans="1:9" ht="20.100000000000001" customHeight="1" x14ac:dyDescent="0.25">
      <c r="A261" s="23">
        <v>1</v>
      </c>
      <c r="B261" s="14" t="s">
        <v>209</v>
      </c>
      <c r="C261" s="15" t="s">
        <v>66</v>
      </c>
      <c r="D261" s="15" t="s">
        <v>67</v>
      </c>
      <c r="E261" s="15" t="s">
        <v>68</v>
      </c>
      <c r="F261" s="15" t="s">
        <v>69</v>
      </c>
      <c r="G261" s="15" t="s">
        <v>70</v>
      </c>
      <c r="H261" s="15" t="s">
        <v>71</v>
      </c>
      <c r="I261" s="15" t="s">
        <v>72</v>
      </c>
    </row>
    <row r="262" spans="1:9" ht="20.100000000000001" customHeight="1" x14ac:dyDescent="0.25">
      <c r="A262" s="81">
        <v>2</v>
      </c>
      <c r="B262" s="17" t="s">
        <v>1175</v>
      </c>
      <c r="C262" s="18" t="s">
        <v>1220</v>
      </c>
      <c r="D262" s="18" t="s">
        <v>143</v>
      </c>
      <c r="E262" s="18" t="s">
        <v>144</v>
      </c>
      <c r="F262" s="25"/>
      <c r="G262" s="18" t="s">
        <v>146</v>
      </c>
      <c r="H262" s="25"/>
      <c r="I262" s="18" t="s">
        <v>132</v>
      </c>
    </row>
    <row r="263" spans="1:9" ht="20.100000000000001" customHeight="1" x14ac:dyDescent="0.25">
      <c r="A263" s="82"/>
      <c r="B263" s="83"/>
      <c r="C263" s="18" t="s">
        <v>1221</v>
      </c>
      <c r="D263" s="18" t="s">
        <v>190</v>
      </c>
      <c r="E263" s="18" t="s">
        <v>169</v>
      </c>
      <c r="F263" s="18" t="s">
        <v>145</v>
      </c>
      <c r="G263" s="18" t="s">
        <v>191</v>
      </c>
      <c r="H263" s="18" t="s">
        <v>147</v>
      </c>
      <c r="I263" s="18" t="s">
        <v>1222</v>
      </c>
    </row>
    <row r="264" spans="1:9" ht="20.100000000000001" customHeight="1" x14ac:dyDescent="0.25">
      <c r="A264" s="23">
        <v>3</v>
      </c>
      <c r="B264" s="14" t="s">
        <v>1179</v>
      </c>
      <c r="C264" s="210"/>
      <c r="D264" s="210"/>
      <c r="E264" s="210"/>
      <c r="F264" s="210"/>
      <c r="G264" s="210"/>
      <c r="H264" s="210"/>
      <c r="I264" s="210"/>
    </row>
    <row r="265" spans="1:9" ht="20.100000000000001" customHeight="1" x14ac:dyDescent="0.25">
      <c r="A265" s="23">
        <v>4</v>
      </c>
      <c r="B265" s="14" t="s">
        <v>233</v>
      </c>
      <c r="C265" s="210"/>
      <c r="D265" s="210"/>
      <c r="E265" s="210"/>
      <c r="F265" s="210"/>
      <c r="G265" s="210"/>
      <c r="H265" s="210"/>
      <c r="I265" s="210"/>
    </row>
    <row r="266" spans="1:9" ht="20.100000000000001" customHeight="1" x14ac:dyDescent="0.25">
      <c r="A266" s="23">
        <v>5</v>
      </c>
      <c r="B266" s="14" t="s">
        <v>234</v>
      </c>
      <c r="C266" s="26">
        <f>data!BG60</f>
        <v>0</v>
      </c>
      <c r="D266" s="26">
        <f>data!BH60</f>
        <v>3.004403846153846</v>
      </c>
      <c r="E266" s="26">
        <f>data!BI60</f>
        <v>0.44495192307692305</v>
      </c>
      <c r="F266" s="26">
        <f>data!BJ60</f>
        <v>8.4430048076923079</v>
      </c>
      <c r="G266" s="26">
        <f>data!BK60</f>
        <v>0</v>
      </c>
      <c r="H266" s="26">
        <f>data!BL60</f>
        <v>8.4288509615384601</v>
      </c>
      <c r="I266" s="26">
        <f>data!BM60</f>
        <v>0</v>
      </c>
    </row>
    <row r="267" spans="1:9" ht="20.100000000000001" customHeight="1" x14ac:dyDescent="0.25">
      <c r="A267" s="23">
        <v>6</v>
      </c>
      <c r="B267" s="14" t="s">
        <v>235</v>
      </c>
      <c r="C267" s="14">
        <f>data!BG61</f>
        <v>0</v>
      </c>
      <c r="D267" s="14">
        <f>data!BH61</f>
        <v>0</v>
      </c>
      <c r="E267" s="14">
        <f>data!BI61</f>
        <v>0</v>
      </c>
      <c r="F267" s="14">
        <f>data!BJ61</f>
        <v>422053</v>
      </c>
      <c r="G267" s="14">
        <f>data!BK61</f>
        <v>0</v>
      </c>
      <c r="H267" s="14">
        <f>data!BL61</f>
        <v>326620</v>
      </c>
      <c r="I267" s="14">
        <f>data!BM61</f>
        <v>0</v>
      </c>
    </row>
    <row r="268" spans="1:9" ht="20.100000000000001" customHeight="1" x14ac:dyDescent="0.25">
      <c r="A268" s="23">
        <v>7</v>
      </c>
      <c r="B268" s="14" t="s">
        <v>3</v>
      </c>
      <c r="C268" s="14">
        <f>data!BG62</f>
        <v>0</v>
      </c>
      <c r="D268" s="14">
        <f>data!BH62</f>
        <v>0</v>
      </c>
      <c r="E268" s="14">
        <f>data!BI62</f>
        <v>0</v>
      </c>
      <c r="F268" s="14">
        <f>data!BJ62</f>
        <v>85854</v>
      </c>
      <c r="G268" s="14">
        <f>data!BK62</f>
        <v>0</v>
      </c>
      <c r="H268" s="14">
        <f>data!BL62</f>
        <v>66441</v>
      </c>
      <c r="I268" s="14">
        <f>data!BM62</f>
        <v>0</v>
      </c>
    </row>
    <row r="269" spans="1:9" ht="20.100000000000001" customHeight="1" x14ac:dyDescent="0.25">
      <c r="A269" s="23">
        <v>8</v>
      </c>
      <c r="B269" s="14" t="s">
        <v>236</v>
      </c>
      <c r="C269" s="14">
        <f>data!BG63</f>
        <v>0</v>
      </c>
      <c r="D269" s="14">
        <f>data!BH63</f>
        <v>0</v>
      </c>
      <c r="E269" s="14">
        <f>data!BI63</f>
        <v>0</v>
      </c>
      <c r="F269" s="14">
        <f>data!BJ63</f>
        <v>0</v>
      </c>
      <c r="G269" s="14">
        <f>data!BK63</f>
        <v>0</v>
      </c>
      <c r="H269" s="14">
        <f>data!BL63</f>
        <v>0</v>
      </c>
      <c r="I269" s="14">
        <f>data!BM63</f>
        <v>0</v>
      </c>
    </row>
    <row r="270" spans="1:9" ht="20.100000000000001" customHeight="1" x14ac:dyDescent="0.25">
      <c r="A270" s="23">
        <v>9</v>
      </c>
      <c r="B270" s="14" t="s">
        <v>237</v>
      </c>
      <c r="C270" s="14">
        <f>data!BG64</f>
        <v>0</v>
      </c>
      <c r="D270" s="14">
        <f>data!BH64</f>
        <v>0</v>
      </c>
      <c r="E270" s="14">
        <f>data!BI64</f>
        <v>0</v>
      </c>
      <c r="F270" s="14">
        <f>data!BJ64</f>
        <v>6594</v>
      </c>
      <c r="G270" s="14">
        <f>data!BK64</f>
        <v>0</v>
      </c>
      <c r="H270" s="14">
        <f>data!BL64</f>
        <v>6238</v>
      </c>
      <c r="I270" s="14">
        <f>data!BM64</f>
        <v>0</v>
      </c>
    </row>
    <row r="271" spans="1:9" ht="20.100000000000001" customHeight="1" x14ac:dyDescent="0.25">
      <c r="A271" s="23">
        <v>10</v>
      </c>
      <c r="B271" s="14" t="s">
        <v>444</v>
      </c>
      <c r="C271" s="14">
        <f>data!BG65</f>
        <v>0</v>
      </c>
      <c r="D271" s="14">
        <f>data!BH65</f>
        <v>0</v>
      </c>
      <c r="E271" s="14">
        <f>data!BI65</f>
        <v>0</v>
      </c>
      <c r="F271" s="14">
        <f>data!BJ65</f>
        <v>2226</v>
      </c>
      <c r="G271" s="14">
        <f>data!BK65</f>
        <v>0</v>
      </c>
      <c r="H271" s="14">
        <f>data!BL65</f>
        <v>557</v>
      </c>
      <c r="I271" s="14">
        <f>data!BM65</f>
        <v>0</v>
      </c>
    </row>
    <row r="272" spans="1:9" ht="20.100000000000001" customHeight="1" x14ac:dyDescent="0.25">
      <c r="A272" s="23">
        <v>11</v>
      </c>
      <c r="B272" s="14" t="s">
        <v>445</v>
      </c>
      <c r="C272" s="14">
        <f>data!BG66</f>
        <v>0</v>
      </c>
      <c r="D272" s="14">
        <f>data!BH66</f>
        <v>0</v>
      </c>
      <c r="E272" s="14">
        <f>data!BI66</f>
        <v>0</v>
      </c>
      <c r="F272" s="14">
        <f>data!BJ66</f>
        <v>95731</v>
      </c>
      <c r="G272" s="14">
        <f>data!BK66</f>
        <v>0</v>
      </c>
      <c r="H272" s="14">
        <f>data!BL66</f>
        <v>8250</v>
      </c>
      <c r="I272" s="14">
        <f>data!BM66</f>
        <v>0</v>
      </c>
    </row>
    <row r="273" spans="1:9" ht="20.100000000000001" customHeight="1" x14ac:dyDescent="0.25">
      <c r="A273" s="23">
        <v>12</v>
      </c>
      <c r="B273" s="14" t="s">
        <v>6</v>
      </c>
      <c r="C273" s="14">
        <f>data!BG67</f>
        <v>0</v>
      </c>
      <c r="D273" s="14">
        <f>data!BH67</f>
        <v>0</v>
      </c>
      <c r="E273" s="14">
        <f>data!BI67</f>
        <v>0</v>
      </c>
      <c r="F273" s="14">
        <f>data!BJ67</f>
        <v>0</v>
      </c>
      <c r="G273" s="14">
        <f>data!BK67</f>
        <v>0</v>
      </c>
      <c r="H273" s="14">
        <f>data!BL67</f>
        <v>0</v>
      </c>
      <c r="I273" s="14">
        <f>data!BM67</f>
        <v>0</v>
      </c>
    </row>
    <row r="274" spans="1:9" ht="20.100000000000001" customHeight="1" x14ac:dyDescent="0.25">
      <c r="A274" s="23">
        <v>13</v>
      </c>
      <c r="B274" s="14" t="s">
        <v>474</v>
      </c>
      <c r="C274" s="14">
        <f>data!BG68</f>
        <v>0</v>
      </c>
      <c r="D274" s="14">
        <f>data!BH68</f>
        <v>0</v>
      </c>
      <c r="E274" s="14">
        <f>data!BI68</f>
        <v>0</v>
      </c>
      <c r="F274" s="14">
        <f>data!BJ68</f>
        <v>36591</v>
      </c>
      <c r="G274" s="14">
        <f>data!BK68</f>
        <v>0</v>
      </c>
      <c r="H274" s="14">
        <f>data!BL68</f>
        <v>6770</v>
      </c>
      <c r="I274" s="14">
        <f>data!BM68</f>
        <v>0</v>
      </c>
    </row>
    <row r="275" spans="1:9" ht="20.100000000000001" customHeight="1" x14ac:dyDescent="0.25">
      <c r="A275" s="23">
        <v>14</v>
      </c>
      <c r="B275" s="14" t="s">
        <v>241</v>
      </c>
      <c r="C275" s="14">
        <f>data!BG69</f>
        <v>0</v>
      </c>
      <c r="D275" s="14">
        <f>data!BH69</f>
        <v>0</v>
      </c>
      <c r="E275" s="14">
        <f>data!BI69</f>
        <v>0</v>
      </c>
      <c r="F275" s="14">
        <f>data!BJ69</f>
        <v>22470</v>
      </c>
      <c r="G275" s="14">
        <f>data!BK69</f>
        <v>0</v>
      </c>
      <c r="H275" s="14">
        <f>data!BL69</f>
        <v>10120</v>
      </c>
      <c r="I275" s="14">
        <f>data!BM69</f>
        <v>0</v>
      </c>
    </row>
    <row r="276" spans="1:9" ht="20.100000000000001" customHeight="1" x14ac:dyDescent="0.25">
      <c r="A276" s="23">
        <v>15</v>
      </c>
      <c r="B276" s="14" t="s">
        <v>242</v>
      </c>
      <c r="C276" s="14">
        <f>-data!BG70</f>
        <v>0</v>
      </c>
      <c r="D276" s="14">
        <f>-data!BH70</f>
        <v>0</v>
      </c>
      <c r="E276" s="14">
        <f>-data!BI70</f>
        <v>0</v>
      </c>
      <c r="F276" s="14">
        <f>-data!BJ70</f>
        <v>0</v>
      </c>
      <c r="G276" s="14">
        <f>-data!BK70</f>
        <v>0</v>
      </c>
      <c r="H276" s="14">
        <f>-data!BL70</f>
        <v>0</v>
      </c>
      <c r="I276" s="14">
        <f>-data!BM70</f>
        <v>0</v>
      </c>
    </row>
    <row r="277" spans="1:9" ht="20.100000000000001" customHeight="1" x14ac:dyDescent="0.25">
      <c r="A277" s="23">
        <v>16</v>
      </c>
      <c r="B277" s="48" t="s">
        <v>1180</v>
      </c>
      <c r="C277" s="14">
        <f>data!BG71</f>
        <v>0</v>
      </c>
      <c r="D277" s="14">
        <f>data!BH71</f>
        <v>0</v>
      </c>
      <c r="E277" s="14">
        <f>data!BI71</f>
        <v>0</v>
      </c>
      <c r="F277" s="14">
        <f>data!BJ71</f>
        <v>671519</v>
      </c>
      <c r="G277" s="14">
        <f>data!BK71</f>
        <v>0</v>
      </c>
      <c r="H277" s="14">
        <f>data!BL71</f>
        <v>424996</v>
      </c>
      <c r="I277" s="14">
        <f>data!BM71</f>
        <v>0</v>
      </c>
    </row>
    <row r="278" spans="1:9" ht="20.100000000000001" customHeight="1" x14ac:dyDescent="0.25">
      <c r="A278" s="23">
        <v>17</v>
      </c>
      <c r="B278" s="14" t="s">
        <v>244</v>
      </c>
      <c r="C278" s="209"/>
      <c r="D278" s="209"/>
      <c r="E278" s="209"/>
      <c r="F278" s="209"/>
      <c r="G278" s="209"/>
      <c r="H278" s="209"/>
      <c r="I278" s="209"/>
    </row>
    <row r="279" spans="1:9" ht="20.100000000000001" customHeight="1" x14ac:dyDescent="0.25">
      <c r="A279" s="23">
        <v>18</v>
      </c>
      <c r="B279" s="14" t="s">
        <v>1181</v>
      </c>
      <c r="C279" s="14"/>
      <c r="D279" s="14"/>
      <c r="E279" s="14"/>
      <c r="F279" s="14"/>
      <c r="G279" s="14"/>
      <c r="H279" s="14"/>
      <c r="I279" s="14"/>
    </row>
    <row r="280" spans="1:9" ht="20.100000000000001" customHeight="1" x14ac:dyDescent="0.25">
      <c r="A280" s="23">
        <v>19</v>
      </c>
      <c r="B280" s="48" t="s">
        <v>1182</v>
      </c>
      <c r="C280" s="211" t="str">
        <f>IF(data!BG73&gt;0,data!BG73,"")</f>
        <v>x</v>
      </c>
      <c r="D280" s="211" t="str">
        <f>IF(data!BH73&gt;0,data!BH73,"")</f>
        <v>x</v>
      </c>
      <c r="E280" s="211" t="str">
        <f>IF(data!BI73&gt;0,data!BI73,"")</f>
        <v>x</v>
      </c>
      <c r="F280" s="211" t="str">
        <f>IF(data!BJ73&gt;0,data!BJ73,"")</f>
        <v>x</v>
      </c>
      <c r="G280" s="211" t="str">
        <f>IF(data!BK73&gt;0,data!BK73,"")</f>
        <v>x</v>
      </c>
      <c r="H280" s="211" t="str">
        <f>IF(data!BL73&gt;0,data!BL73,"")</f>
        <v>x</v>
      </c>
      <c r="I280" s="211" t="str">
        <f>IF(data!BM73&gt;0,data!BM73,"")</f>
        <v>x</v>
      </c>
    </row>
    <row r="281" spans="1:9" ht="20.100000000000001" customHeight="1" x14ac:dyDescent="0.25">
      <c r="A281" s="23">
        <v>20</v>
      </c>
      <c r="B281" s="48" t="s">
        <v>1183</v>
      </c>
      <c r="C281" s="211" t="str">
        <f>IF(data!BG74&gt;0,data!BG74,"")</f>
        <v>x</v>
      </c>
      <c r="D281" s="211" t="str">
        <f>IF(data!BH74&gt;0,data!BH74,"")</f>
        <v>x</v>
      </c>
      <c r="E281" s="211" t="str">
        <f>IF(data!BI74&gt;0,data!BI74,"")</f>
        <v>x</v>
      </c>
      <c r="F281" s="211" t="str">
        <f>IF(data!BJ74&gt;0,data!BJ74,"")</f>
        <v>x</v>
      </c>
      <c r="G281" s="211" t="str">
        <f>IF(data!BK74&gt;0,data!BK74,"")</f>
        <v>x</v>
      </c>
      <c r="H281" s="211" t="str">
        <f>IF(data!BL74&gt;0,data!BL74,"")</f>
        <v>x</v>
      </c>
      <c r="I281" s="211" t="str">
        <f>IF(data!BM74&gt;0,data!BM74,"")</f>
        <v>x</v>
      </c>
    </row>
    <row r="282" spans="1:9" ht="20.100000000000001" customHeight="1" x14ac:dyDescent="0.25">
      <c r="A282" s="23">
        <v>21</v>
      </c>
      <c r="B282" s="48" t="s">
        <v>1184</v>
      </c>
      <c r="C282" s="211" t="str">
        <f>IF(data!BG75&gt;0,data!BG75,"")</f>
        <v>x</v>
      </c>
      <c r="D282" s="211" t="str">
        <f>IF(data!BH75&gt;0,data!BH75,"")</f>
        <v>x</v>
      </c>
      <c r="E282" s="211" t="str">
        <f>IF(data!BI75&gt;0,data!BI75,"")</f>
        <v>x</v>
      </c>
      <c r="F282" s="211" t="str">
        <f>IF(data!BJ75&gt;0,data!BJ75,"")</f>
        <v>x</v>
      </c>
      <c r="G282" s="211" t="str">
        <f>IF(data!BK75&gt;0,data!BK75,"")</f>
        <v>x</v>
      </c>
      <c r="H282" s="211" t="str">
        <f>IF(data!BL75&gt;0,data!BL75,"")</f>
        <v>x</v>
      </c>
      <c r="I282" s="211" t="str">
        <f>IF(data!BM75&gt;0,data!BM75,"")</f>
        <v>x</v>
      </c>
    </row>
    <row r="283" spans="1:9" ht="20.100000000000001" customHeight="1" x14ac:dyDescent="0.25">
      <c r="A283" s="23" t="s">
        <v>1185</v>
      </c>
      <c r="B283" s="60"/>
      <c r="C283" s="213"/>
      <c r="D283" s="213"/>
      <c r="E283" s="213"/>
      <c r="F283" s="213"/>
      <c r="G283" s="213"/>
      <c r="H283" s="213"/>
      <c r="I283" s="213"/>
    </row>
    <row r="284" spans="1:9" ht="20.100000000000001" customHeight="1" x14ac:dyDescent="0.25">
      <c r="A284" s="23">
        <v>22</v>
      </c>
      <c r="B284" s="14" t="s">
        <v>1186</v>
      </c>
      <c r="C284" s="85">
        <f>data!BG76</f>
        <v>0</v>
      </c>
      <c r="D284" s="85">
        <f>data!BH76</f>
        <v>0</v>
      </c>
      <c r="E284" s="85">
        <f>data!BI76</f>
        <v>0</v>
      </c>
      <c r="F284" s="85">
        <f>data!BJ76</f>
        <v>0</v>
      </c>
      <c r="G284" s="85">
        <f>data!BK76</f>
        <v>0</v>
      </c>
      <c r="H284" s="85">
        <f>data!BL76</f>
        <v>0</v>
      </c>
      <c r="I284" s="85">
        <f>data!BM76</f>
        <v>0</v>
      </c>
    </row>
    <row r="285" spans="1:9" ht="20.100000000000001" customHeight="1" x14ac:dyDescent="0.25">
      <c r="A285" s="23">
        <v>23</v>
      </c>
      <c r="B285" s="14" t="s">
        <v>1187</v>
      </c>
      <c r="C285" s="211" t="str">
        <f>IF(data!BG77&gt;0,data!BG77,"")</f>
        <v>x</v>
      </c>
      <c r="D285" s="85">
        <f>data!BH77</f>
        <v>0</v>
      </c>
      <c r="E285" s="85">
        <f>data!BI77</f>
        <v>0</v>
      </c>
      <c r="F285" s="211" t="str">
        <f>IF(data!BJ77&gt;0,data!BJ77,"")</f>
        <v>x</v>
      </c>
      <c r="G285" s="85">
        <f>data!BK77</f>
        <v>0</v>
      </c>
      <c r="H285" s="85">
        <f>data!BL77</f>
        <v>0</v>
      </c>
      <c r="I285" s="85">
        <f>data!BM77</f>
        <v>0</v>
      </c>
    </row>
    <row r="286" spans="1:9" ht="20.100000000000001" customHeight="1" x14ac:dyDescent="0.25">
      <c r="A286" s="23">
        <v>24</v>
      </c>
      <c r="B286" s="14" t="s">
        <v>1188</v>
      </c>
      <c r="C286" s="211" t="str">
        <f>IF(data!BG78&gt;0,data!BG78,"")</f>
        <v>x</v>
      </c>
      <c r="D286" s="85">
        <f>data!BH78</f>
        <v>0</v>
      </c>
      <c r="E286" s="85">
        <f>data!BI78</f>
        <v>0</v>
      </c>
      <c r="F286" s="211" t="str">
        <f>IF(data!BJ78&gt;0,data!BJ78,"")</f>
        <v>x</v>
      </c>
      <c r="G286" s="85">
        <f>data!BK78</f>
        <v>0</v>
      </c>
      <c r="H286" s="85">
        <f>data!BL78</f>
        <v>0</v>
      </c>
      <c r="I286" s="85">
        <f>data!BM78</f>
        <v>0</v>
      </c>
    </row>
    <row r="287" spans="1:9" ht="20.100000000000001" customHeight="1" x14ac:dyDescent="0.25">
      <c r="A287" s="23">
        <v>25</v>
      </c>
      <c r="B287" s="14" t="s">
        <v>1189</v>
      </c>
      <c r="C287" s="211" t="str">
        <f>IF(data!BG79&gt;0,data!BG79,"")</f>
        <v>x</v>
      </c>
      <c r="D287" s="85">
        <f>data!BH79</f>
        <v>0</v>
      </c>
      <c r="E287" s="85">
        <f>data!BI79</f>
        <v>0</v>
      </c>
      <c r="F287" s="211" t="str">
        <f>IF(data!BJ79&gt;0,data!BJ79,"")</f>
        <v>x</v>
      </c>
      <c r="G287" s="85">
        <f>data!BK79</f>
        <v>0</v>
      </c>
      <c r="H287" s="85">
        <f>data!BL79</f>
        <v>0</v>
      </c>
      <c r="I287" s="85">
        <f>data!BM79</f>
        <v>0</v>
      </c>
    </row>
    <row r="288" spans="1:9" ht="20.100000000000001" customHeight="1" x14ac:dyDescent="0.25">
      <c r="A288" s="23">
        <v>26</v>
      </c>
      <c r="B288" s="14" t="s">
        <v>252</v>
      </c>
      <c r="C288" s="211" t="str">
        <f>IF(data!BG80&gt;0,data!BG80,"")</f>
        <v>x</v>
      </c>
      <c r="D288" s="211" t="str">
        <f>IF(data!BH80&gt;0,data!BH80,"")</f>
        <v>x</v>
      </c>
      <c r="E288" s="211" t="str">
        <f>IF(data!BI80&gt;0,data!BI80,"")</f>
        <v>x</v>
      </c>
      <c r="F288" s="211" t="str">
        <f>IF(data!BJ80&gt;0,data!BJ80,"")</f>
        <v>x</v>
      </c>
      <c r="G288" s="211" t="str">
        <f>IF(data!BK80&gt;0,data!BK80,"")</f>
        <v>x</v>
      </c>
      <c r="H288" s="211" t="str">
        <f>IF(data!BL80&gt;0,data!BL80,"")</f>
        <v>x</v>
      </c>
      <c r="I288" s="211" t="str">
        <f>IF(data!BM80&gt;0,data!BM80,"")</f>
        <v>x</v>
      </c>
    </row>
    <row r="289" spans="1:9" ht="20.100000000000001" customHeight="1" x14ac:dyDescent="0.25">
      <c r="A289" s="4" t="s">
        <v>1173</v>
      </c>
      <c r="B289" s="5"/>
      <c r="C289" s="5"/>
      <c r="D289" s="6"/>
      <c r="E289" s="5"/>
      <c r="F289" s="5"/>
      <c r="G289" s="5"/>
      <c r="H289" s="5"/>
      <c r="I289" s="4"/>
    </row>
    <row r="290" spans="1:9" ht="20.100000000000001" customHeight="1" x14ac:dyDescent="0.25">
      <c r="A290" s="77"/>
      <c r="B290" s="77"/>
      <c r="C290" s="77"/>
      <c r="D290" s="45"/>
      <c r="E290" s="77"/>
      <c r="F290" s="77"/>
      <c r="G290" s="77"/>
      <c r="H290" s="77"/>
      <c r="I290" s="168" t="s">
        <v>1223</v>
      </c>
    </row>
    <row r="291" spans="1:9" ht="20.100000000000001" customHeight="1" x14ac:dyDescent="0.25">
      <c r="A291" s="45"/>
      <c r="B291" s="77"/>
      <c r="C291" s="77"/>
      <c r="D291" s="77"/>
      <c r="E291" s="77"/>
      <c r="F291" s="77"/>
      <c r="G291" s="77"/>
      <c r="H291" s="77"/>
      <c r="I291" s="77"/>
    </row>
    <row r="292" spans="1:9" ht="20.100000000000001" customHeight="1" x14ac:dyDescent="0.25">
      <c r="A292" s="79" t="str">
        <f>"HOSPITAL NAME: "&amp;data!C84</f>
        <v>HOSPITAL NAME: Lake Chelan Community Hospital</v>
      </c>
      <c r="B292" s="77"/>
      <c r="C292" s="77"/>
      <c r="D292" s="77"/>
      <c r="E292" s="77"/>
      <c r="F292" s="77"/>
      <c r="G292" s="80"/>
      <c r="H292" s="79" t="str">
        <f>"FYE: "&amp;data!C82</f>
        <v>FYE: 12/31/2019</v>
      </c>
    </row>
    <row r="293" spans="1:9" ht="20.100000000000001" customHeight="1" x14ac:dyDescent="0.25">
      <c r="A293" s="23">
        <v>1</v>
      </c>
      <c r="B293" s="14" t="s">
        <v>209</v>
      </c>
      <c r="C293" s="15" t="s">
        <v>73</v>
      </c>
      <c r="D293" s="15" t="s">
        <v>74</v>
      </c>
      <c r="E293" s="15" t="s">
        <v>75</v>
      </c>
      <c r="F293" s="15" t="s">
        <v>76</v>
      </c>
      <c r="G293" s="15" t="s">
        <v>77</v>
      </c>
      <c r="H293" s="15" t="s">
        <v>78</v>
      </c>
      <c r="I293" s="15" t="s">
        <v>79</v>
      </c>
    </row>
    <row r="294" spans="1:9" ht="20.100000000000001" customHeight="1" x14ac:dyDescent="0.25">
      <c r="A294" s="81">
        <v>2</v>
      </c>
      <c r="B294" s="17" t="s">
        <v>1175</v>
      </c>
      <c r="C294" s="18" t="s">
        <v>148</v>
      </c>
      <c r="D294" s="18" t="s">
        <v>149</v>
      </c>
      <c r="E294" s="18" t="s">
        <v>150</v>
      </c>
      <c r="F294" s="18" t="s">
        <v>151</v>
      </c>
      <c r="G294" s="25"/>
      <c r="H294" s="18" t="s">
        <v>153</v>
      </c>
      <c r="I294" s="18" t="s">
        <v>154</v>
      </c>
    </row>
    <row r="295" spans="1:9" ht="20.100000000000001" customHeight="1" x14ac:dyDescent="0.25">
      <c r="A295" s="82"/>
      <c r="B295" s="83"/>
      <c r="C295" s="18" t="s">
        <v>1224</v>
      </c>
      <c r="D295" s="18" t="s">
        <v>194</v>
      </c>
      <c r="E295" s="18" t="s">
        <v>195</v>
      </c>
      <c r="F295" s="18" t="s">
        <v>196</v>
      </c>
      <c r="G295" s="18" t="s">
        <v>152</v>
      </c>
      <c r="H295" s="18" t="s">
        <v>197</v>
      </c>
      <c r="I295" s="18" t="s">
        <v>169</v>
      </c>
    </row>
    <row r="296" spans="1:9" ht="20.100000000000001" customHeight="1" x14ac:dyDescent="0.25">
      <c r="A296" s="23">
        <v>3</v>
      </c>
      <c r="B296" s="14" t="s">
        <v>1179</v>
      </c>
      <c r="C296" s="210"/>
      <c r="D296" s="210"/>
      <c r="E296" s="210"/>
      <c r="F296" s="210"/>
      <c r="G296" s="210"/>
      <c r="H296" s="210"/>
      <c r="I296" s="210"/>
    </row>
    <row r="297" spans="1:9" ht="20.100000000000001" customHeight="1" x14ac:dyDescent="0.25">
      <c r="A297" s="23">
        <v>4</v>
      </c>
      <c r="B297" s="14" t="s">
        <v>233</v>
      </c>
      <c r="C297" s="210"/>
      <c r="D297" s="210"/>
      <c r="E297" s="210"/>
      <c r="F297" s="210"/>
      <c r="G297" s="210"/>
      <c r="H297" s="210"/>
      <c r="I297" s="210"/>
    </row>
    <row r="298" spans="1:9" ht="20.100000000000001" customHeight="1" x14ac:dyDescent="0.25">
      <c r="A298" s="23">
        <v>5</v>
      </c>
      <c r="B298" s="14" t="s">
        <v>234</v>
      </c>
      <c r="C298" s="26">
        <f>data!BN60</f>
        <v>7.9828124999999996</v>
      </c>
      <c r="D298" s="26">
        <f>data!BO60</f>
        <v>0</v>
      </c>
      <c r="E298" s="26">
        <f>data!BP60</f>
        <v>0.7153846153846154</v>
      </c>
      <c r="F298" s="26">
        <f>data!BQ60</f>
        <v>0</v>
      </c>
      <c r="G298" s="26">
        <f>data!BR60</f>
        <v>0</v>
      </c>
      <c r="H298" s="26">
        <f>data!BS60</f>
        <v>0</v>
      </c>
      <c r="I298" s="26">
        <f>data!BT60</f>
        <v>0</v>
      </c>
    </row>
    <row r="299" spans="1:9" ht="20.100000000000001" customHeight="1" x14ac:dyDescent="0.25">
      <c r="A299" s="23">
        <v>6</v>
      </c>
      <c r="B299" s="14" t="s">
        <v>235</v>
      </c>
      <c r="C299" s="14">
        <f>data!BN61</f>
        <v>2193472</v>
      </c>
      <c r="D299" s="14">
        <f>data!BO61</f>
        <v>0</v>
      </c>
      <c r="E299" s="14">
        <f>data!BP61</f>
        <v>0</v>
      </c>
      <c r="F299" s="14">
        <f>data!BQ61</f>
        <v>0</v>
      </c>
      <c r="G299" s="14">
        <f>data!BR61</f>
        <v>0</v>
      </c>
      <c r="H299" s="14">
        <f>data!BS61</f>
        <v>0</v>
      </c>
      <c r="I299" s="14">
        <f>data!BT61</f>
        <v>0</v>
      </c>
    </row>
    <row r="300" spans="1:9" ht="20.100000000000001" customHeight="1" x14ac:dyDescent="0.25">
      <c r="A300" s="23">
        <v>7</v>
      </c>
      <c r="B300" s="14" t="s">
        <v>3</v>
      </c>
      <c r="C300" s="14">
        <f>data!BN62</f>
        <v>446195</v>
      </c>
      <c r="D300" s="14">
        <f>data!BO62</f>
        <v>0</v>
      </c>
      <c r="E300" s="14">
        <f>data!BP62</f>
        <v>0</v>
      </c>
      <c r="F300" s="14">
        <f>data!BQ62</f>
        <v>0</v>
      </c>
      <c r="G300" s="14">
        <f>data!BR62</f>
        <v>0</v>
      </c>
      <c r="H300" s="14">
        <f>data!BS62</f>
        <v>0</v>
      </c>
      <c r="I300" s="14">
        <f>data!BT62</f>
        <v>0</v>
      </c>
    </row>
    <row r="301" spans="1:9" ht="20.100000000000001" customHeight="1" x14ac:dyDescent="0.25">
      <c r="A301" s="23">
        <v>8</v>
      </c>
      <c r="B301" s="14" t="s">
        <v>236</v>
      </c>
      <c r="C301" s="14">
        <f>data!BN63</f>
        <v>0</v>
      </c>
      <c r="D301" s="14">
        <f>data!BO63</f>
        <v>0</v>
      </c>
      <c r="E301" s="14">
        <f>data!BP63</f>
        <v>0</v>
      </c>
      <c r="F301" s="14">
        <f>data!BQ63</f>
        <v>0</v>
      </c>
      <c r="G301" s="14">
        <f>data!BR63</f>
        <v>0</v>
      </c>
      <c r="H301" s="14">
        <f>data!BS63</f>
        <v>0</v>
      </c>
      <c r="I301" s="14">
        <f>data!BT63</f>
        <v>0</v>
      </c>
    </row>
    <row r="302" spans="1:9" ht="20.100000000000001" customHeight="1" x14ac:dyDescent="0.25">
      <c r="A302" s="23">
        <v>9</v>
      </c>
      <c r="B302" s="14" t="s">
        <v>237</v>
      </c>
      <c r="C302" s="14">
        <f>data!BN64</f>
        <v>79793</v>
      </c>
      <c r="D302" s="14">
        <f>data!BO64</f>
        <v>0</v>
      </c>
      <c r="E302" s="14">
        <f>data!BP64</f>
        <v>0</v>
      </c>
      <c r="F302" s="14">
        <f>data!BQ64</f>
        <v>0</v>
      </c>
      <c r="G302" s="14">
        <f>data!BR64</f>
        <v>0</v>
      </c>
      <c r="H302" s="14">
        <f>data!BS64</f>
        <v>0</v>
      </c>
      <c r="I302" s="14">
        <f>data!BT64</f>
        <v>0</v>
      </c>
    </row>
    <row r="303" spans="1:9" ht="20.100000000000001" customHeight="1" x14ac:dyDescent="0.25">
      <c r="A303" s="23">
        <v>10</v>
      </c>
      <c r="B303" s="14" t="s">
        <v>444</v>
      </c>
      <c r="C303" s="14">
        <f>data!BN65</f>
        <v>62858</v>
      </c>
      <c r="D303" s="14">
        <f>data!BO65</f>
        <v>0</v>
      </c>
      <c r="E303" s="14">
        <f>data!BP65</f>
        <v>0</v>
      </c>
      <c r="F303" s="14">
        <f>data!BQ65</f>
        <v>0</v>
      </c>
      <c r="G303" s="14">
        <f>data!BR65</f>
        <v>0</v>
      </c>
      <c r="H303" s="14">
        <f>data!BS65</f>
        <v>0</v>
      </c>
      <c r="I303" s="14">
        <f>data!BT65</f>
        <v>0</v>
      </c>
    </row>
    <row r="304" spans="1:9" ht="20.100000000000001" customHeight="1" x14ac:dyDescent="0.25">
      <c r="A304" s="23">
        <v>11</v>
      </c>
      <c r="B304" s="14" t="s">
        <v>445</v>
      </c>
      <c r="C304" s="14">
        <f>data!BN66</f>
        <v>301435</v>
      </c>
      <c r="D304" s="14">
        <f>data!BO66</f>
        <v>0</v>
      </c>
      <c r="E304" s="14">
        <f>data!BP66</f>
        <v>0</v>
      </c>
      <c r="F304" s="14">
        <f>data!BQ66</f>
        <v>0</v>
      </c>
      <c r="G304" s="14">
        <f>data!BR66</f>
        <v>0</v>
      </c>
      <c r="H304" s="14">
        <f>data!BS66</f>
        <v>0</v>
      </c>
      <c r="I304" s="14">
        <f>data!BT66</f>
        <v>0</v>
      </c>
    </row>
    <row r="305" spans="1:9" ht="20.100000000000001" customHeight="1" x14ac:dyDescent="0.25">
      <c r="A305" s="23">
        <v>12</v>
      </c>
      <c r="B305" s="14" t="s">
        <v>6</v>
      </c>
      <c r="C305" s="14">
        <f>data!BN67</f>
        <v>133409</v>
      </c>
      <c r="D305" s="14">
        <f>data!BO67</f>
        <v>0</v>
      </c>
      <c r="E305" s="14">
        <f>data!BP67</f>
        <v>0</v>
      </c>
      <c r="F305" s="14">
        <f>data!BQ67</f>
        <v>0</v>
      </c>
      <c r="G305" s="14">
        <f>data!BR67</f>
        <v>0</v>
      </c>
      <c r="H305" s="14">
        <f>data!BS67</f>
        <v>0</v>
      </c>
      <c r="I305" s="14">
        <f>data!BT67</f>
        <v>0</v>
      </c>
    </row>
    <row r="306" spans="1:9" ht="20.100000000000001" customHeight="1" x14ac:dyDescent="0.25">
      <c r="A306" s="23">
        <v>13</v>
      </c>
      <c r="B306" s="14" t="s">
        <v>474</v>
      </c>
      <c r="C306" s="14">
        <f>data!BN68</f>
        <v>42307</v>
      </c>
      <c r="D306" s="14">
        <f>data!BO68</f>
        <v>0</v>
      </c>
      <c r="E306" s="14">
        <f>data!BP68</f>
        <v>0</v>
      </c>
      <c r="F306" s="14">
        <f>data!BQ68</f>
        <v>0</v>
      </c>
      <c r="G306" s="14">
        <f>data!BR68</f>
        <v>0</v>
      </c>
      <c r="H306" s="14">
        <f>data!BS68</f>
        <v>0</v>
      </c>
      <c r="I306" s="14">
        <f>data!BT68</f>
        <v>0</v>
      </c>
    </row>
    <row r="307" spans="1:9" ht="20.100000000000001" customHeight="1" x14ac:dyDescent="0.25">
      <c r="A307" s="23">
        <v>14</v>
      </c>
      <c r="B307" s="14" t="s">
        <v>241</v>
      </c>
      <c r="C307" s="14">
        <f>data!BN69</f>
        <v>324428</v>
      </c>
      <c r="D307" s="14">
        <f>data!BO69</f>
        <v>0</v>
      </c>
      <c r="E307" s="14">
        <f>data!BP69</f>
        <v>0</v>
      </c>
      <c r="F307" s="14">
        <f>data!BQ69</f>
        <v>0</v>
      </c>
      <c r="G307" s="14">
        <f>data!BR69</f>
        <v>0</v>
      </c>
      <c r="H307" s="14">
        <f>data!BS69</f>
        <v>0</v>
      </c>
      <c r="I307" s="14">
        <f>data!BT69</f>
        <v>0</v>
      </c>
    </row>
    <row r="308" spans="1:9" ht="20.100000000000001" customHeight="1" x14ac:dyDescent="0.25">
      <c r="A308" s="23">
        <v>15</v>
      </c>
      <c r="B308" s="14" t="s">
        <v>242</v>
      </c>
      <c r="C308" s="14">
        <f>-data!BN70</f>
        <v>-5260</v>
      </c>
      <c r="D308" s="14">
        <f>-data!BO70</f>
        <v>0</v>
      </c>
      <c r="E308" s="14">
        <f>-data!BP70</f>
        <v>0</v>
      </c>
      <c r="F308" s="14">
        <f>-data!BQ70</f>
        <v>0</v>
      </c>
      <c r="G308" s="14">
        <f>-data!BR70</f>
        <v>0</v>
      </c>
      <c r="H308" s="14">
        <f>-data!BS70</f>
        <v>0</v>
      </c>
      <c r="I308" s="14">
        <f>-data!BT70</f>
        <v>0</v>
      </c>
    </row>
    <row r="309" spans="1:9" ht="20.100000000000001" customHeight="1" x14ac:dyDescent="0.25">
      <c r="A309" s="23">
        <v>16</v>
      </c>
      <c r="B309" s="48" t="s">
        <v>1180</v>
      </c>
      <c r="C309" s="14">
        <f>data!BN71</f>
        <v>3578637</v>
      </c>
      <c r="D309" s="14">
        <f>data!BO71</f>
        <v>0</v>
      </c>
      <c r="E309" s="14">
        <f>data!BP71</f>
        <v>0</v>
      </c>
      <c r="F309" s="14">
        <f>data!BQ71</f>
        <v>0</v>
      </c>
      <c r="G309" s="14">
        <f>data!BR71</f>
        <v>0</v>
      </c>
      <c r="H309" s="14">
        <f>data!BS71</f>
        <v>0</v>
      </c>
      <c r="I309" s="14">
        <f>data!BT71</f>
        <v>0</v>
      </c>
    </row>
    <row r="310" spans="1:9" ht="20.100000000000001" customHeight="1" x14ac:dyDescent="0.25">
      <c r="A310" s="23">
        <v>17</v>
      </c>
      <c r="B310" s="14" t="s">
        <v>244</v>
      </c>
      <c r="C310" s="209"/>
      <c r="D310" s="209"/>
      <c r="E310" s="209"/>
      <c r="F310" s="209"/>
      <c r="G310" s="209"/>
      <c r="H310" s="209"/>
      <c r="I310" s="209"/>
    </row>
    <row r="311" spans="1:9" ht="20.100000000000001" customHeight="1" x14ac:dyDescent="0.25">
      <c r="A311" s="23">
        <v>18</v>
      </c>
      <c r="B311" s="14" t="s">
        <v>1181</v>
      </c>
      <c r="C311" s="14"/>
      <c r="D311" s="14"/>
      <c r="E311" s="14"/>
      <c r="F311" s="14"/>
      <c r="G311" s="14"/>
      <c r="H311" s="14"/>
      <c r="I311" s="14"/>
    </row>
    <row r="312" spans="1:9" ht="20.100000000000001" customHeight="1" x14ac:dyDescent="0.25">
      <c r="A312" s="23">
        <v>19</v>
      </c>
      <c r="B312" s="48" t="s">
        <v>1182</v>
      </c>
      <c r="C312" s="211" t="str">
        <f>IF(data!BN73&gt;0,data!BN73,"")</f>
        <v>x</v>
      </c>
      <c r="D312" s="211" t="str">
        <f>IF(data!BO73&gt;0,data!BO73,"")</f>
        <v>x</v>
      </c>
      <c r="E312" s="211" t="str">
        <f>IF(data!BP73&gt;0,data!BP73,"")</f>
        <v>x</v>
      </c>
      <c r="F312" s="211" t="str">
        <f>IF(data!BQ73&gt;0,data!BQ73,"")</f>
        <v>x</v>
      </c>
      <c r="G312" s="211" t="str">
        <f>IF(data!BR73&gt;0,data!BR73,"")</f>
        <v>x</v>
      </c>
      <c r="H312" s="211" t="str">
        <f>IF(data!BS73&gt;0,data!BS73,"")</f>
        <v>x</v>
      </c>
      <c r="I312" s="211" t="str">
        <f>IF(data!BT73&gt;0,data!BT73,"")</f>
        <v>x</v>
      </c>
    </row>
    <row r="313" spans="1:9" ht="20.100000000000001" customHeight="1" x14ac:dyDescent="0.25">
      <c r="A313" s="23">
        <v>20</v>
      </c>
      <c r="B313" s="48" t="s">
        <v>1183</v>
      </c>
      <c r="C313" s="211" t="str">
        <f>IF(data!BN74&gt;0,data!BN74,"")</f>
        <v>x</v>
      </c>
      <c r="D313" s="211" t="str">
        <f>IF(data!BO74&gt;0,data!BO74,"")</f>
        <v>x</v>
      </c>
      <c r="E313" s="211" t="str">
        <f>IF(data!BP74&gt;0,data!BP74,"")</f>
        <v>x</v>
      </c>
      <c r="F313" s="211" t="str">
        <f>IF(data!BQ74&gt;0,data!BQ74,"")</f>
        <v>x</v>
      </c>
      <c r="G313" s="211" t="str">
        <f>IF(data!BR74&gt;0,data!BR74,"")</f>
        <v>x</v>
      </c>
      <c r="H313" s="211" t="str">
        <f>IF(data!BS74&gt;0,data!BS74,"")</f>
        <v>x</v>
      </c>
      <c r="I313" s="211" t="str">
        <f>IF(data!BT74&gt;0,data!BT74,"")</f>
        <v>x</v>
      </c>
    </row>
    <row r="314" spans="1:9" ht="20.100000000000001" customHeight="1" x14ac:dyDescent="0.25">
      <c r="A314" s="23">
        <v>21</v>
      </c>
      <c r="B314" s="48" t="s">
        <v>1184</v>
      </c>
      <c r="C314" s="211" t="str">
        <f>IF(data!BN75&gt;0,data!BN75,"")</f>
        <v>x</v>
      </c>
      <c r="D314" s="211" t="str">
        <f>IF(data!BO75&gt;0,data!BO75,"")</f>
        <v>x</v>
      </c>
      <c r="E314" s="211" t="str">
        <f>IF(data!BP75&gt;0,data!BP75,"")</f>
        <v>x</v>
      </c>
      <c r="F314" s="211" t="str">
        <f>IF(data!BQ75&gt;0,data!BQ75,"")</f>
        <v>x</v>
      </c>
      <c r="G314" s="211" t="str">
        <f>IF(data!BR75&gt;0,data!BR75,"")</f>
        <v>x</v>
      </c>
      <c r="H314" s="211" t="str">
        <f>IF(data!BS75&gt;0,data!BS75,"")</f>
        <v>x</v>
      </c>
      <c r="I314" s="211" t="str">
        <f>IF(data!BT75&gt;0,data!BT75,"")</f>
        <v>x</v>
      </c>
    </row>
    <row r="315" spans="1:9" ht="20.100000000000001" customHeight="1" x14ac:dyDescent="0.25">
      <c r="A315" s="23" t="s">
        <v>1185</v>
      </c>
      <c r="B315" s="60"/>
      <c r="C315" s="209"/>
      <c r="D315" s="209"/>
      <c r="E315" s="209"/>
      <c r="F315" s="209"/>
      <c r="G315" s="209"/>
      <c r="H315" s="209"/>
      <c r="I315" s="209"/>
    </row>
    <row r="316" spans="1:9" ht="20.100000000000001" customHeight="1" x14ac:dyDescent="0.25">
      <c r="A316" s="23">
        <v>22</v>
      </c>
      <c r="B316" s="14" t="s">
        <v>1186</v>
      </c>
      <c r="C316" s="85">
        <f>data!BN76</f>
        <v>7547</v>
      </c>
      <c r="D316" s="85">
        <f>data!BO76</f>
        <v>0</v>
      </c>
      <c r="E316" s="85">
        <f>data!BP76</f>
        <v>0</v>
      </c>
      <c r="F316" s="85">
        <f>data!BQ76</f>
        <v>0</v>
      </c>
      <c r="G316" s="85">
        <f>data!BR76</f>
        <v>0</v>
      </c>
      <c r="H316" s="85">
        <f>data!BS76</f>
        <v>0</v>
      </c>
      <c r="I316" s="85">
        <f>data!BT76</f>
        <v>0</v>
      </c>
    </row>
    <row r="317" spans="1:9" ht="20.100000000000001" customHeight="1" x14ac:dyDescent="0.25">
      <c r="A317" s="23">
        <v>23</v>
      </c>
      <c r="B317" s="14" t="s">
        <v>1187</v>
      </c>
      <c r="C317" s="211" t="str">
        <f>IF(data!BN77&gt;0,data!BN77,"")</f>
        <v>x</v>
      </c>
      <c r="D317" s="211" t="str">
        <f>IF(data!BO77&gt;0,data!BO77,"")</f>
        <v>x</v>
      </c>
      <c r="E317" s="211" t="str">
        <f>IF(data!BP77&gt;0,data!BP77,"")</f>
        <v>x</v>
      </c>
      <c r="F317" s="211" t="str">
        <f>IF(data!BQ77&gt;0,data!BQ77,"")</f>
        <v>x</v>
      </c>
      <c r="G317" s="85">
        <f>data!BR77</f>
        <v>0</v>
      </c>
      <c r="H317" s="85">
        <f>data!BS77</f>
        <v>0</v>
      </c>
      <c r="I317" s="85">
        <f>data!BT77</f>
        <v>0</v>
      </c>
    </row>
    <row r="318" spans="1:9" ht="20.100000000000001" customHeight="1" x14ac:dyDescent="0.25">
      <c r="A318" s="23">
        <v>24</v>
      </c>
      <c r="B318" s="14" t="s">
        <v>1188</v>
      </c>
      <c r="C318" s="211" t="str">
        <f>IF(data!BN78&gt;0,data!BN78,"")</f>
        <v>x</v>
      </c>
      <c r="D318" s="211" t="str">
        <f>IF(data!BO78&gt;0,data!BO78,"")</f>
        <v>x</v>
      </c>
      <c r="E318" s="211" t="str">
        <f>IF(data!BP78&gt;0,data!BP78,"")</f>
        <v>x</v>
      </c>
      <c r="F318" s="211" t="str">
        <f>IF(data!BQ78&gt;0,data!BQ78,"")</f>
        <v>x</v>
      </c>
      <c r="G318" s="211" t="str">
        <f>IF(data!BR78&gt;0,data!BR78,"")</f>
        <v>x</v>
      </c>
      <c r="H318" s="85">
        <f>data!BS78</f>
        <v>0</v>
      </c>
      <c r="I318" s="85">
        <f>data!BT78</f>
        <v>0</v>
      </c>
    </row>
    <row r="319" spans="1:9" ht="20.100000000000001" customHeight="1" x14ac:dyDescent="0.25">
      <c r="A319" s="23">
        <v>25</v>
      </c>
      <c r="B319" s="14" t="s">
        <v>1189</v>
      </c>
      <c r="C319" s="211" t="str">
        <f>IF(data!BN79&gt;0,data!BN79,"")</f>
        <v>x</v>
      </c>
      <c r="D319" s="211" t="str">
        <f>IF(data!BO79&gt;0,data!BO79,"")</f>
        <v>x</v>
      </c>
      <c r="E319" s="211" t="str">
        <f>IF(data!BP79&gt;0,data!BP79,"")</f>
        <v>x</v>
      </c>
      <c r="F319" s="211" t="str">
        <f>IF(data!BQ79&gt;0,data!BQ79,"")</f>
        <v>x</v>
      </c>
      <c r="G319" s="211" t="str">
        <f>IF(data!BR79&gt;0,data!BR79,"")</f>
        <v>x</v>
      </c>
      <c r="H319" s="85">
        <f>data!BS79</f>
        <v>0</v>
      </c>
      <c r="I319" s="85">
        <f>data!BT79</f>
        <v>0</v>
      </c>
    </row>
    <row r="320" spans="1:9" ht="20.100000000000001" customHeight="1" x14ac:dyDescent="0.25">
      <c r="A320" s="23">
        <v>26</v>
      </c>
      <c r="B320" s="14" t="s">
        <v>252</v>
      </c>
      <c r="C320" s="214" t="str">
        <f>IF(data!BN80&gt;0,data!BN80,"")</f>
        <v>x</v>
      </c>
      <c r="D320" s="214" t="str">
        <f>IF(data!BO80&gt;0,data!BO80,"")</f>
        <v>x</v>
      </c>
      <c r="E320" s="214" t="str">
        <f>IF(data!BP80&gt;0,data!BP80,"")</f>
        <v>x</v>
      </c>
      <c r="F320" s="214" t="str">
        <f>IF(data!BQ80&gt;0,data!BQ80,"")</f>
        <v>x</v>
      </c>
      <c r="G320" s="214" t="str">
        <f>IF(data!BR80&gt;0,data!BR80,"")</f>
        <v>x</v>
      </c>
      <c r="H320" s="214" t="str">
        <f>IF(data!BS80&gt;0,data!BS80,"")</f>
        <v>x</v>
      </c>
      <c r="I320" s="214" t="str">
        <f>IF(data!BT80&gt;0,data!BT80,"")</f>
        <v>x</v>
      </c>
    </row>
    <row r="321" spans="1:9" ht="20.100000000000001" customHeight="1" x14ac:dyDescent="0.25">
      <c r="A321" s="4" t="s">
        <v>1173</v>
      </c>
      <c r="B321" s="5"/>
      <c r="C321" s="5"/>
      <c r="D321" s="6"/>
      <c r="E321" s="5"/>
      <c r="F321" s="5"/>
      <c r="G321" s="5"/>
      <c r="H321" s="5"/>
      <c r="I321" s="4"/>
    </row>
    <row r="322" spans="1:9" ht="20.100000000000001" customHeight="1" x14ac:dyDescent="0.25">
      <c r="A322" s="77"/>
      <c r="B322" s="77"/>
      <c r="C322" s="77"/>
      <c r="D322" s="45"/>
      <c r="E322" s="77"/>
      <c r="F322" s="77"/>
      <c r="G322" s="77"/>
      <c r="H322" s="77"/>
      <c r="I322" s="168" t="s">
        <v>1225</v>
      </c>
    </row>
    <row r="323" spans="1:9" ht="20.100000000000001" customHeight="1" x14ac:dyDescent="0.25">
      <c r="A323" s="45"/>
      <c r="B323" s="77"/>
      <c r="C323" s="77"/>
      <c r="D323" s="77"/>
      <c r="E323" s="77"/>
      <c r="F323" s="77"/>
      <c r="G323" s="77"/>
      <c r="H323" s="77"/>
      <c r="I323" s="77"/>
    </row>
    <row r="324" spans="1:9" ht="20.100000000000001" customHeight="1" x14ac:dyDescent="0.25">
      <c r="A324" s="79" t="str">
        <f>"HOSPITAL NAME: "&amp;data!C84</f>
        <v>HOSPITAL NAME: Lake Chelan Community Hospital</v>
      </c>
      <c r="B324" s="77"/>
      <c r="C324" s="77"/>
      <c r="D324" s="77"/>
      <c r="E324" s="77"/>
      <c r="F324" s="77"/>
      <c r="G324" s="80"/>
      <c r="H324" s="79" t="str">
        <f>"FYE: "&amp;data!C82</f>
        <v>FYE: 12/31/2019</v>
      </c>
    </row>
    <row r="325" spans="1:9" ht="20.100000000000001" customHeight="1" x14ac:dyDescent="0.25">
      <c r="A325" s="23">
        <v>1</v>
      </c>
      <c r="B325" s="14" t="s">
        <v>209</v>
      </c>
      <c r="C325" s="15" t="s">
        <v>80</v>
      </c>
      <c r="D325" s="15" t="s">
        <v>81</v>
      </c>
      <c r="E325" s="15" t="s">
        <v>82</v>
      </c>
      <c r="F325" s="15" t="s">
        <v>83</v>
      </c>
      <c r="G325" s="15" t="s">
        <v>84</v>
      </c>
      <c r="H325" s="15" t="s">
        <v>85</v>
      </c>
      <c r="I325" s="15" t="s">
        <v>86</v>
      </c>
    </row>
    <row r="326" spans="1:9" ht="20.100000000000001" customHeight="1" x14ac:dyDescent="0.25">
      <c r="A326" s="81">
        <v>2</v>
      </c>
      <c r="B326" s="17" t="s">
        <v>1175</v>
      </c>
      <c r="C326" s="18" t="s">
        <v>155</v>
      </c>
      <c r="D326" s="18" t="s">
        <v>155</v>
      </c>
      <c r="E326" s="18" t="s">
        <v>155</v>
      </c>
      <c r="F326" s="18" t="s">
        <v>156</v>
      </c>
      <c r="G326" s="18" t="s">
        <v>157</v>
      </c>
      <c r="H326" s="18" t="s">
        <v>158</v>
      </c>
      <c r="I326" s="18" t="s">
        <v>159</v>
      </c>
    </row>
    <row r="327" spans="1:9" ht="20.100000000000001" customHeight="1" x14ac:dyDescent="0.25">
      <c r="A327" s="82"/>
      <c r="B327" s="83"/>
      <c r="C327" s="18" t="s">
        <v>198</v>
      </c>
      <c r="D327" s="18" t="s">
        <v>199</v>
      </c>
      <c r="E327" s="18" t="s">
        <v>200</v>
      </c>
      <c r="F327" s="18" t="s">
        <v>151</v>
      </c>
      <c r="G327" s="18" t="s">
        <v>1224</v>
      </c>
      <c r="H327" s="18" t="s">
        <v>152</v>
      </c>
      <c r="I327" s="18" t="s">
        <v>201</v>
      </c>
    </row>
    <row r="328" spans="1:9" ht="20.100000000000001" customHeight="1" x14ac:dyDescent="0.25">
      <c r="A328" s="23">
        <v>3</v>
      </c>
      <c r="B328" s="14" t="s">
        <v>1179</v>
      </c>
      <c r="C328" s="210"/>
      <c r="D328" s="210"/>
      <c r="E328" s="210"/>
      <c r="F328" s="210"/>
      <c r="G328" s="210"/>
      <c r="H328" s="210"/>
      <c r="I328" s="210"/>
    </row>
    <row r="329" spans="1:9" ht="20.100000000000001" customHeight="1" x14ac:dyDescent="0.25">
      <c r="A329" s="23">
        <v>4</v>
      </c>
      <c r="B329" s="14" t="s">
        <v>233</v>
      </c>
      <c r="C329" s="210"/>
      <c r="D329" s="210"/>
      <c r="E329" s="210"/>
      <c r="F329" s="210"/>
      <c r="G329" s="210"/>
      <c r="H329" s="210"/>
      <c r="I329" s="210"/>
    </row>
    <row r="330" spans="1:9" ht="20.100000000000001" customHeight="1" x14ac:dyDescent="0.25">
      <c r="A330" s="23">
        <v>5</v>
      </c>
      <c r="B330" s="14" t="s">
        <v>234</v>
      </c>
      <c r="C330" s="26">
        <f>data!BU60</f>
        <v>0</v>
      </c>
      <c r="D330" s="26">
        <f>data!BV60</f>
        <v>0</v>
      </c>
      <c r="E330" s="26">
        <f>data!BW60</f>
        <v>0</v>
      </c>
      <c r="F330" s="26">
        <f>data!BX60</f>
        <v>5.0903846153846155</v>
      </c>
      <c r="G330" s="26">
        <f>data!BY60</f>
        <v>0.68461538461538463</v>
      </c>
      <c r="H330" s="26">
        <f>data!BZ60</f>
        <v>0</v>
      </c>
      <c r="I330" s="26">
        <f>data!CA60</f>
        <v>0</v>
      </c>
    </row>
    <row r="331" spans="1:9" ht="20.100000000000001" customHeight="1" x14ac:dyDescent="0.25">
      <c r="A331" s="23">
        <v>6</v>
      </c>
      <c r="B331" s="14" t="s">
        <v>235</v>
      </c>
      <c r="C331" s="86">
        <f>data!BU61</f>
        <v>0</v>
      </c>
      <c r="D331" s="86">
        <f>data!BV61</f>
        <v>183708</v>
      </c>
      <c r="E331" s="86">
        <f>data!BW61</f>
        <v>0</v>
      </c>
      <c r="F331" s="86">
        <f>data!BX61</f>
        <v>149348</v>
      </c>
      <c r="G331" s="86">
        <f>data!BY61</f>
        <v>116011</v>
      </c>
      <c r="H331" s="86">
        <f>data!BZ61</f>
        <v>0</v>
      </c>
      <c r="I331" s="86">
        <f>data!CA61</f>
        <v>0</v>
      </c>
    </row>
    <row r="332" spans="1:9" ht="20.100000000000001" customHeight="1" x14ac:dyDescent="0.25">
      <c r="A332" s="23">
        <v>7</v>
      </c>
      <c r="B332" s="14" t="s">
        <v>3</v>
      </c>
      <c r="C332" s="86">
        <f>data!BU62</f>
        <v>0</v>
      </c>
      <c r="D332" s="86">
        <f>data!BV62</f>
        <v>37370</v>
      </c>
      <c r="E332" s="86">
        <f>data!BW62</f>
        <v>0</v>
      </c>
      <c r="F332" s="86">
        <f>data!BX62</f>
        <v>30380</v>
      </c>
      <c r="G332" s="86">
        <f>data!BY62</f>
        <v>23599</v>
      </c>
      <c r="H332" s="86">
        <f>data!BZ62</f>
        <v>0</v>
      </c>
      <c r="I332" s="86">
        <f>data!CA62</f>
        <v>0</v>
      </c>
    </row>
    <row r="333" spans="1:9" ht="20.100000000000001" customHeight="1" x14ac:dyDescent="0.25">
      <c r="A333" s="23">
        <v>8</v>
      </c>
      <c r="B333" s="14" t="s">
        <v>236</v>
      </c>
      <c r="C333" s="86">
        <f>data!BU63</f>
        <v>0</v>
      </c>
      <c r="D333" s="86">
        <f>data!BV63</f>
        <v>0</v>
      </c>
      <c r="E333" s="86">
        <f>data!BW63</f>
        <v>0</v>
      </c>
      <c r="F333" s="86">
        <f>data!BX63</f>
        <v>0</v>
      </c>
      <c r="G333" s="86">
        <f>data!BY63</f>
        <v>0</v>
      </c>
      <c r="H333" s="86">
        <f>data!BZ63</f>
        <v>0</v>
      </c>
      <c r="I333" s="86">
        <f>data!CA63</f>
        <v>0</v>
      </c>
    </row>
    <row r="334" spans="1:9" ht="20.100000000000001" customHeight="1" x14ac:dyDescent="0.25">
      <c r="A334" s="23">
        <v>9</v>
      </c>
      <c r="B334" s="14" t="s">
        <v>237</v>
      </c>
      <c r="C334" s="86">
        <f>data!BU64</f>
        <v>0</v>
      </c>
      <c r="D334" s="86">
        <f>data!BV64</f>
        <v>7632</v>
      </c>
      <c r="E334" s="86">
        <f>data!BW64</f>
        <v>0</v>
      </c>
      <c r="F334" s="86">
        <f>data!BX64</f>
        <v>4913</v>
      </c>
      <c r="G334" s="86">
        <f>data!BY64</f>
        <v>1762</v>
      </c>
      <c r="H334" s="86">
        <f>data!BZ64</f>
        <v>0</v>
      </c>
      <c r="I334" s="86">
        <f>data!CA64</f>
        <v>0</v>
      </c>
    </row>
    <row r="335" spans="1:9" ht="20.100000000000001" customHeight="1" x14ac:dyDescent="0.25">
      <c r="A335" s="23">
        <v>10</v>
      </c>
      <c r="B335" s="14" t="s">
        <v>444</v>
      </c>
      <c r="C335" s="86">
        <f>data!BU65</f>
        <v>0</v>
      </c>
      <c r="D335" s="86">
        <f>data!BV65</f>
        <v>893</v>
      </c>
      <c r="E335" s="86">
        <f>data!BW65</f>
        <v>0</v>
      </c>
      <c r="F335" s="86">
        <f>data!BX65</f>
        <v>0</v>
      </c>
      <c r="G335" s="86">
        <f>data!BY65</f>
        <v>488</v>
      </c>
      <c r="H335" s="86">
        <f>data!BZ65</f>
        <v>0</v>
      </c>
      <c r="I335" s="86">
        <f>data!CA65</f>
        <v>0</v>
      </c>
    </row>
    <row r="336" spans="1:9" ht="20.100000000000001" customHeight="1" x14ac:dyDescent="0.25">
      <c r="A336" s="23">
        <v>11</v>
      </c>
      <c r="B336" s="14" t="s">
        <v>445</v>
      </c>
      <c r="C336" s="86">
        <f>data!BU66</f>
        <v>0</v>
      </c>
      <c r="D336" s="86">
        <f>data!BV66</f>
        <v>215036</v>
      </c>
      <c r="E336" s="86">
        <f>data!BW66</f>
        <v>0</v>
      </c>
      <c r="F336" s="86">
        <f>data!BX66</f>
        <v>20010</v>
      </c>
      <c r="G336" s="86">
        <f>data!BY66</f>
        <v>0</v>
      </c>
      <c r="H336" s="86">
        <f>data!BZ66</f>
        <v>0</v>
      </c>
      <c r="I336" s="86">
        <f>data!CA66</f>
        <v>0</v>
      </c>
    </row>
    <row r="337" spans="1:9" ht="20.100000000000001" customHeight="1" x14ac:dyDescent="0.25">
      <c r="A337" s="23">
        <v>12</v>
      </c>
      <c r="B337" s="14" t="s">
        <v>6</v>
      </c>
      <c r="C337" s="86">
        <f>data!BU67</f>
        <v>0</v>
      </c>
      <c r="D337" s="86">
        <f>data!BV67</f>
        <v>8324</v>
      </c>
      <c r="E337" s="86">
        <f>data!BW67</f>
        <v>0</v>
      </c>
      <c r="F337" s="86">
        <f>data!BX67</f>
        <v>0</v>
      </c>
      <c r="G337" s="86">
        <f>data!BY67</f>
        <v>2007</v>
      </c>
      <c r="H337" s="86">
        <f>data!BZ67</f>
        <v>0</v>
      </c>
      <c r="I337" s="86">
        <f>data!CA67</f>
        <v>0</v>
      </c>
    </row>
    <row r="338" spans="1:9" ht="20.100000000000001" customHeight="1" x14ac:dyDescent="0.25">
      <c r="A338" s="23">
        <v>13</v>
      </c>
      <c r="B338" s="14" t="s">
        <v>474</v>
      </c>
      <c r="C338" s="86">
        <f>data!BU68</f>
        <v>0</v>
      </c>
      <c r="D338" s="86">
        <f>data!BV68</f>
        <v>9501</v>
      </c>
      <c r="E338" s="86">
        <f>data!BW68</f>
        <v>0</v>
      </c>
      <c r="F338" s="86">
        <f>data!BX68</f>
        <v>0</v>
      </c>
      <c r="G338" s="86">
        <f>data!BY68</f>
        <v>1047</v>
      </c>
      <c r="H338" s="86">
        <f>data!BZ68</f>
        <v>0</v>
      </c>
      <c r="I338" s="86">
        <f>data!CA68</f>
        <v>0</v>
      </c>
    </row>
    <row r="339" spans="1:9" ht="20.100000000000001" customHeight="1" x14ac:dyDescent="0.25">
      <c r="A339" s="23">
        <v>14</v>
      </c>
      <c r="B339" s="14" t="s">
        <v>241</v>
      </c>
      <c r="C339" s="86">
        <f>data!BU69</f>
        <v>0</v>
      </c>
      <c r="D339" s="86">
        <f>data!BV69</f>
        <v>43360</v>
      </c>
      <c r="E339" s="86">
        <f>data!BW69</f>
        <v>0</v>
      </c>
      <c r="F339" s="86">
        <f>data!BX69</f>
        <v>6715</v>
      </c>
      <c r="G339" s="86">
        <f>data!BY69</f>
        <v>33127</v>
      </c>
      <c r="H339" s="86">
        <f>data!BZ69</f>
        <v>0</v>
      </c>
      <c r="I339" s="86">
        <f>data!CA69</f>
        <v>0</v>
      </c>
    </row>
    <row r="340" spans="1:9" ht="20.100000000000001" customHeight="1" x14ac:dyDescent="0.25">
      <c r="A340" s="23">
        <v>15</v>
      </c>
      <c r="B340" s="14" t="s">
        <v>242</v>
      </c>
      <c r="C340" s="14">
        <f>-data!BU70</f>
        <v>0</v>
      </c>
      <c r="D340" s="14">
        <f>-data!BV70</f>
        <v>-6372</v>
      </c>
      <c r="E340" s="14">
        <f>-data!BW70</f>
        <v>0</v>
      </c>
      <c r="F340" s="14">
        <f>-data!BX70</f>
        <v>0</v>
      </c>
      <c r="G340" s="14">
        <f>-data!BY70</f>
        <v>0</v>
      </c>
      <c r="H340" s="14">
        <f>-data!BZ70</f>
        <v>0</v>
      </c>
      <c r="I340" s="14">
        <f>-data!CA70</f>
        <v>0</v>
      </c>
    </row>
    <row r="341" spans="1:9" ht="20.100000000000001" customHeight="1" x14ac:dyDescent="0.25">
      <c r="A341" s="23">
        <v>16</v>
      </c>
      <c r="B341" s="48" t="s">
        <v>1180</v>
      </c>
      <c r="C341" s="14">
        <f>data!BU71</f>
        <v>0</v>
      </c>
      <c r="D341" s="14">
        <f>data!BV71</f>
        <v>499452</v>
      </c>
      <c r="E341" s="14">
        <f>data!BW71</f>
        <v>0</v>
      </c>
      <c r="F341" s="14">
        <f>data!BX71</f>
        <v>211366</v>
      </c>
      <c r="G341" s="14">
        <f>data!BY71</f>
        <v>178041</v>
      </c>
      <c r="H341" s="14">
        <f>data!BZ71</f>
        <v>0</v>
      </c>
      <c r="I341" s="14">
        <f>data!CA71</f>
        <v>0</v>
      </c>
    </row>
    <row r="342" spans="1:9" ht="20.100000000000001" customHeight="1" x14ac:dyDescent="0.25">
      <c r="A342" s="23">
        <v>17</v>
      </c>
      <c r="B342" s="14" t="s">
        <v>244</v>
      </c>
      <c r="C342" s="209"/>
      <c r="D342" s="209"/>
      <c r="E342" s="209"/>
      <c r="F342" s="209"/>
      <c r="G342" s="209"/>
      <c r="H342" s="209"/>
      <c r="I342" s="209"/>
    </row>
    <row r="343" spans="1:9" ht="20.100000000000001" customHeight="1" x14ac:dyDescent="0.25">
      <c r="A343" s="23">
        <v>18</v>
      </c>
      <c r="B343" s="14" t="s">
        <v>1181</v>
      </c>
      <c r="C343" s="14"/>
      <c r="D343" s="14"/>
      <c r="E343" s="14"/>
      <c r="F343" s="14"/>
      <c r="G343" s="14"/>
      <c r="H343" s="14"/>
      <c r="I343" s="14"/>
    </row>
    <row r="344" spans="1:9" ht="20.100000000000001" customHeight="1" x14ac:dyDescent="0.25">
      <c r="A344" s="23">
        <v>19</v>
      </c>
      <c r="B344" s="48" t="s">
        <v>1182</v>
      </c>
      <c r="C344" s="211" t="str">
        <f>IF(data!BU73&gt;0,data!BU73,"")</f>
        <v>x</v>
      </c>
      <c r="D344" s="211" t="str">
        <f>IF(data!BV73&gt;0,data!BV73,"")</f>
        <v>x</v>
      </c>
      <c r="E344" s="211" t="str">
        <f>IF(data!BW73&gt;0,data!BW73,"")</f>
        <v>x</v>
      </c>
      <c r="F344" s="211" t="str">
        <f>IF(data!BX73&gt;0,data!BX73,"")</f>
        <v>x</v>
      </c>
      <c r="G344" s="211" t="str">
        <f>IF(data!BY73&gt;0,data!BY73,"")</f>
        <v>x</v>
      </c>
      <c r="H344" s="211" t="str">
        <f>IF(data!BZ73&gt;0,data!BZ73,"")</f>
        <v>x</v>
      </c>
      <c r="I344" s="211" t="str">
        <f>IF(data!CA73&gt;0,data!CA73,"")</f>
        <v>x</v>
      </c>
    </row>
    <row r="345" spans="1:9" ht="20.100000000000001" customHeight="1" x14ac:dyDescent="0.25">
      <c r="A345" s="23">
        <v>20</v>
      </c>
      <c r="B345" s="48" t="s">
        <v>1183</v>
      </c>
      <c r="C345" s="211" t="str">
        <f>IF(data!BU74&gt;0,data!BU74,"")</f>
        <v>x</v>
      </c>
      <c r="D345" s="211" t="str">
        <f>IF(data!BV74&gt;0,data!BV74,"")</f>
        <v>x</v>
      </c>
      <c r="E345" s="211" t="str">
        <f>IF(data!BW74&gt;0,data!BW74,"")</f>
        <v>x</v>
      </c>
      <c r="F345" s="211" t="str">
        <f>IF(data!BX74&gt;0,data!BX74,"")</f>
        <v>x</v>
      </c>
      <c r="G345" s="211" t="str">
        <f>IF(data!BY74&gt;0,data!BY74,"")</f>
        <v>x</v>
      </c>
      <c r="H345" s="211" t="str">
        <f>IF(data!BZ74&gt;0,data!BZ74,"")</f>
        <v>x</v>
      </c>
      <c r="I345" s="211" t="str">
        <f>IF(data!CA74&gt;0,data!CA74,"")</f>
        <v>x</v>
      </c>
    </row>
    <row r="346" spans="1:9" ht="20.100000000000001" customHeight="1" x14ac:dyDescent="0.25">
      <c r="A346" s="23">
        <v>21</v>
      </c>
      <c r="B346" s="48" t="s">
        <v>1184</v>
      </c>
      <c r="C346" s="211" t="str">
        <f>IF(data!BU75&gt;0,data!BU75,"")</f>
        <v>x</v>
      </c>
      <c r="D346" s="211" t="str">
        <f>IF(data!BV75&gt;0,data!BV75,"")</f>
        <v>x</v>
      </c>
      <c r="E346" s="211" t="str">
        <f>IF(data!BW75&gt;0,data!BW75,"")</f>
        <v>x</v>
      </c>
      <c r="F346" s="211" t="str">
        <f>IF(data!BX75&gt;0,data!BX75,"")</f>
        <v>x</v>
      </c>
      <c r="G346" s="211" t="str">
        <f>IF(data!BY75&gt;0,data!BY75,"")</f>
        <v>x</v>
      </c>
      <c r="H346" s="211" t="str">
        <f>IF(data!BZ75&gt;0,data!BZ75,"")</f>
        <v>x</v>
      </c>
      <c r="I346" s="211" t="str">
        <f>IF(data!CA75&gt;0,data!CA75,"")</f>
        <v>x</v>
      </c>
    </row>
    <row r="347" spans="1:9" ht="20.100000000000001" customHeight="1" x14ac:dyDescent="0.25">
      <c r="A347" s="23" t="s">
        <v>1185</v>
      </c>
      <c r="B347" s="60"/>
      <c r="C347" s="209"/>
      <c r="D347" s="209"/>
      <c r="E347" s="209"/>
      <c r="F347" s="209"/>
      <c r="G347" s="209"/>
      <c r="H347" s="209"/>
      <c r="I347" s="209"/>
    </row>
    <row r="348" spans="1:9" ht="20.100000000000001" customHeight="1" x14ac:dyDescent="0.25">
      <c r="A348" s="23">
        <v>22</v>
      </c>
      <c r="B348" s="14" t="s">
        <v>1186</v>
      </c>
      <c r="C348" s="85">
        <f>data!BU76</f>
        <v>0</v>
      </c>
      <c r="D348" s="85">
        <f>data!BV76</f>
        <v>925</v>
      </c>
      <c r="E348" s="85">
        <f>data!BW76</f>
        <v>0</v>
      </c>
      <c r="F348" s="85">
        <f>data!BX76</f>
        <v>0</v>
      </c>
      <c r="G348" s="85">
        <f>data!BY76</f>
        <v>223</v>
      </c>
      <c r="H348" s="85">
        <f>data!BZ76</f>
        <v>0</v>
      </c>
      <c r="I348" s="85">
        <f>data!CA76</f>
        <v>0</v>
      </c>
    </row>
    <row r="349" spans="1:9" ht="20.100000000000001" customHeight="1" x14ac:dyDescent="0.25">
      <c r="A349" s="23">
        <v>23</v>
      </c>
      <c r="B349" s="14" t="s">
        <v>1187</v>
      </c>
      <c r="C349" s="85">
        <f>data!BU77</f>
        <v>0</v>
      </c>
      <c r="D349" s="85">
        <f>data!BV77</f>
        <v>0</v>
      </c>
      <c r="E349" s="85">
        <f>data!BW77</f>
        <v>0</v>
      </c>
      <c r="F349" s="85">
        <f>data!BX77</f>
        <v>0</v>
      </c>
      <c r="G349" s="85">
        <f>data!BY77</f>
        <v>0</v>
      </c>
      <c r="H349" s="85">
        <f>data!BZ77</f>
        <v>0</v>
      </c>
      <c r="I349" s="85">
        <f>data!CA77</f>
        <v>0</v>
      </c>
    </row>
    <row r="350" spans="1:9" ht="20.100000000000001" customHeight="1" x14ac:dyDescent="0.25">
      <c r="A350" s="23">
        <v>24</v>
      </c>
      <c r="B350" s="14" t="s">
        <v>1188</v>
      </c>
      <c r="C350" s="85">
        <f>data!BU78</f>
        <v>0</v>
      </c>
      <c r="D350" s="85">
        <f>data!BV78</f>
        <v>925</v>
      </c>
      <c r="E350" s="85">
        <f>data!BW78</f>
        <v>0</v>
      </c>
      <c r="F350" s="85">
        <f>data!BX78</f>
        <v>0</v>
      </c>
      <c r="G350" s="85">
        <f>data!BY78</f>
        <v>223</v>
      </c>
      <c r="H350" s="85">
        <f>data!BZ78</f>
        <v>0</v>
      </c>
      <c r="I350" s="85">
        <f>data!CA78</f>
        <v>0</v>
      </c>
    </row>
    <row r="351" spans="1:9" ht="20.100000000000001" customHeight="1" x14ac:dyDescent="0.25">
      <c r="A351" s="23">
        <v>25</v>
      </c>
      <c r="B351" s="14" t="s">
        <v>1189</v>
      </c>
      <c r="C351" s="85">
        <f>data!BU79</f>
        <v>0</v>
      </c>
      <c r="D351" s="85">
        <f>data!BV79</f>
        <v>0</v>
      </c>
      <c r="E351" s="85">
        <f>data!BW79</f>
        <v>0</v>
      </c>
      <c r="F351" s="85">
        <f>data!BX79</f>
        <v>0</v>
      </c>
      <c r="G351" s="85">
        <f>data!BY79</f>
        <v>0</v>
      </c>
      <c r="H351" s="85">
        <f>data!BZ79</f>
        <v>0</v>
      </c>
      <c r="I351" s="85">
        <f>data!CA79</f>
        <v>0</v>
      </c>
    </row>
    <row r="352" spans="1:9" ht="20.100000000000001" customHeight="1" x14ac:dyDescent="0.25">
      <c r="A352" s="23">
        <v>26</v>
      </c>
      <c r="B352" s="14" t="s">
        <v>252</v>
      </c>
      <c r="C352" s="214" t="str">
        <f>IF(data!BU80&gt;0,data!BU80,"")</f>
        <v/>
      </c>
      <c r="D352" s="214" t="str">
        <f>IF(data!BV80&gt;0,data!BV80,"")</f>
        <v/>
      </c>
      <c r="E352" s="214" t="str">
        <f>IF(data!BW80&gt;0,data!BW80,"")</f>
        <v/>
      </c>
      <c r="F352" s="214" t="str">
        <f>IF(data!BX80&gt;0,data!BX80,"")</f>
        <v/>
      </c>
      <c r="G352" s="214" t="str">
        <f>IF(data!BY80&gt;0,data!BY80,"")</f>
        <v/>
      </c>
      <c r="H352" s="214" t="str">
        <f>IF(data!BZ80&gt;0,data!BZ80,"")</f>
        <v/>
      </c>
      <c r="I352" s="214" t="str">
        <f>IF(data!CA80&gt;0,data!CA80,"")</f>
        <v/>
      </c>
    </row>
    <row r="353" spans="1:9" ht="20.100000000000001" customHeight="1" x14ac:dyDescent="0.25">
      <c r="A353" s="4" t="s">
        <v>1173</v>
      </c>
      <c r="B353" s="5"/>
      <c r="C353" s="5"/>
      <c r="D353" s="6"/>
      <c r="E353" s="5"/>
      <c r="F353" s="5"/>
      <c r="G353" s="5"/>
      <c r="H353" s="5"/>
      <c r="I353" s="4"/>
    </row>
    <row r="354" spans="1:9" ht="20.100000000000001" customHeight="1" x14ac:dyDescent="0.25">
      <c r="A354" s="77"/>
      <c r="B354" s="77"/>
      <c r="C354" s="77"/>
      <c r="D354" s="45"/>
      <c r="E354" s="77"/>
      <c r="F354" s="77"/>
      <c r="G354" s="77"/>
      <c r="H354" s="77"/>
      <c r="I354" s="168" t="s">
        <v>1226</v>
      </c>
    </row>
    <row r="355" spans="1:9" ht="20.100000000000001" customHeight="1" x14ac:dyDescent="0.25">
      <c r="A355" s="45"/>
      <c r="B355" s="77"/>
      <c r="C355" s="77"/>
      <c r="D355" s="77"/>
      <c r="E355" s="77"/>
      <c r="F355" s="77"/>
      <c r="G355" s="77"/>
      <c r="H355" s="77"/>
      <c r="I355" s="77"/>
    </row>
    <row r="356" spans="1:9" ht="20.100000000000001" customHeight="1" x14ac:dyDescent="0.25">
      <c r="A356" s="79" t="str">
        <f>"HOSPITAL NAME: "&amp;data!C84</f>
        <v>HOSPITAL NAME: Lake Chelan Community Hospital</v>
      </c>
      <c r="B356" s="77"/>
      <c r="C356" s="77"/>
      <c r="D356" s="77"/>
      <c r="E356" s="77"/>
      <c r="F356" s="77"/>
      <c r="G356" s="80"/>
      <c r="H356" s="79" t="str">
        <f>"FYE: "&amp;data!C82</f>
        <v>FYE: 12/31/2019</v>
      </c>
    </row>
    <row r="357" spans="1:9" ht="20.100000000000001" customHeight="1" x14ac:dyDescent="0.25">
      <c r="A357" s="23">
        <v>1</v>
      </c>
      <c r="B357" s="14" t="s">
        <v>209</v>
      </c>
      <c r="C357" s="15" t="s">
        <v>87</v>
      </c>
      <c r="D357" s="15" t="s">
        <v>88</v>
      </c>
      <c r="E357" s="15" t="s">
        <v>89</v>
      </c>
      <c r="F357" s="90"/>
      <c r="G357" s="90"/>
      <c r="H357" s="90"/>
      <c r="I357" s="15"/>
    </row>
    <row r="358" spans="1:9" ht="20.100000000000001" customHeight="1" x14ac:dyDescent="0.25">
      <c r="A358" s="81">
        <v>2</v>
      </c>
      <c r="B358" s="17" t="s">
        <v>1175</v>
      </c>
      <c r="C358" s="18" t="s">
        <v>160</v>
      </c>
      <c r="D358" s="18" t="s">
        <v>132</v>
      </c>
      <c r="E358" s="18" t="s">
        <v>211</v>
      </c>
      <c r="F358" s="91"/>
      <c r="G358" s="91"/>
      <c r="H358" s="91"/>
      <c r="I358" s="18" t="s">
        <v>161</v>
      </c>
    </row>
    <row r="359" spans="1:9" ht="20.100000000000001" customHeight="1" x14ac:dyDescent="0.25">
      <c r="A359" s="82"/>
      <c r="B359" s="83"/>
      <c r="C359" s="18" t="s">
        <v>201</v>
      </c>
      <c r="D359" s="18" t="s">
        <v>1227</v>
      </c>
      <c r="E359" s="18" t="s">
        <v>213</v>
      </c>
      <c r="F359" s="91"/>
      <c r="G359" s="91"/>
      <c r="H359" s="91"/>
      <c r="I359" s="18" t="s">
        <v>203</v>
      </c>
    </row>
    <row r="360" spans="1:9" ht="20.100000000000001" customHeight="1" x14ac:dyDescent="0.25">
      <c r="A360" s="23">
        <v>3</v>
      </c>
      <c r="B360" s="14" t="s">
        <v>1179</v>
      </c>
      <c r="C360" s="210"/>
      <c r="D360" s="210"/>
      <c r="E360" s="210"/>
      <c r="F360" s="210"/>
      <c r="G360" s="210"/>
      <c r="H360" s="210"/>
      <c r="I360" s="210"/>
    </row>
    <row r="361" spans="1:9" ht="20.100000000000001" customHeight="1" x14ac:dyDescent="0.25">
      <c r="A361" s="23">
        <v>4</v>
      </c>
      <c r="B361" s="14" t="s">
        <v>233</v>
      </c>
      <c r="C361" s="210"/>
      <c r="D361" s="210"/>
      <c r="E361" s="210"/>
      <c r="F361" s="210"/>
      <c r="G361" s="210"/>
      <c r="H361" s="210"/>
      <c r="I361" s="210"/>
    </row>
    <row r="362" spans="1:9" ht="20.100000000000001" customHeight="1" x14ac:dyDescent="0.25">
      <c r="A362" s="23">
        <v>5</v>
      </c>
      <c r="B362" s="14" t="s">
        <v>234</v>
      </c>
      <c r="C362" s="26">
        <f>data!CB60</f>
        <v>1.0249999999999999</v>
      </c>
      <c r="D362" s="26">
        <f>data!CC60</f>
        <v>0</v>
      </c>
      <c r="E362" s="215"/>
      <c r="F362" s="209"/>
      <c r="G362" s="209"/>
      <c r="H362" s="209"/>
      <c r="I362" s="87">
        <f>data!CE60</f>
        <v>211.39540384615387</v>
      </c>
    </row>
    <row r="363" spans="1:9" ht="20.100000000000001" customHeight="1" x14ac:dyDescent="0.25">
      <c r="A363" s="23">
        <v>6</v>
      </c>
      <c r="B363" s="14" t="s">
        <v>235</v>
      </c>
      <c r="C363" s="86">
        <f>data!CB61</f>
        <v>56333</v>
      </c>
      <c r="D363" s="86">
        <f>data!CC61</f>
        <v>0</v>
      </c>
      <c r="E363" s="216"/>
      <c r="F363" s="217"/>
      <c r="G363" s="217"/>
      <c r="H363" s="217"/>
      <c r="I363" s="86">
        <f>data!CE61</f>
        <v>17122593</v>
      </c>
    </row>
    <row r="364" spans="1:9" ht="20.100000000000001" customHeight="1" x14ac:dyDescent="0.25">
      <c r="A364" s="23">
        <v>7</v>
      </c>
      <c r="B364" s="14" t="s">
        <v>3</v>
      </c>
      <c r="C364" s="86">
        <f>data!CB62</f>
        <v>11459</v>
      </c>
      <c r="D364" s="86">
        <f>data!CC62</f>
        <v>0</v>
      </c>
      <c r="E364" s="216"/>
      <c r="F364" s="217"/>
      <c r="G364" s="217"/>
      <c r="H364" s="217"/>
      <c r="I364" s="86">
        <f>data!CE62</f>
        <v>3483071</v>
      </c>
    </row>
    <row r="365" spans="1:9" ht="20.100000000000001" customHeight="1" x14ac:dyDescent="0.25">
      <c r="A365" s="23">
        <v>8</v>
      </c>
      <c r="B365" s="14" t="s">
        <v>236</v>
      </c>
      <c r="C365" s="86">
        <f>data!CB63</f>
        <v>0</v>
      </c>
      <c r="D365" s="86">
        <f>data!CC63</f>
        <v>0</v>
      </c>
      <c r="E365" s="216"/>
      <c r="F365" s="217"/>
      <c r="G365" s="217"/>
      <c r="H365" s="217"/>
      <c r="I365" s="86">
        <f>data!CE63</f>
        <v>562571</v>
      </c>
    </row>
    <row r="366" spans="1:9" ht="20.100000000000001" customHeight="1" x14ac:dyDescent="0.25">
      <c r="A366" s="23">
        <v>9</v>
      </c>
      <c r="B366" s="14" t="s">
        <v>237</v>
      </c>
      <c r="C366" s="86">
        <f>data!CB64</f>
        <v>897</v>
      </c>
      <c r="D366" s="86">
        <f>data!CC64</f>
        <v>0</v>
      </c>
      <c r="E366" s="216"/>
      <c r="F366" s="217"/>
      <c r="G366" s="217"/>
      <c r="H366" s="217"/>
      <c r="I366" s="86">
        <f>data!CE64</f>
        <v>2315694</v>
      </c>
    </row>
    <row r="367" spans="1:9" ht="20.100000000000001" customHeight="1" x14ac:dyDescent="0.25">
      <c r="A367" s="23">
        <v>10</v>
      </c>
      <c r="B367" s="14" t="s">
        <v>444</v>
      </c>
      <c r="C367" s="86">
        <f>data!CB65</f>
        <v>109</v>
      </c>
      <c r="D367" s="86">
        <f>data!CC65</f>
        <v>0</v>
      </c>
      <c r="E367" s="216"/>
      <c r="F367" s="217"/>
      <c r="G367" s="217"/>
      <c r="H367" s="217"/>
      <c r="I367" s="86">
        <f>data!CE65</f>
        <v>231131</v>
      </c>
    </row>
    <row r="368" spans="1:9" ht="20.100000000000001" customHeight="1" x14ac:dyDescent="0.25">
      <c r="A368" s="23">
        <v>11</v>
      </c>
      <c r="B368" s="14" t="s">
        <v>445</v>
      </c>
      <c r="C368" s="86">
        <f>data!CB66</f>
        <v>2404</v>
      </c>
      <c r="D368" s="86">
        <f>data!CC66</f>
        <v>0</v>
      </c>
      <c r="E368" s="216"/>
      <c r="F368" s="217"/>
      <c r="G368" s="217"/>
      <c r="H368" s="217"/>
      <c r="I368" s="86">
        <f>data!CE66</f>
        <v>1864310</v>
      </c>
    </row>
    <row r="369" spans="1:9" ht="20.100000000000001" customHeight="1" x14ac:dyDescent="0.25">
      <c r="A369" s="23">
        <v>12</v>
      </c>
      <c r="B369" s="14" t="s">
        <v>6</v>
      </c>
      <c r="C369" s="86">
        <f>data!CB67</f>
        <v>0</v>
      </c>
      <c r="D369" s="86">
        <f>data!CC67</f>
        <v>99909</v>
      </c>
      <c r="E369" s="216"/>
      <c r="F369" s="217"/>
      <c r="G369" s="217"/>
      <c r="H369" s="217"/>
      <c r="I369" s="86">
        <f>data!CE67</f>
        <v>880833</v>
      </c>
    </row>
    <row r="370" spans="1:9" ht="20.100000000000001" customHeight="1" x14ac:dyDescent="0.25">
      <c r="A370" s="23">
        <v>13</v>
      </c>
      <c r="B370" s="14" t="s">
        <v>474</v>
      </c>
      <c r="C370" s="86">
        <f>data!CB68</f>
        <v>0</v>
      </c>
      <c r="D370" s="86">
        <f>data!CC68</f>
        <v>0</v>
      </c>
      <c r="E370" s="216"/>
      <c r="F370" s="217"/>
      <c r="G370" s="217"/>
      <c r="H370" s="217"/>
      <c r="I370" s="86">
        <f>data!CE68</f>
        <v>400259</v>
      </c>
    </row>
    <row r="371" spans="1:9" ht="20.100000000000001" customHeight="1" x14ac:dyDescent="0.25">
      <c r="A371" s="23">
        <v>14</v>
      </c>
      <c r="B371" s="14" t="s">
        <v>241</v>
      </c>
      <c r="C371" s="86">
        <f>data!CB69</f>
        <v>47160</v>
      </c>
      <c r="D371" s="86">
        <f>data!CC69</f>
        <v>0</v>
      </c>
      <c r="E371" s="86">
        <f>data!CD69</f>
        <v>1243420</v>
      </c>
      <c r="F371" s="217"/>
      <c r="G371" s="217"/>
      <c r="H371" s="217"/>
      <c r="I371" s="86">
        <f>data!CE69</f>
        <v>2552563</v>
      </c>
    </row>
    <row r="372" spans="1:9" ht="20.100000000000001" customHeight="1" x14ac:dyDescent="0.25">
      <c r="A372" s="23">
        <v>15</v>
      </c>
      <c r="B372" s="14" t="s">
        <v>242</v>
      </c>
      <c r="C372" s="14">
        <f>-data!CB70</f>
        <v>0</v>
      </c>
      <c r="D372" s="14">
        <f>-data!CC70</f>
        <v>0</v>
      </c>
      <c r="E372" s="222">
        <f>data!CD70</f>
        <v>0</v>
      </c>
      <c r="F372" s="218"/>
      <c r="G372" s="218"/>
      <c r="H372" s="218"/>
      <c r="I372" s="14">
        <f>-data!CE70</f>
        <v>-772404</v>
      </c>
    </row>
    <row r="373" spans="1:9" ht="20.100000000000001" customHeight="1" x14ac:dyDescent="0.25">
      <c r="A373" s="23">
        <v>16</v>
      </c>
      <c r="B373" s="48" t="s">
        <v>1180</v>
      </c>
      <c r="C373" s="86">
        <f>data!CB71</f>
        <v>118362</v>
      </c>
      <c r="D373" s="86">
        <f>data!CC71</f>
        <v>99909</v>
      </c>
      <c r="E373" s="86">
        <f>data!CD71</f>
        <v>1243420</v>
      </c>
      <c r="F373" s="217"/>
      <c r="G373" s="217"/>
      <c r="H373" s="217"/>
      <c r="I373" s="14">
        <f>data!CE71</f>
        <v>28640621</v>
      </c>
    </row>
    <row r="374" spans="1:9" ht="20.100000000000001" customHeight="1" x14ac:dyDescent="0.25">
      <c r="A374" s="23">
        <v>17</v>
      </c>
      <c r="B374" s="14" t="s">
        <v>244</v>
      </c>
      <c r="C374" s="217"/>
      <c r="D374" s="217"/>
      <c r="E374" s="217"/>
      <c r="F374" s="217"/>
      <c r="G374" s="217"/>
      <c r="H374" s="217"/>
      <c r="I374" s="14">
        <f>-data!CE72</f>
        <v>-1770120</v>
      </c>
    </row>
    <row r="375" spans="1:9" ht="20.100000000000001" customHeight="1" x14ac:dyDescent="0.25">
      <c r="A375" s="23">
        <v>18</v>
      </c>
      <c r="B375" s="14" t="s">
        <v>1181</v>
      </c>
      <c r="C375" s="14"/>
      <c r="D375" s="14"/>
      <c r="E375" s="14"/>
      <c r="F375" s="14"/>
      <c r="G375" s="14"/>
      <c r="H375" s="14"/>
      <c r="I375" s="14"/>
    </row>
    <row r="376" spans="1:9" ht="20.100000000000001" customHeight="1" x14ac:dyDescent="0.25">
      <c r="A376" s="23">
        <v>19</v>
      </c>
      <c r="B376" s="48" t="s">
        <v>1182</v>
      </c>
      <c r="C376" s="211" t="str">
        <f>IF(data!CB73&gt;0,data!CB73,"")</f>
        <v>x</v>
      </c>
      <c r="D376" s="211" t="str">
        <f>IF(data!CC73&gt;0,data!CC73,"")</f>
        <v>x</v>
      </c>
      <c r="E376" s="212"/>
      <c r="F376" s="209"/>
      <c r="G376" s="209"/>
      <c r="H376" s="209"/>
      <c r="I376" s="85">
        <f>data!CE73</f>
        <v>10943433.18</v>
      </c>
    </row>
    <row r="377" spans="1:9" ht="20.100000000000001" customHeight="1" x14ac:dyDescent="0.25">
      <c r="A377" s="23">
        <v>20</v>
      </c>
      <c r="B377" s="48" t="s">
        <v>1183</v>
      </c>
      <c r="C377" s="211" t="str">
        <f>IF(data!CB74&gt;0,data!CB74,"")</f>
        <v>x</v>
      </c>
      <c r="D377" s="211" t="str">
        <f>IF(data!CC74&gt;0,data!CC74,"")</f>
        <v>x</v>
      </c>
      <c r="E377" s="212"/>
      <c r="F377" s="209"/>
      <c r="G377" s="209"/>
      <c r="H377" s="209"/>
      <c r="I377" s="85">
        <f>data!CE74</f>
        <v>33574979.098099999</v>
      </c>
    </row>
    <row r="378" spans="1:9" ht="20.100000000000001" customHeight="1" x14ac:dyDescent="0.25">
      <c r="A378" s="23">
        <v>21</v>
      </c>
      <c r="B378" s="48" t="s">
        <v>1184</v>
      </c>
      <c r="C378" s="211" t="str">
        <f>IF(data!CB75&gt;0,data!CB75,"")</f>
        <v>x</v>
      </c>
      <c r="D378" s="211" t="str">
        <f>IF(data!CC75&gt;0,data!CC75,"")</f>
        <v>x</v>
      </c>
      <c r="E378" s="212"/>
      <c r="F378" s="209"/>
      <c r="G378" s="209"/>
      <c r="H378" s="209"/>
      <c r="I378" s="85">
        <f>data!CE75</f>
        <v>44518412.278100006</v>
      </c>
    </row>
    <row r="379" spans="1:9" ht="20.100000000000001" customHeight="1" x14ac:dyDescent="0.25">
      <c r="A379" s="23" t="s">
        <v>1185</v>
      </c>
      <c r="B379" s="60"/>
      <c r="C379" s="209"/>
      <c r="D379" s="209"/>
      <c r="E379" s="209"/>
      <c r="F379" s="209"/>
      <c r="G379" s="209"/>
      <c r="H379" s="209"/>
      <c r="I379" s="209"/>
    </row>
    <row r="380" spans="1:9" ht="20.100000000000001" customHeight="1" x14ac:dyDescent="0.25">
      <c r="A380" s="23">
        <v>22</v>
      </c>
      <c r="B380" s="14" t="s">
        <v>1186</v>
      </c>
      <c r="C380" s="85">
        <f>data!CB76</f>
        <v>0</v>
      </c>
      <c r="D380" s="85">
        <f>data!CC76</f>
        <v>11103</v>
      </c>
      <c r="E380" s="212"/>
      <c r="F380" s="209"/>
      <c r="G380" s="209"/>
      <c r="H380" s="209"/>
      <c r="I380" s="14">
        <f>data!CE76</f>
        <v>35649</v>
      </c>
    </row>
    <row r="381" spans="1:9" ht="20.100000000000001" customHeight="1" x14ac:dyDescent="0.25">
      <c r="A381" s="23">
        <v>23</v>
      </c>
      <c r="B381" s="14" t="s">
        <v>1187</v>
      </c>
      <c r="C381" s="14" t="str">
        <f>IF(data!CB77&gt;0,data!CB77,"")</f>
        <v/>
      </c>
      <c r="D381" s="211" t="str">
        <f>IF(data!CC77&gt;0,data!CC77,"")</f>
        <v>x</v>
      </c>
      <c r="E381" s="212"/>
      <c r="F381" s="209"/>
      <c r="G381" s="209"/>
      <c r="H381" s="209"/>
      <c r="I381" s="14">
        <f>data!CE77</f>
        <v>15098</v>
      </c>
    </row>
    <row r="382" spans="1:9" ht="20.100000000000001" customHeight="1" x14ac:dyDescent="0.25">
      <c r="A382" s="23">
        <v>24</v>
      </c>
      <c r="B382" s="14" t="s">
        <v>1188</v>
      </c>
      <c r="C382" s="14" t="str">
        <f>IF(data!CB78&gt;0,data!CB78,"")</f>
        <v/>
      </c>
      <c r="D382" s="211" t="str">
        <f>IF(data!CC78&gt;0,data!CC78,"")</f>
        <v>x</v>
      </c>
      <c r="E382" s="212"/>
      <c r="F382" s="209"/>
      <c r="G382" s="209"/>
      <c r="H382" s="209"/>
      <c r="I382" s="14">
        <f>data!CE78</f>
        <v>12596.94</v>
      </c>
    </row>
    <row r="383" spans="1:9" ht="20.100000000000001" customHeight="1" x14ac:dyDescent="0.25">
      <c r="A383" s="23">
        <v>25</v>
      </c>
      <c r="B383" s="14" t="s">
        <v>1189</v>
      </c>
      <c r="C383" s="14" t="str">
        <f>IF(data!CB79&gt;0,data!CB79,"")</f>
        <v/>
      </c>
      <c r="D383" s="211" t="str">
        <f>IF(data!CC79&gt;0,data!CC79,"")</f>
        <v>x</v>
      </c>
      <c r="E383" s="212"/>
      <c r="F383" s="209"/>
      <c r="G383" s="209"/>
      <c r="H383" s="209"/>
      <c r="I383" s="14">
        <f>data!CE79</f>
        <v>84960.627500000002</v>
      </c>
    </row>
    <row r="384" spans="1:9" ht="20.100000000000001" customHeight="1" x14ac:dyDescent="0.25">
      <c r="A384" s="23">
        <v>26</v>
      </c>
      <c r="B384" s="14" t="s">
        <v>252</v>
      </c>
      <c r="C384" s="211" t="str">
        <f>IF(data!CB80&gt;0,data!CB80,"")</f>
        <v/>
      </c>
      <c r="D384" s="211" t="str">
        <f>IF(data!CC80&gt;0,data!CC80,"")</f>
        <v>x</v>
      </c>
      <c r="E384" s="215"/>
      <c r="F384" s="209"/>
      <c r="G384" s="209"/>
      <c r="H384" s="209"/>
      <c r="I384" s="84">
        <f>data!CE80</f>
        <v>151.74212980769229</v>
      </c>
    </row>
  </sheetData>
  <phoneticPr fontId="0" type="noConversion"/>
  <printOptions horizontalCentered="1" verticalCentered="1"/>
  <pageMargins left="0" right="0" top="0" bottom="0" header="0" footer="0"/>
  <pageSetup scale="83" fitToHeight="12" orientation="landscape" r:id="rId1"/>
  <headerFooter alignWithMargins="0"/>
  <rowBreaks count="12" manualBreakCount="12">
    <brk id="32" max="65535" man="1"/>
    <brk id="64" max="65535" man="1"/>
    <brk id="96" max="65535" man="1"/>
    <brk id="128" max="65535" man="1"/>
    <brk id="160" max="65535" man="1"/>
    <brk id="192" max="65535" man="1"/>
    <brk id="224" max="65535" man="1"/>
    <brk id="256" max="65535" man="1"/>
    <brk id="288" max="65535" man="1"/>
    <brk id="320" max="65535" man="1"/>
    <brk id="352" max="65535" man="1"/>
    <brk id="410" max="655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11</vt:i4>
      </vt:variant>
    </vt:vector>
  </HeadingPairs>
  <TitlesOfParts>
    <vt:vector size="21" baseType="lpstr">
      <vt:lpstr>data</vt:lpstr>
      <vt:lpstr>Transmittal</vt:lpstr>
      <vt:lpstr>INFO_PG1</vt:lpstr>
      <vt:lpstr>INFO_PG2</vt:lpstr>
      <vt:lpstr>SS2_3_5_6</vt:lpstr>
      <vt:lpstr>SS4</vt:lpstr>
      <vt:lpstr>SS8</vt:lpstr>
      <vt:lpstr>FS</vt:lpstr>
      <vt:lpstr>CC's</vt:lpstr>
      <vt:lpstr>Prior Year</vt:lpstr>
      <vt:lpstr>'Prior Year'!Edit</vt:lpstr>
      <vt:lpstr>Edit</vt:lpstr>
      <vt:lpstr>'CC''s'!Print_Area</vt:lpstr>
      <vt:lpstr>data!Print_Area</vt:lpstr>
      <vt:lpstr>FS!Print_Area</vt:lpstr>
      <vt:lpstr>INFO_PG1!Print_Area</vt:lpstr>
      <vt:lpstr>INFO_PG2!Print_Area</vt:lpstr>
      <vt:lpstr>'Prior Year'!Print_Area</vt:lpstr>
      <vt:lpstr>SS2_3_5_6!Print_Area</vt:lpstr>
      <vt:lpstr>'SS4'!Print_Area</vt:lpstr>
      <vt:lpstr>'SS8'!Print_Area</vt:lpstr>
    </vt:vector>
  </TitlesOfParts>
  <Manager>Randall.Huyck@DOH.WA.GOV</Manager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2017 xxx Year End Report</dc:title>
  <dc:subject>2017 xxx Year End Report</dc:subject>
  <dc:creator>Washington State Dept of Health - HSQA - Community Health Systems</dc:creator>
  <cp:keywords>hospital financial reports</cp:keywords>
  <cp:lastModifiedBy>Huyck, Randall  (DOH)</cp:lastModifiedBy>
  <cp:lastPrinted>2002-06-14T19:29:50Z</cp:lastPrinted>
  <dcterms:created xsi:type="dcterms:W3CDTF">1999-06-02T22:01:56Z</dcterms:created>
  <dcterms:modified xsi:type="dcterms:W3CDTF">2020-09-14T22:04:30Z</dcterms:modified>
</cp:coreProperties>
</file>