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 activeTab="9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Year'!#REF!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52511"/>
</workbook>
</file>

<file path=xl/calcChain.xml><?xml version="1.0" encoding="utf-8"?>
<calcChain xmlns="http://schemas.openxmlformats.org/spreadsheetml/2006/main">
  <c r="C325" i="1" l="1"/>
  <c r="C312" i="1" l="1"/>
  <c r="C264" i="1" l="1"/>
  <c r="BN76" i="1"/>
  <c r="BE76" i="1"/>
  <c r="E73" i="1"/>
  <c r="C73" i="1"/>
  <c r="BH64" i="1"/>
  <c r="BN51" i="1"/>
  <c r="BH51" i="1"/>
  <c r="B51" i="1"/>
  <c r="B47" i="1"/>
  <c r="C615" i="10" l="1"/>
  <c r="E550" i="10"/>
  <c r="F546" i="10"/>
  <c r="E546" i="10"/>
  <c r="F545" i="10"/>
  <c r="E545" i="10"/>
  <c r="H545" i="10"/>
  <c r="E544" i="10"/>
  <c r="H540" i="10"/>
  <c r="F540" i="10"/>
  <c r="E540" i="10"/>
  <c r="F539" i="10"/>
  <c r="E539" i="10"/>
  <c r="H539" i="10"/>
  <c r="H538" i="10"/>
  <c r="F538" i="10"/>
  <c r="E538" i="10"/>
  <c r="E537" i="10"/>
  <c r="E536" i="10"/>
  <c r="F535" i="10"/>
  <c r="E535" i="10"/>
  <c r="H534" i="10"/>
  <c r="F534" i="10"/>
  <c r="E534" i="10"/>
  <c r="F533" i="10"/>
  <c r="E533" i="10"/>
  <c r="H533" i="10"/>
  <c r="F532" i="10"/>
  <c r="E532" i="10"/>
  <c r="H532" i="10"/>
  <c r="E531" i="10"/>
  <c r="E530" i="10"/>
  <c r="E528" i="10"/>
  <c r="F528" i="10"/>
  <c r="H527" i="10"/>
  <c r="F527" i="10"/>
  <c r="E527" i="10"/>
  <c r="F526" i="10"/>
  <c r="E526" i="10"/>
  <c r="F525" i="10"/>
  <c r="E525" i="10"/>
  <c r="H525" i="10"/>
  <c r="F524" i="10"/>
  <c r="E524" i="10"/>
  <c r="E523" i="10"/>
  <c r="F523" i="10"/>
  <c r="E522" i="10"/>
  <c r="F521" i="10"/>
  <c r="H520" i="10"/>
  <c r="F520" i="10"/>
  <c r="E520" i="10"/>
  <c r="F519" i="10"/>
  <c r="E519" i="10"/>
  <c r="H519" i="10"/>
  <c r="E518" i="10"/>
  <c r="F518" i="10"/>
  <c r="E517" i="10"/>
  <c r="E516" i="10"/>
  <c r="F515" i="10"/>
  <c r="E515" i="10"/>
  <c r="E514" i="10"/>
  <c r="F514" i="10"/>
  <c r="F513" i="10"/>
  <c r="F511" i="10"/>
  <c r="E511" i="10"/>
  <c r="E510" i="10"/>
  <c r="F510" i="10"/>
  <c r="E509" i="10"/>
  <c r="F509" i="10"/>
  <c r="F508" i="10"/>
  <c r="E508" i="10"/>
  <c r="E507" i="10"/>
  <c r="H507" i="10"/>
  <c r="F506" i="10"/>
  <c r="E506" i="10"/>
  <c r="H506" i="10"/>
  <c r="E505" i="10"/>
  <c r="F505" i="10"/>
  <c r="E504" i="10"/>
  <c r="E503" i="10"/>
  <c r="F503" i="10"/>
  <c r="E502" i="10"/>
  <c r="F502" i="10"/>
  <c r="H501" i="10"/>
  <c r="F501" i="10"/>
  <c r="E501" i="10"/>
  <c r="H500" i="10"/>
  <c r="F500" i="10"/>
  <c r="E500" i="10"/>
  <c r="F499" i="10"/>
  <c r="E499" i="10"/>
  <c r="H499" i="10"/>
  <c r="F498" i="10"/>
  <c r="E498" i="10"/>
  <c r="E497" i="10"/>
  <c r="F497" i="10"/>
  <c r="G493" i="10"/>
  <c r="E493" i="10"/>
  <c r="C493" i="10"/>
  <c r="A493" i="10"/>
  <c r="B478" i="10"/>
  <c r="B475" i="10"/>
  <c r="B474" i="10"/>
  <c r="B473" i="10"/>
  <c r="B472" i="10"/>
  <c r="B471" i="10"/>
  <c r="B469" i="10"/>
  <c r="B468" i="10"/>
  <c r="C459" i="10"/>
  <c r="B459" i="10"/>
  <c r="B458" i="10"/>
  <c r="B455" i="10"/>
  <c r="B454" i="10"/>
  <c r="B453" i="10"/>
  <c r="C447" i="10"/>
  <c r="C446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D390" i="10"/>
  <c r="B441" i="10" s="1"/>
  <c r="D372" i="10"/>
  <c r="C364" i="10"/>
  <c r="D367" i="10" s="1"/>
  <c r="C448" i="10" s="1"/>
  <c r="C360" i="10"/>
  <c r="B464" i="10" s="1"/>
  <c r="C359" i="10"/>
  <c r="D329" i="10"/>
  <c r="C325" i="10"/>
  <c r="D319" i="10"/>
  <c r="C312" i="10"/>
  <c r="D290" i="10"/>
  <c r="C282" i="10"/>
  <c r="D283" i="10" s="1"/>
  <c r="C269" i="10"/>
  <c r="C264" i="10"/>
  <c r="D265" i="10" s="1"/>
  <c r="C252" i="10"/>
  <c r="D240" i="10"/>
  <c r="B447" i="10" s="1"/>
  <c r="D236" i="10"/>
  <c r="B446" i="10" s="1"/>
  <c r="D229" i="10"/>
  <c r="B445" i="10" s="1"/>
  <c r="D221" i="10"/>
  <c r="B444" i="10" s="1"/>
  <c r="B217" i="10"/>
  <c r="E216" i="10"/>
  <c r="E215" i="10"/>
  <c r="E214" i="10"/>
  <c r="E213" i="10"/>
  <c r="D213" i="10"/>
  <c r="C213" i="10"/>
  <c r="C217" i="10" s="1"/>
  <c r="D433" i="10" s="1"/>
  <c r="E212" i="10"/>
  <c r="E211" i="10"/>
  <c r="E210" i="10"/>
  <c r="E209" i="10"/>
  <c r="D204" i="10"/>
  <c r="C204" i="10"/>
  <c r="B204" i="10"/>
  <c r="C203" i="10"/>
  <c r="E203" i="10" s="1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C141" i="10"/>
  <c r="B141" i="10"/>
  <c r="E140" i="10"/>
  <c r="E139" i="10"/>
  <c r="C415" i="10" s="1"/>
  <c r="E138" i="10"/>
  <c r="C414" i="10" s="1"/>
  <c r="E127" i="10"/>
  <c r="CE80" i="10"/>
  <c r="CF79" i="10"/>
  <c r="CE79" i="10"/>
  <c r="CE78" i="10"/>
  <c r="CE77" i="10"/>
  <c r="CF77" i="10" s="1"/>
  <c r="CE76" i="10"/>
  <c r="AV75" i="10"/>
  <c r="AU75" i="10"/>
  <c r="AT75" i="10"/>
  <c r="AS75" i="10"/>
  <c r="AR75" i="10"/>
  <c r="AQ75" i="10"/>
  <c r="AO75" i="10"/>
  <c r="AN75" i="10"/>
  <c r="AM75" i="10"/>
  <c r="AL75" i="10"/>
  <c r="AK75" i="10"/>
  <c r="AI75" i="10"/>
  <c r="AH75" i="10"/>
  <c r="AF75" i="10"/>
  <c r="AE75" i="10"/>
  <c r="AD75" i="10"/>
  <c r="AC75" i="10"/>
  <c r="AB75" i="10"/>
  <c r="AA75" i="10"/>
  <c r="Z75" i="10"/>
  <c r="V75" i="10"/>
  <c r="T75" i="10"/>
  <c r="S75" i="10"/>
  <c r="R75" i="10"/>
  <c r="Q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P74" i="10"/>
  <c r="AP75" i="10" s="1"/>
  <c r="AJ74" i="10"/>
  <c r="AJ75" i="10" s="1"/>
  <c r="AG74" i="10"/>
  <c r="AG75" i="10" s="1"/>
  <c r="Y74" i="10"/>
  <c r="Y75" i="10" s="1"/>
  <c r="X74" i="10"/>
  <c r="X75" i="10" s="1"/>
  <c r="W74" i="10"/>
  <c r="W75" i="10" s="1"/>
  <c r="U74" i="10"/>
  <c r="U75" i="10" s="1"/>
  <c r="P74" i="10"/>
  <c r="CE73" i="10"/>
  <c r="CD71" i="10"/>
  <c r="C575" i="10" s="1"/>
  <c r="CE70" i="10"/>
  <c r="CE69" i="10"/>
  <c r="CE68" i="10"/>
  <c r="CE66" i="10"/>
  <c r="CE65" i="10"/>
  <c r="CE64" i="10"/>
  <c r="C430" i="10" s="1"/>
  <c r="CE63" i="10"/>
  <c r="C429" i="10" s="1"/>
  <c r="CE61" i="10"/>
  <c r="CC48" i="10" s="1"/>
  <c r="CC62" i="10" s="1"/>
  <c r="CE60" i="10"/>
  <c r="H612" i="10" s="1"/>
  <c r="AJ59" i="10"/>
  <c r="C59" i="10"/>
  <c r="B53" i="10"/>
  <c r="BN51" i="10"/>
  <c r="B49" i="10"/>
  <c r="BH48" i="10"/>
  <c r="BH62" i="10" s="1"/>
  <c r="AU48" i="10"/>
  <c r="AU62" i="10" s="1"/>
  <c r="AT48" i="10"/>
  <c r="AT62" i="10" s="1"/>
  <c r="AN48" i="10"/>
  <c r="AN62" i="10" s="1"/>
  <c r="V48" i="10"/>
  <c r="V62" i="10" s="1"/>
  <c r="O48" i="10"/>
  <c r="O62" i="10" s="1"/>
  <c r="H48" i="10"/>
  <c r="H62" i="10" s="1"/>
  <c r="G48" i="10"/>
  <c r="G62" i="10" s="1"/>
  <c r="CE47" i="10"/>
  <c r="AF48" i="10" l="1"/>
  <c r="AF62" i="10" s="1"/>
  <c r="BT48" i="10"/>
  <c r="BT62" i="10" s="1"/>
  <c r="BS48" i="10"/>
  <c r="BS62" i="10" s="1"/>
  <c r="AH48" i="10"/>
  <c r="AH62" i="10" s="1"/>
  <c r="D361" i="10"/>
  <c r="B465" i="10" s="1"/>
  <c r="D464" i="10"/>
  <c r="T48" i="10"/>
  <c r="T62" i="10" s="1"/>
  <c r="BF48" i="10"/>
  <c r="BF62" i="10" s="1"/>
  <c r="AB48" i="10"/>
  <c r="AB62" i="10" s="1"/>
  <c r="BB48" i="10"/>
  <c r="BB62" i="10" s="1"/>
  <c r="BN48" i="10"/>
  <c r="BN62" i="10" s="1"/>
  <c r="CA48" i="10"/>
  <c r="CA62" i="10" s="1"/>
  <c r="P48" i="10"/>
  <c r="P62" i="10" s="1"/>
  <c r="AP48" i="10"/>
  <c r="AP62" i="10" s="1"/>
  <c r="BP48" i="10"/>
  <c r="BP62" i="10" s="1"/>
  <c r="CB48" i="10"/>
  <c r="CB62" i="10" s="1"/>
  <c r="D48" i="10"/>
  <c r="D62" i="10" s="1"/>
  <c r="AD48" i="10"/>
  <c r="AD62" i="10" s="1"/>
  <c r="BC48" i="10"/>
  <c r="BC62" i="10" s="1"/>
  <c r="D438" i="10"/>
  <c r="F48" i="10"/>
  <c r="F62" i="10" s="1"/>
  <c r="R48" i="10"/>
  <c r="R62" i="10" s="1"/>
  <c r="AE48" i="10"/>
  <c r="AE62" i="10" s="1"/>
  <c r="AR48" i="10"/>
  <c r="AR62" i="10" s="1"/>
  <c r="BD48" i="10"/>
  <c r="BD62" i="10" s="1"/>
  <c r="BR48" i="10"/>
  <c r="BR62" i="10" s="1"/>
  <c r="C473" i="10"/>
  <c r="AJ48" i="10"/>
  <c r="AJ62" i="10" s="1"/>
  <c r="J48" i="10"/>
  <c r="J62" i="10" s="1"/>
  <c r="AV48" i="10"/>
  <c r="AV62" i="10" s="1"/>
  <c r="BV48" i="10"/>
  <c r="BV62" i="10" s="1"/>
  <c r="L48" i="10"/>
  <c r="L62" i="10" s="1"/>
  <c r="X48" i="10"/>
  <c r="X62" i="10" s="1"/>
  <c r="AL48" i="10"/>
  <c r="AL62" i="10" s="1"/>
  <c r="AX48" i="10"/>
  <c r="AX62" i="10" s="1"/>
  <c r="BK48" i="10"/>
  <c r="BK62" i="10" s="1"/>
  <c r="BX48" i="10"/>
  <c r="BX62" i="10" s="1"/>
  <c r="E217" i="10"/>
  <c r="C478" i="10" s="1"/>
  <c r="W48" i="10"/>
  <c r="W62" i="10" s="1"/>
  <c r="BJ48" i="10"/>
  <c r="BJ62" i="10" s="1"/>
  <c r="N48" i="10"/>
  <c r="N62" i="10" s="1"/>
  <c r="Z48" i="10"/>
  <c r="Z62" i="10" s="1"/>
  <c r="AM48" i="10"/>
  <c r="AM62" i="10" s="1"/>
  <c r="AZ48" i="10"/>
  <c r="AZ62" i="10" s="1"/>
  <c r="BL48" i="10"/>
  <c r="BL62" i="10" s="1"/>
  <c r="BZ48" i="10"/>
  <c r="BZ62" i="10" s="1"/>
  <c r="CE74" i="10"/>
  <c r="C464" i="10" s="1"/>
  <c r="BW52" i="10"/>
  <c r="BW67" i="10" s="1"/>
  <c r="AQ52" i="10"/>
  <c r="AQ67" i="10" s="1"/>
  <c r="D612" i="10"/>
  <c r="CF76" i="10"/>
  <c r="BG52" i="10" s="1"/>
  <c r="BG67" i="10" s="1"/>
  <c r="F530" i="10"/>
  <c r="F544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F52" i="10"/>
  <c r="F67" i="10" s="1"/>
  <c r="AL52" i="10"/>
  <c r="AL67" i="10" s="1"/>
  <c r="BB52" i="10"/>
  <c r="BB67" i="10" s="1"/>
  <c r="BR52" i="10"/>
  <c r="BR67" i="10" s="1"/>
  <c r="C458" i="10"/>
  <c r="E496" i="10"/>
  <c r="D415" i="10"/>
  <c r="E529" i="10"/>
  <c r="AM52" i="10"/>
  <c r="AM67" i="10" s="1"/>
  <c r="BC52" i="10"/>
  <c r="BC67" i="10" s="1"/>
  <c r="BK52" i="10"/>
  <c r="BK67" i="10" s="1"/>
  <c r="C427" i="10"/>
  <c r="P75" i="10"/>
  <c r="D368" i="10"/>
  <c r="D373" i="10" s="1"/>
  <c r="D391" i="10" s="1"/>
  <c r="D393" i="10" s="1"/>
  <c r="D396" i="10" s="1"/>
  <c r="F507" i="10"/>
  <c r="F522" i="10"/>
  <c r="C469" i="10"/>
  <c r="E204" i="10"/>
  <c r="C476" i="10" s="1"/>
  <c r="O52" i="10"/>
  <c r="O67" i="10" s="1"/>
  <c r="AE52" i="10"/>
  <c r="AE67" i="10" s="1"/>
  <c r="AU52" i="10"/>
  <c r="AU67" i="10" s="1"/>
  <c r="CA52" i="10"/>
  <c r="CA67" i="10" s="1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H52" i="10"/>
  <c r="H67" i="10" s="1"/>
  <c r="P52" i="10"/>
  <c r="P67" i="10" s="1"/>
  <c r="P71" i="10" s="1"/>
  <c r="X52" i="10"/>
  <c r="X67" i="10" s="1"/>
  <c r="AF52" i="10"/>
  <c r="AF67" i="10" s="1"/>
  <c r="AF71" i="10" s="1"/>
  <c r="AN52" i="10"/>
  <c r="AN67" i="10" s="1"/>
  <c r="AV52" i="10"/>
  <c r="AV67" i="10" s="1"/>
  <c r="BD52" i="10"/>
  <c r="BD67" i="10" s="1"/>
  <c r="BL52" i="10"/>
  <c r="BL67" i="10" s="1"/>
  <c r="BL71" i="10" s="1"/>
  <c r="BT52" i="10"/>
  <c r="BT67" i="10" s="1"/>
  <c r="CB52" i="10"/>
  <c r="CB67" i="10" s="1"/>
  <c r="D260" i="10"/>
  <c r="D314" i="10"/>
  <c r="H503" i="10"/>
  <c r="F531" i="10"/>
  <c r="C434" i="10"/>
  <c r="D242" i="10"/>
  <c r="B448" i="10" s="1"/>
  <c r="F612" i="10"/>
  <c r="F550" i="10"/>
  <c r="J612" i="10"/>
  <c r="F537" i="10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CE51" i="10"/>
  <c r="J52" i="10"/>
  <c r="J67" i="10" s="1"/>
  <c r="R52" i="10"/>
  <c r="R67" i="10" s="1"/>
  <c r="Z52" i="10"/>
  <c r="Z67" i="10" s="1"/>
  <c r="AH52" i="10"/>
  <c r="AH67" i="10" s="1"/>
  <c r="AP52" i="10"/>
  <c r="AP67" i="10" s="1"/>
  <c r="AX52" i="10"/>
  <c r="AX67" i="10" s="1"/>
  <c r="BF52" i="10"/>
  <c r="BF67" i="10" s="1"/>
  <c r="BN52" i="10"/>
  <c r="BN67" i="10" s="1"/>
  <c r="BV52" i="10"/>
  <c r="BV67" i="10" s="1"/>
  <c r="BV71" i="10" s="1"/>
  <c r="E141" i="10"/>
  <c r="D463" i="10" s="1"/>
  <c r="D465" i="10" s="1"/>
  <c r="D328" i="10"/>
  <c r="D330" i="10" s="1"/>
  <c r="F512" i="10"/>
  <c r="C463" i="10"/>
  <c r="CE75" i="10"/>
  <c r="L612" i="10"/>
  <c r="C445" i="10"/>
  <c r="F517" i="10"/>
  <c r="D217" i="10"/>
  <c r="F496" i="10"/>
  <c r="F529" i="10"/>
  <c r="C432" i="10"/>
  <c r="G612" i="10"/>
  <c r="C431" i="10"/>
  <c r="F516" i="10"/>
  <c r="C440" i="10"/>
  <c r="F504" i="10"/>
  <c r="H536" i="10"/>
  <c r="F536" i="10"/>
  <c r="I612" i="10"/>
  <c r="D275" i="10"/>
  <c r="B463" i="10"/>
  <c r="B470" i="10"/>
  <c r="H502" i="10"/>
  <c r="H505" i="10"/>
  <c r="BZ52" i="10" l="1"/>
  <c r="BZ67" i="10" s="1"/>
  <c r="BZ71" i="10" s="1"/>
  <c r="C571" i="10" s="1"/>
  <c r="BC71" i="10"/>
  <c r="G52" i="10"/>
  <c r="G67" i="10" s="1"/>
  <c r="AT52" i="10"/>
  <c r="AT67" i="10" s="1"/>
  <c r="AT71" i="10" s="1"/>
  <c r="N52" i="10"/>
  <c r="N67" i="10" s="1"/>
  <c r="AA52" i="10"/>
  <c r="AA67" i="10" s="1"/>
  <c r="AA71" i="10" s="1"/>
  <c r="BR71" i="10"/>
  <c r="BJ71" i="10"/>
  <c r="W52" i="10"/>
  <c r="W67" i="10" s="1"/>
  <c r="W71" i="10" s="1"/>
  <c r="BJ52" i="10"/>
  <c r="BJ67" i="10" s="1"/>
  <c r="BS52" i="10"/>
  <c r="BS67" i="10" s="1"/>
  <c r="V52" i="10"/>
  <c r="V67" i="10" s="1"/>
  <c r="C563" i="10"/>
  <c r="C626" i="10"/>
  <c r="C633" i="10"/>
  <c r="C548" i="10"/>
  <c r="B476" i="10"/>
  <c r="D277" i="10"/>
  <c r="AP71" i="10"/>
  <c r="D292" i="10"/>
  <c r="D341" i="10" s="1"/>
  <c r="C481" i="10" s="1"/>
  <c r="AQ71" i="10"/>
  <c r="BU52" i="10"/>
  <c r="BU67" i="10" s="1"/>
  <c r="BU71" i="10" s="1"/>
  <c r="BE52" i="10"/>
  <c r="BE67" i="10" s="1"/>
  <c r="BE71" i="10" s="1"/>
  <c r="AG52" i="10"/>
  <c r="AG67" i="10" s="1"/>
  <c r="Q52" i="10"/>
  <c r="Q67" i="10" s="1"/>
  <c r="Q71" i="10" s="1"/>
  <c r="D52" i="10"/>
  <c r="D67" i="10" s="1"/>
  <c r="CC52" i="10"/>
  <c r="CC67" i="10" s="1"/>
  <c r="BM52" i="10"/>
  <c r="BM67" i="10" s="1"/>
  <c r="AO52" i="10"/>
  <c r="AO67" i="10" s="1"/>
  <c r="AO71" i="10" s="1"/>
  <c r="Y52" i="10"/>
  <c r="Y67" i="10" s="1"/>
  <c r="BI52" i="10"/>
  <c r="BI67" i="10" s="1"/>
  <c r="AK52" i="10"/>
  <c r="AK67" i="10" s="1"/>
  <c r="E52" i="10"/>
  <c r="E67" i="10" s="1"/>
  <c r="E71" i="10" s="1"/>
  <c r="BP52" i="10"/>
  <c r="BP67" i="10" s="1"/>
  <c r="AS52" i="10"/>
  <c r="AS67" i="10" s="1"/>
  <c r="M52" i="10"/>
  <c r="M67" i="10" s="1"/>
  <c r="AZ52" i="10"/>
  <c r="AZ67" i="10" s="1"/>
  <c r="T52" i="10"/>
  <c r="T67" i="10" s="1"/>
  <c r="L52" i="10"/>
  <c r="L67" i="10" s="1"/>
  <c r="BY52" i="10"/>
  <c r="BY67" i="10" s="1"/>
  <c r="BY71" i="10" s="1"/>
  <c r="BA52" i="10"/>
  <c r="BA67" i="10" s="1"/>
  <c r="BA71" i="10" s="1"/>
  <c r="U52" i="10"/>
  <c r="U67" i="10" s="1"/>
  <c r="AR52" i="10"/>
  <c r="AR67" i="10" s="1"/>
  <c r="BQ52" i="10"/>
  <c r="BQ67" i="10" s="1"/>
  <c r="BQ71" i="10" s="1"/>
  <c r="AC52" i="10"/>
  <c r="AC67" i="10" s="1"/>
  <c r="AC71" i="10" s="1"/>
  <c r="AJ52" i="10"/>
  <c r="AJ67" i="10" s="1"/>
  <c r="AW52" i="10"/>
  <c r="AW67" i="10" s="1"/>
  <c r="AW71" i="10" s="1"/>
  <c r="I52" i="10"/>
  <c r="I67" i="10" s="1"/>
  <c r="BX52" i="10"/>
  <c r="BX67" i="10" s="1"/>
  <c r="BH52" i="10"/>
  <c r="BH67" i="10" s="1"/>
  <c r="AB52" i="10"/>
  <c r="AB67" i="10" s="1"/>
  <c r="AI52" i="10"/>
  <c r="AI67" i="10" s="1"/>
  <c r="AI71" i="10" s="1"/>
  <c r="O71" i="10"/>
  <c r="R71" i="10"/>
  <c r="X71" i="10"/>
  <c r="H71" i="10"/>
  <c r="C567" i="10"/>
  <c r="C642" i="10"/>
  <c r="C555" i="10"/>
  <c r="C617" i="10"/>
  <c r="C557" i="10"/>
  <c r="C637" i="10"/>
  <c r="AV71" i="10"/>
  <c r="S52" i="10"/>
  <c r="S67" i="10" s="1"/>
  <c r="S71" i="10" s="1"/>
  <c r="BT71" i="10"/>
  <c r="G71" i="10"/>
  <c r="K612" i="10"/>
  <c r="C465" i="10"/>
  <c r="C681" i="10"/>
  <c r="C509" i="10"/>
  <c r="M71" i="10"/>
  <c r="AH71" i="10"/>
  <c r="BM71" i="10"/>
  <c r="K52" i="10"/>
  <c r="K67" i="10" s="1"/>
  <c r="BB71" i="10"/>
  <c r="CB71" i="10"/>
  <c r="N71" i="10"/>
  <c r="BW71" i="10"/>
  <c r="BO52" i="10"/>
  <c r="BO67" i="10" s="1"/>
  <c r="BO71" i="10" s="1"/>
  <c r="C52" i="10"/>
  <c r="CA71" i="10"/>
  <c r="AM71" i="10"/>
  <c r="AE71" i="10"/>
  <c r="BK71" i="10"/>
  <c r="AU71" i="10"/>
  <c r="BD71" i="10"/>
  <c r="C62" i="10"/>
  <c r="CE48" i="10"/>
  <c r="C646" i="10"/>
  <c r="BI71" i="10"/>
  <c r="C711" i="10"/>
  <c r="C539" i="10"/>
  <c r="G539" i="10" s="1"/>
  <c r="BN71" i="10"/>
  <c r="J71" i="10"/>
  <c r="D339" i="10"/>
  <c r="C482" i="10" s="1"/>
  <c r="BG71" i="10"/>
  <c r="AD52" i="10"/>
  <c r="AD67" i="10" s="1"/>
  <c r="AY52" i="10"/>
  <c r="AY67" i="10" s="1"/>
  <c r="AN71" i="10"/>
  <c r="Z71" i="10"/>
  <c r="BS71" i="10"/>
  <c r="AX71" i="10"/>
  <c r="BF71" i="10"/>
  <c r="V71" i="10"/>
  <c r="F71" i="10"/>
  <c r="AL71" i="10"/>
  <c r="C697" i="10"/>
  <c r="C525" i="10"/>
  <c r="G525" i="10" s="1"/>
  <c r="C568" i="10" l="1"/>
  <c r="C643" i="10"/>
  <c r="AB71" i="10"/>
  <c r="C560" i="10"/>
  <c r="C627" i="10"/>
  <c r="C573" i="10"/>
  <c r="C622" i="10"/>
  <c r="CE52" i="10"/>
  <c r="C67" i="10"/>
  <c r="C670" i="10"/>
  <c r="C498" i="10"/>
  <c r="C547" i="10"/>
  <c r="C632" i="10"/>
  <c r="BX71" i="10"/>
  <c r="C552" i="10"/>
  <c r="C618" i="10"/>
  <c r="BH71" i="10"/>
  <c r="C645" i="10"/>
  <c r="C570" i="10"/>
  <c r="C713" i="10"/>
  <c r="C541" i="10"/>
  <c r="C673" i="10"/>
  <c r="C501" i="10"/>
  <c r="G501" i="10" s="1"/>
  <c r="AK71" i="10"/>
  <c r="D71" i="10"/>
  <c r="C533" i="10"/>
  <c r="G533" i="10" s="1"/>
  <c r="C705" i="10"/>
  <c r="C703" i="10"/>
  <c r="C531" i="10"/>
  <c r="C562" i="10"/>
  <c r="C623" i="10"/>
  <c r="C638" i="10"/>
  <c r="C558" i="10"/>
  <c r="C672" i="10"/>
  <c r="C500" i="10"/>
  <c r="G500" i="10" s="1"/>
  <c r="C692" i="10"/>
  <c r="C520" i="10"/>
  <c r="G520" i="10" s="1"/>
  <c r="C682" i="10"/>
  <c r="C510" i="10"/>
  <c r="C689" i="10"/>
  <c r="C517" i="10"/>
  <c r="L71" i="10"/>
  <c r="AG71" i="10"/>
  <c r="C616" i="10"/>
  <c r="C543" i="10"/>
  <c r="C679" i="10"/>
  <c r="C507" i="10"/>
  <c r="G507" i="10" s="1"/>
  <c r="AR71" i="10"/>
  <c r="C564" i="10"/>
  <c r="C639" i="10"/>
  <c r="C546" i="10"/>
  <c r="C630" i="10"/>
  <c r="C624" i="10"/>
  <c r="C549" i="10"/>
  <c r="C712" i="10"/>
  <c r="C540" i="10"/>
  <c r="G540" i="10" s="1"/>
  <c r="C706" i="10"/>
  <c r="C534" i="10"/>
  <c r="G534" i="10" s="1"/>
  <c r="C688" i="10"/>
  <c r="C516" i="10"/>
  <c r="G509" i="10"/>
  <c r="H509" i="10" s="1"/>
  <c r="C565" i="10"/>
  <c r="C640" i="10"/>
  <c r="C683" i="10"/>
  <c r="C511" i="10"/>
  <c r="AJ71" i="10"/>
  <c r="T71" i="10"/>
  <c r="C535" i="10"/>
  <c r="C707" i="10"/>
  <c r="C704" i="10"/>
  <c r="C532" i="10"/>
  <c r="G532" i="10" s="1"/>
  <c r="CC71" i="10"/>
  <c r="BP71" i="10"/>
  <c r="CE62" i="10"/>
  <c r="C71" i="10"/>
  <c r="C614" i="10"/>
  <c r="C550" i="10"/>
  <c r="C671" i="10"/>
  <c r="C499" i="10"/>
  <c r="G499" i="10" s="1"/>
  <c r="C675" i="10"/>
  <c r="C503" i="10"/>
  <c r="G503" i="10" s="1"/>
  <c r="C687" i="10"/>
  <c r="C515" i="10"/>
  <c r="C619" i="10"/>
  <c r="C559" i="10"/>
  <c r="C556" i="10"/>
  <c r="C635" i="10"/>
  <c r="K71" i="10"/>
  <c r="C694" i="10"/>
  <c r="C522" i="10"/>
  <c r="C699" i="10"/>
  <c r="C527" i="10"/>
  <c r="G527" i="10" s="1"/>
  <c r="U71" i="10"/>
  <c r="C528" i="10"/>
  <c r="C700" i="10"/>
  <c r="C680" i="10"/>
  <c r="C508" i="10"/>
  <c r="AZ71" i="10"/>
  <c r="Y71" i="10"/>
  <c r="AS71" i="10"/>
  <c r="C708" i="10"/>
  <c r="C536" i="10"/>
  <c r="G536" i="10" s="1"/>
  <c r="C572" i="10"/>
  <c r="C647" i="10"/>
  <c r="C678" i="10"/>
  <c r="C506" i="10"/>
  <c r="G506" i="10" s="1"/>
  <c r="C566" i="10"/>
  <c r="C641" i="10"/>
  <c r="C519" i="10"/>
  <c r="G519" i="10" s="1"/>
  <c r="C691" i="10"/>
  <c r="C554" i="10"/>
  <c r="C634" i="10"/>
  <c r="C629" i="10"/>
  <c r="C551" i="10"/>
  <c r="AD71" i="10"/>
  <c r="C542" i="10"/>
  <c r="C631" i="10"/>
  <c r="C696" i="10"/>
  <c r="C524" i="10"/>
  <c r="C684" i="10"/>
  <c r="C512" i="10"/>
  <c r="AY71" i="10"/>
  <c r="I71" i="10"/>
  <c r="C698" i="10" l="1"/>
  <c r="C526" i="10"/>
  <c r="G512" i="10"/>
  <c r="H512" i="10"/>
  <c r="C628" i="10"/>
  <c r="C545" i="10"/>
  <c r="G545" i="10" s="1"/>
  <c r="G515" i="10"/>
  <c r="H515" i="10" s="1"/>
  <c r="C668" i="10"/>
  <c r="C496" i="10"/>
  <c r="C677" i="10"/>
  <c r="C505" i="10"/>
  <c r="G505" i="10" s="1"/>
  <c r="C644" i="10"/>
  <c r="C569" i="10"/>
  <c r="G524" i="10"/>
  <c r="H524" i="10" s="1"/>
  <c r="G508" i="10"/>
  <c r="H508" i="10"/>
  <c r="G535" i="10"/>
  <c r="H535" i="10"/>
  <c r="C669" i="10"/>
  <c r="C497" i="10"/>
  <c r="C676" i="10"/>
  <c r="C504" i="10"/>
  <c r="C621" i="10"/>
  <c r="C561" i="10"/>
  <c r="C685" i="10"/>
  <c r="C513" i="10"/>
  <c r="C553" i="10"/>
  <c r="C636" i="10"/>
  <c r="C428" i="10"/>
  <c r="C709" i="10"/>
  <c r="C537" i="10"/>
  <c r="G517" i="10"/>
  <c r="H517" i="10" s="1"/>
  <c r="H510" i="10"/>
  <c r="G510" i="10"/>
  <c r="C702" i="10"/>
  <c r="C530" i="10"/>
  <c r="G498" i="10"/>
  <c r="H498" i="10"/>
  <c r="C693" i="10"/>
  <c r="C521" i="10"/>
  <c r="G522" i="10"/>
  <c r="H522" i="10" s="1"/>
  <c r="G528" i="10"/>
  <c r="H528" i="10"/>
  <c r="C620" i="10"/>
  <c r="C574" i="10"/>
  <c r="C701" i="10"/>
  <c r="C529" i="10"/>
  <c r="G516" i="10"/>
  <c r="H516" i="10" s="1"/>
  <c r="C502" i="10"/>
  <c r="G502" i="10" s="1"/>
  <c r="C674" i="10"/>
  <c r="C695" i="10"/>
  <c r="C523" i="10"/>
  <c r="C710" i="10"/>
  <c r="C538" i="10"/>
  <c r="G538" i="10" s="1"/>
  <c r="C686" i="10"/>
  <c r="C514" i="10"/>
  <c r="G550" i="10"/>
  <c r="H550" i="10" s="1"/>
  <c r="G546" i="10"/>
  <c r="H546" i="10"/>
  <c r="G531" i="10"/>
  <c r="H531" i="10"/>
  <c r="CE67" i="10"/>
  <c r="C625" i="10"/>
  <c r="C544" i="10"/>
  <c r="C690" i="10"/>
  <c r="C518" i="10"/>
  <c r="D615" i="10"/>
  <c r="G511" i="10"/>
  <c r="H511" i="10"/>
  <c r="C648" i="10" l="1"/>
  <c r="M716" i="10" s="1"/>
  <c r="G544" i="10"/>
  <c r="H544" i="10" s="1"/>
  <c r="G504" i="10"/>
  <c r="H504" i="10" s="1"/>
  <c r="G497" i="10"/>
  <c r="H497" i="10" s="1"/>
  <c r="C433" i="10"/>
  <c r="C441" i="10" s="1"/>
  <c r="D709" i="10"/>
  <c r="D701" i="10"/>
  <c r="D693" i="10"/>
  <c r="D685" i="10"/>
  <c r="D706" i="10"/>
  <c r="D698" i="10"/>
  <c r="D690" i="10"/>
  <c r="D682" i="10"/>
  <c r="D711" i="10"/>
  <c r="D703" i="10"/>
  <c r="D695" i="10"/>
  <c r="D687" i="10"/>
  <c r="D708" i="10"/>
  <c r="D700" i="10"/>
  <c r="D692" i="10"/>
  <c r="D716" i="10"/>
  <c r="D707" i="10"/>
  <c r="D699" i="10"/>
  <c r="D691" i="10"/>
  <c r="D683" i="10"/>
  <c r="D705" i="10"/>
  <c r="D684" i="10"/>
  <c r="D676" i="10"/>
  <c r="D668" i="10"/>
  <c r="D628" i="10"/>
  <c r="D622" i="10"/>
  <c r="D618" i="10"/>
  <c r="D689" i="10"/>
  <c r="D678" i="10"/>
  <c r="D670" i="10"/>
  <c r="D647" i="10"/>
  <c r="D646" i="10"/>
  <c r="D645" i="10"/>
  <c r="D712" i="10"/>
  <c r="D710" i="10"/>
  <c r="D680" i="10"/>
  <c r="D672" i="10"/>
  <c r="D673" i="10"/>
  <c r="D644" i="10"/>
  <c r="D636" i="10"/>
  <c r="D629" i="10"/>
  <c r="D619" i="10"/>
  <c r="D681" i="10"/>
  <c r="D674" i="10"/>
  <c r="D637" i="10"/>
  <c r="D623" i="10"/>
  <c r="D713" i="10"/>
  <c r="D671" i="10"/>
  <c r="D642" i="10"/>
  <c r="D634" i="10"/>
  <c r="D626" i="10"/>
  <c r="D624" i="10"/>
  <c r="D620" i="10"/>
  <c r="D704" i="10"/>
  <c r="D694" i="10"/>
  <c r="D643" i="10"/>
  <c r="D632" i="10"/>
  <c r="D630" i="10"/>
  <c r="D625" i="10"/>
  <c r="D702" i="10"/>
  <c r="D688" i="10"/>
  <c r="D641" i="10"/>
  <c r="D639" i="10"/>
  <c r="D697" i="10"/>
  <c r="D679" i="10"/>
  <c r="D677" i="10"/>
  <c r="D675" i="10"/>
  <c r="D696" i="10"/>
  <c r="D635" i="10"/>
  <c r="D686" i="10"/>
  <c r="D633" i="10"/>
  <c r="D631" i="10"/>
  <c r="D616" i="10"/>
  <c r="D669" i="10"/>
  <c r="D621" i="10"/>
  <c r="D627" i="10"/>
  <c r="D640" i="10"/>
  <c r="D638" i="10"/>
  <c r="D617" i="10"/>
  <c r="G514" i="10"/>
  <c r="H514" i="10" s="1"/>
  <c r="G530" i="10"/>
  <c r="H530" i="10"/>
  <c r="G513" i="10"/>
  <c r="H513" i="10"/>
  <c r="C715" i="10"/>
  <c r="G537" i="10"/>
  <c r="H537" i="10" s="1"/>
  <c r="G518" i="10"/>
  <c r="H518" i="10"/>
  <c r="G496" i="10"/>
  <c r="H496" i="10" s="1"/>
  <c r="G526" i="10"/>
  <c r="H526" i="10" s="1"/>
  <c r="G529" i="10"/>
  <c r="H529" i="10" s="1"/>
  <c r="G523" i="10"/>
  <c r="H523" i="10"/>
  <c r="G521" i="10"/>
  <c r="H521" i="10"/>
  <c r="CE71" i="10"/>
  <c r="C716" i="10" s="1"/>
  <c r="E612" i="10" l="1"/>
  <c r="D715" i="10"/>
  <c r="E623" i="10"/>
  <c r="E706" i="10" l="1"/>
  <c r="E698" i="10"/>
  <c r="E690" i="10"/>
  <c r="E711" i="10"/>
  <c r="E703" i="10"/>
  <c r="E695" i="10"/>
  <c r="E687" i="10"/>
  <c r="E708" i="10"/>
  <c r="E700" i="10"/>
  <c r="E692" i="10"/>
  <c r="E713" i="10"/>
  <c r="E705" i="10"/>
  <c r="E697" i="10"/>
  <c r="E689" i="10"/>
  <c r="E712" i="10"/>
  <c r="E704" i="10"/>
  <c r="E696" i="10"/>
  <c r="E688" i="10"/>
  <c r="E709" i="10"/>
  <c r="E707" i="10"/>
  <c r="E681" i="10"/>
  <c r="E673" i="10"/>
  <c r="E693" i="10"/>
  <c r="E691" i="10"/>
  <c r="E675" i="10"/>
  <c r="E702" i="10"/>
  <c r="E677" i="10"/>
  <c r="E674" i="10"/>
  <c r="E645" i="10"/>
  <c r="E637" i="10"/>
  <c r="E716" i="10"/>
  <c r="E684" i="10"/>
  <c r="E638" i="10"/>
  <c r="E630" i="10"/>
  <c r="E627" i="10"/>
  <c r="E694" i="10"/>
  <c r="E685" i="10"/>
  <c r="E683" i="10"/>
  <c r="E679" i="10"/>
  <c r="E672" i="10"/>
  <c r="E643" i="10"/>
  <c r="E635" i="10"/>
  <c r="E647" i="10"/>
  <c r="E634" i="10"/>
  <c r="E632" i="10"/>
  <c r="E625" i="10"/>
  <c r="E670" i="10"/>
  <c r="E641" i="10"/>
  <c r="E639" i="10"/>
  <c r="E628" i="10"/>
  <c r="E646" i="10"/>
  <c r="E686" i="10"/>
  <c r="E668" i="10"/>
  <c r="E644" i="10"/>
  <c r="E633" i="10"/>
  <c r="E631" i="10"/>
  <c r="E701" i="10"/>
  <c r="E671" i="10"/>
  <c r="E642" i="10"/>
  <c r="E640" i="10"/>
  <c r="E629" i="10"/>
  <c r="E699" i="10"/>
  <c r="E678" i="10"/>
  <c r="E676" i="10"/>
  <c r="E636" i="10"/>
  <c r="E626" i="10"/>
  <c r="E680" i="10"/>
  <c r="E624" i="10"/>
  <c r="E669" i="10"/>
  <c r="E682" i="10"/>
  <c r="E710" i="10"/>
  <c r="E715" i="10" l="1"/>
  <c r="F624" i="10"/>
  <c r="F711" i="10" l="1"/>
  <c r="F703" i="10"/>
  <c r="F695" i="10"/>
  <c r="F687" i="10"/>
  <c r="F708" i="10"/>
  <c r="F700" i="10"/>
  <c r="F692" i="10"/>
  <c r="F684" i="10"/>
  <c r="F713" i="10"/>
  <c r="F705" i="10"/>
  <c r="F697" i="10"/>
  <c r="F689" i="10"/>
  <c r="F710" i="10"/>
  <c r="F702" i="10"/>
  <c r="F694" i="10"/>
  <c r="F686" i="10"/>
  <c r="F709" i="10"/>
  <c r="F701" i="10"/>
  <c r="F693" i="10"/>
  <c r="F685" i="10"/>
  <c r="F699" i="10"/>
  <c r="F678" i="10"/>
  <c r="F670" i="10"/>
  <c r="F647" i="10"/>
  <c r="F646" i="10"/>
  <c r="F645" i="10"/>
  <c r="F629" i="10"/>
  <c r="F626" i="10"/>
  <c r="F680" i="10"/>
  <c r="F672" i="10"/>
  <c r="F706" i="10"/>
  <c r="F704" i="10"/>
  <c r="F674" i="10"/>
  <c r="F716" i="10"/>
  <c r="F712" i="10"/>
  <c r="F681" i="10"/>
  <c r="F638" i="10"/>
  <c r="F630" i="10"/>
  <c r="F627" i="10"/>
  <c r="F696" i="10"/>
  <c r="F690" i="10"/>
  <c r="F675" i="10"/>
  <c r="F639" i="10"/>
  <c r="F631" i="10"/>
  <c r="F625" i="10"/>
  <c r="F691" i="10"/>
  <c r="F688" i="10"/>
  <c r="F644" i="10"/>
  <c r="F636" i="10"/>
  <c r="F643" i="10"/>
  <c r="F641" i="10"/>
  <c r="F628" i="10"/>
  <c r="F698" i="10"/>
  <c r="F679" i="10"/>
  <c r="F677" i="10"/>
  <c r="F637" i="10"/>
  <c r="F707" i="10"/>
  <c r="F683" i="10"/>
  <c r="F668" i="10"/>
  <c r="F635" i="10"/>
  <c r="F633" i="10"/>
  <c r="F673" i="10"/>
  <c r="F671" i="10"/>
  <c r="F642" i="10"/>
  <c r="F640" i="10"/>
  <c r="F682" i="10"/>
  <c r="F669" i="10"/>
  <c r="F634" i="10"/>
  <c r="F632" i="10"/>
  <c r="F676" i="10"/>
  <c r="F715" i="10" l="1"/>
  <c r="G625" i="10"/>
  <c r="G708" i="10" l="1"/>
  <c r="G700" i="10"/>
  <c r="G692" i="10"/>
  <c r="G684" i="10"/>
  <c r="G713" i="10"/>
  <c r="G705" i="10"/>
  <c r="G697" i="10"/>
  <c r="G689" i="10"/>
  <c r="G681" i="10"/>
  <c r="G710" i="10"/>
  <c r="G702" i="10"/>
  <c r="G694" i="10"/>
  <c r="G686" i="10"/>
  <c r="G716" i="10"/>
  <c r="G707" i="10"/>
  <c r="G699" i="10"/>
  <c r="G691" i="10"/>
  <c r="G706" i="10"/>
  <c r="G698" i="10"/>
  <c r="G690" i="10"/>
  <c r="G682" i="10"/>
  <c r="G703" i="10"/>
  <c r="G701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687" i="10"/>
  <c r="G685" i="10"/>
  <c r="G677" i="10"/>
  <c r="G669" i="10"/>
  <c r="G696" i="10"/>
  <c r="G679" i="10"/>
  <c r="G671" i="10"/>
  <c r="G709" i="10"/>
  <c r="G693" i="10"/>
  <c r="G676" i="10"/>
  <c r="G646" i="10"/>
  <c r="G680" i="10"/>
  <c r="G673" i="10"/>
  <c r="G629" i="10"/>
  <c r="G672" i="10"/>
  <c r="G670" i="10"/>
  <c r="G688" i="10"/>
  <c r="G683" i="10"/>
  <c r="G668" i="10"/>
  <c r="G627" i="10"/>
  <c r="G711" i="10"/>
  <c r="G626" i="10"/>
  <c r="G704" i="10"/>
  <c r="G674" i="10"/>
  <c r="G647" i="10"/>
  <c r="G645" i="10"/>
  <c r="G628" i="10"/>
  <c r="G695" i="10"/>
  <c r="G678" i="10"/>
  <c r="H628" i="10" l="1"/>
  <c r="H686" i="10" s="1"/>
  <c r="G715" i="10"/>
  <c r="H636" i="10" l="1"/>
  <c r="H645" i="10"/>
  <c r="H702" i="10"/>
  <c r="H690" i="10"/>
  <c r="H670" i="10"/>
  <c r="H640" i="10"/>
  <c r="H691" i="10"/>
  <c r="H689" i="10"/>
  <c r="H635" i="10"/>
  <c r="H696" i="10"/>
  <c r="H701" i="10"/>
  <c r="H684" i="10"/>
  <c r="H706" i="10"/>
  <c r="H693" i="10"/>
  <c r="H644" i="10"/>
  <c r="H637" i="10"/>
  <c r="H672" i="10"/>
  <c r="H641" i="10"/>
  <c r="H680" i="10"/>
  <c r="H643" i="10"/>
  <c r="H632" i="10"/>
  <c r="H710" i="10"/>
  <c r="H677" i="10"/>
  <c r="H687" i="10"/>
  <c r="H709" i="10"/>
  <c r="H682" i="10"/>
  <c r="H695" i="10"/>
  <c r="H699" i="10"/>
  <c r="H697" i="10"/>
  <c r="H647" i="10"/>
  <c r="H638" i="10"/>
  <c r="H671" i="10"/>
  <c r="H681" i="10"/>
  <c r="H631" i="10"/>
  <c r="H698" i="10"/>
  <c r="H703" i="10"/>
  <c r="H707" i="10"/>
  <c r="H705" i="10"/>
  <c r="H669" i="10"/>
  <c r="H675" i="10"/>
  <c r="H694" i="10"/>
  <c r="H692" i="10"/>
  <c r="H704" i="10"/>
  <c r="H668" i="10"/>
  <c r="H712" i="10"/>
  <c r="H642" i="10"/>
  <c r="H676" i="10"/>
  <c r="H679" i="10"/>
  <c r="H683" i="10"/>
  <c r="H634" i="10"/>
  <c r="H678" i="10"/>
  <c r="H673" i="10"/>
  <c r="H630" i="10"/>
  <c r="H639" i="10"/>
  <c r="H700" i="10"/>
  <c r="H711" i="10"/>
  <c r="H716" i="10"/>
  <c r="H713" i="10"/>
  <c r="H685" i="10"/>
  <c r="H629" i="10"/>
  <c r="H715" i="10" s="1"/>
  <c r="H633" i="10"/>
  <c r="H708" i="10"/>
  <c r="H646" i="10"/>
  <c r="H674" i="10"/>
  <c r="H688" i="10"/>
  <c r="I629" i="10"/>
  <c r="I710" i="10" l="1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685" i="10"/>
  <c r="I708" i="10"/>
  <c r="I700" i="10"/>
  <c r="I692" i="10"/>
  <c r="I684" i="10"/>
  <c r="I697" i="10"/>
  <c r="I695" i="10"/>
  <c r="I677" i="10"/>
  <c r="I669" i="10"/>
  <c r="I706" i="10"/>
  <c r="I679" i="10"/>
  <c r="I671" i="10"/>
  <c r="I690" i="10"/>
  <c r="I682" i="10"/>
  <c r="I673" i="10"/>
  <c r="I687" i="10"/>
  <c r="I676" i="10"/>
  <c r="I640" i="10"/>
  <c r="I632" i="10"/>
  <c r="I670" i="10"/>
  <c r="I668" i="10"/>
  <c r="I647" i="10"/>
  <c r="I641" i="10"/>
  <c r="I633" i="10"/>
  <c r="I681" i="10"/>
  <c r="I674" i="10"/>
  <c r="I638" i="10"/>
  <c r="I630" i="10"/>
  <c r="I698" i="10"/>
  <c r="I639" i="10"/>
  <c r="I713" i="10"/>
  <c r="I703" i="10"/>
  <c r="I637" i="10"/>
  <c r="I635" i="10"/>
  <c r="I675" i="10"/>
  <c r="I646" i="10"/>
  <c r="I644" i="10"/>
  <c r="I642" i="10"/>
  <c r="I711" i="10"/>
  <c r="I631" i="10"/>
  <c r="I678" i="10"/>
  <c r="I705" i="10"/>
  <c r="I680" i="10"/>
  <c r="I636" i="10"/>
  <c r="I634" i="10"/>
  <c r="I689" i="10"/>
  <c r="I672" i="10"/>
  <c r="I643" i="10"/>
  <c r="I645" i="10"/>
  <c r="I715" i="10" l="1"/>
  <c r="J630" i="10"/>
  <c r="J716" i="10" l="1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06" i="10"/>
  <c r="J698" i="10"/>
  <c r="J690" i="10"/>
  <c r="J713" i="10"/>
  <c r="J705" i="10"/>
  <c r="J697" i="10"/>
  <c r="J689" i="10"/>
  <c r="J687" i="10"/>
  <c r="J674" i="10"/>
  <c r="J710" i="10"/>
  <c r="J708" i="10"/>
  <c r="J676" i="10"/>
  <c r="J668" i="10"/>
  <c r="J694" i="10"/>
  <c r="J692" i="10"/>
  <c r="J681" i="10"/>
  <c r="J678" i="10"/>
  <c r="J670" i="10"/>
  <c r="J682" i="10"/>
  <c r="J647" i="10"/>
  <c r="J641" i="10"/>
  <c r="J633" i="10"/>
  <c r="J711" i="10"/>
  <c r="J702" i="10"/>
  <c r="J677" i="10"/>
  <c r="J669" i="10"/>
  <c r="J642" i="10"/>
  <c r="J634" i="10"/>
  <c r="J703" i="10"/>
  <c r="J700" i="10"/>
  <c r="J675" i="10"/>
  <c r="J646" i="10"/>
  <c r="J639" i="10"/>
  <c r="J631" i="10"/>
  <c r="J679" i="10"/>
  <c r="J637" i="10"/>
  <c r="J635" i="10"/>
  <c r="J644" i="10"/>
  <c r="J673" i="10"/>
  <c r="J671" i="10"/>
  <c r="J686" i="10"/>
  <c r="J640" i="10"/>
  <c r="J680" i="10"/>
  <c r="J638" i="10"/>
  <c r="J636" i="10"/>
  <c r="J695" i="10"/>
  <c r="J645" i="10"/>
  <c r="J643" i="10"/>
  <c r="J684" i="10"/>
  <c r="J672" i="10"/>
  <c r="J632" i="10"/>
  <c r="J715" i="10" l="1"/>
  <c r="K644" i="10"/>
  <c r="L647" i="10"/>
  <c r="L709" i="10" l="1"/>
  <c r="L701" i="10"/>
  <c r="L693" i="10"/>
  <c r="L685" i="10"/>
  <c r="L706" i="10"/>
  <c r="L698" i="10"/>
  <c r="L690" i="10"/>
  <c r="L682" i="10"/>
  <c r="L711" i="10"/>
  <c r="L703" i="10"/>
  <c r="L695" i="10"/>
  <c r="L687" i="10"/>
  <c r="L708" i="10"/>
  <c r="L700" i="10"/>
  <c r="L692" i="10"/>
  <c r="L684" i="10"/>
  <c r="L716" i="10"/>
  <c r="L707" i="10"/>
  <c r="L699" i="10"/>
  <c r="L691" i="10"/>
  <c r="L683" i="10"/>
  <c r="L676" i="10"/>
  <c r="L668" i="10"/>
  <c r="L704" i="10"/>
  <c r="L702" i="10"/>
  <c r="L681" i="10"/>
  <c r="L678" i="10"/>
  <c r="L670" i="10"/>
  <c r="L713" i="10"/>
  <c r="L688" i="10"/>
  <c r="M688" i="10" s="1"/>
  <c r="L686" i="10"/>
  <c r="L680" i="10"/>
  <c r="M680" i="10" s="1"/>
  <c r="L672" i="10"/>
  <c r="L705" i="10"/>
  <c r="L696" i="10"/>
  <c r="L671" i="10"/>
  <c r="L677" i="10"/>
  <c r="L675" i="10"/>
  <c r="M675" i="10" s="1"/>
  <c r="L673" i="10"/>
  <c r="L712" i="10"/>
  <c r="L697" i="10"/>
  <c r="L669" i="10"/>
  <c r="L710" i="10"/>
  <c r="L674" i="10"/>
  <c r="L694" i="10"/>
  <c r="L679" i="10"/>
  <c r="L689" i="10"/>
  <c r="M689" i="10" s="1"/>
  <c r="K712" i="10"/>
  <c r="K704" i="10"/>
  <c r="K696" i="10"/>
  <c r="K688" i="10"/>
  <c r="K709" i="10"/>
  <c r="K701" i="10"/>
  <c r="K693" i="10"/>
  <c r="K685" i="10"/>
  <c r="K706" i="10"/>
  <c r="K698" i="10"/>
  <c r="K690" i="10"/>
  <c r="K711" i="10"/>
  <c r="K703" i="10"/>
  <c r="K695" i="10"/>
  <c r="K687" i="10"/>
  <c r="K710" i="10"/>
  <c r="K702" i="10"/>
  <c r="K694" i="10"/>
  <c r="K686" i="10"/>
  <c r="K691" i="10"/>
  <c r="K689" i="10"/>
  <c r="K679" i="10"/>
  <c r="K671" i="10"/>
  <c r="K700" i="10"/>
  <c r="K682" i="10"/>
  <c r="K673" i="10"/>
  <c r="K684" i="10"/>
  <c r="K675" i="10"/>
  <c r="K716" i="10"/>
  <c r="K677" i="10"/>
  <c r="K670" i="10"/>
  <c r="K669" i="10"/>
  <c r="K668" i="10"/>
  <c r="K708" i="10"/>
  <c r="K705" i="10"/>
  <c r="K699" i="10"/>
  <c r="K678" i="10"/>
  <c r="K697" i="10"/>
  <c r="K713" i="10"/>
  <c r="K681" i="10"/>
  <c r="K692" i="10"/>
  <c r="K683" i="10"/>
  <c r="K707" i="10"/>
  <c r="K680" i="10"/>
  <c r="K676" i="10"/>
  <c r="K672" i="10"/>
  <c r="K674" i="10"/>
  <c r="M704" i="10" l="1"/>
  <c r="M673" i="10"/>
  <c r="M686" i="10"/>
  <c r="M690" i="10"/>
  <c r="M684" i="10"/>
  <c r="M679" i="10"/>
  <c r="M698" i="10"/>
  <c r="K715" i="10"/>
  <c r="M694" i="10"/>
  <c r="M676" i="10"/>
  <c r="M700" i="10"/>
  <c r="M677" i="10"/>
  <c r="M713" i="10"/>
  <c r="M683" i="10"/>
  <c r="M708" i="10"/>
  <c r="M706" i="10"/>
  <c r="M692" i="10"/>
  <c r="M674" i="10"/>
  <c r="M671" i="10"/>
  <c r="M670" i="10"/>
  <c r="M691" i="10"/>
  <c r="M687" i="10"/>
  <c r="M685" i="10"/>
  <c r="M682" i="10"/>
  <c r="M710" i="10"/>
  <c r="M696" i="10"/>
  <c r="M678" i="10"/>
  <c r="M699" i="10"/>
  <c r="M695" i="10"/>
  <c r="M693" i="10"/>
  <c r="M669" i="10"/>
  <c r="M705" i="10"/>
  <c r="M681" i="10"/>
  <c r="M707" i="10"/>
  <c r="M703" i="10"/>
  <c r="M701" i="10"/>
  <c r="M712" i="10"/>
  <c r="L715" i="10"/>
  <c r="M668" i="10"/>
  <c r="M697" i="10"/>
  <c r="M672" i="10"/>
  <c r="M702" i="10"/>
  <c r="M711" i="10"/>
  <c r="M709" i="10"/>
  <c r="M715" i="10" l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D186" i="9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I90" i="9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H75" i="1"/>
  <c r="H26" i="9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/>
  <c r="CE73" i="1"/>
  <c r="CE74" i="1"/>
  <c r="C75" i="1"/>
  <c r="C26" i="9" s="1"/>
  <c r="CE80" i="1"/>
  <c r="CE78" i="1"/>
  <c r="R816" i="1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B445" i="1" s="1"/>
  <c r="D236" i="1"/>
  <c r="D240" i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C475" i="1" s="1"/>
  <c r="D204" i="1"/>
  <c r="B204" i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W48" i="1"/>
  <c r="W62" i="1" s="1"/>
  <c r="AS48" i="1"/>
  <c r="AS62" i="1" s="1"/>
  <c r="C204" i="9" s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2" i="1"/>
  <c r="N755" i="1"/>
  <c r="N762" i="1"/>
  <c r="N764" i="1"/>
  <c r="N768" i="1"/>
  <c r="N771" i="1"/>
  <c r="N777" i="1"/>
  <c r="N739" i="1"/>
  <c r="N745" i="1"/>
  <c r="N763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815" i="1" s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815" i="1" s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815" i="1" s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815" i="1" s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29" i="1"/>
  <c r="C432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E44" i="9" s="1"/>
  <c r="H48" i="1"/>
  <c r="H62" i="1" s="1"/>
  <c r="E739" i="1" s="1"/>
  <c r="D48" i="1"/>
  <c r="D62" i="1" s="1"/>
  <c r="D368" i="1"/>
  <c r="D330" i="1"/>
  <c r="C86" i="8" s="1"/>
  <c r="BI730" i="1"/>
  <c r="C816" i="1"/>
  <c r="N766" i="1"/>
  <c r="N760" i="1"/>
  <c r="N743" i="1"/>
  <c r="N775" i="1"/>
  <c r="N769" i="1"/>
  <c r="N758" i="1"/>
  <c r="N753" i="1"/>
  <c r="N774" i="1"/>
  <c r="N747" i="1"/>
  <c r="F816" i="1"/>
  <c r="D436" i="1"/>
  <c r="C34" i="5"/>
  <c r="C16" i="8"/>
  <c r="C473" i="1"/>
  <c r="F12" i="6"/>
  <c r="C469" i="1"/>
  <c r="F8" i="6"/>
  <c r="I377" i="9"/>
  <c r="C464" i="1"/>
  <c r="G122" i="9"/>
  <c r="I26" i="9"/>
  <c r="N740" i="1"/>
  <c r="H58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BZ48" i="1"/>
  <c r="BZ62" i="1"/>
  <c r="H332" i="9" s="1"/>
  <c r="G48" i="1"/>
  <c r="G62" i="1" s="1"/>
  <c r="G12" i="9" s="1"/>
  <c r="AC48" i="1"/>
  <c r="AC62" i="1" s="1"/>
  <c r="H108" i="9" s="1"/>
  <c r="AU48" i="1"/>
  <c r="AU62" i="1" s="1"/>
  <c r="BS48" i="1"/>
  <c r="BS62" i="1" s="1"/>
  <c r="E802" i="1" s="1"/>
  <c r="M48" i="1"/>
  <c r="M62" i="1" s="1"/>
  <c r="AE48" i="1"/>
  <c r="AE62" i="1" s="1"/>
  <c r="BC48" i="1"/>
  <c r="BC62" i="1" s="1"/>
  <c r="F236" i="9" s="1"/>
  <c r="E786" i="1"/>
  <c r="O48" i="1"/>
  <c r="O62" i="1"/>
  <c r="AM48" i="1"/>
  <c r="AM62" i="1"/>
  <c r="BI48" i="1"/>
  <c r="BI62" i="1" s="1"/>
  <c r="E268" i="9"/>
  <c r="C427" i="1"/>
  <c r="CD722" i="1"/>
  <c r="CD71" i="1"/>
  <c r="E373" i="9"/>
  <c r="BQ48" i="1"/>
  <c r="BQ62" i="1" s="1"/>
  <c r="F300" i="9" s="1"/>
  <c r="BA48" i="1"/>
  <c r="BA62" i="1"/>
  <c r="D236" i="9" s="1"/>
  <c r="AK48" i="1"/>
  <c r="AK62" i="1" s="1"/>
  <c r="E768" i="1" s="1"/>
  <c r="U48" i="1"/>
  <c r="U62" i="1" s="1"/>
  <c r="E48" i="1"/>
  <c r="E62" i="1"/>
  <c r="BU48" i="1"/>
  <c r="BU62" i="1" s="1"/>
  <c r="C332" i="9" s="1"/>
  <c r="BM48" i="1"/>
  <c r="BM62" i="1"/>
  <c r="I268" i="9" s="1"/>
  <c r="BE48" i="1"/>
  <c r="BE62" i="1" s="1"/>
  <c r="AW48" i="1"/>
  <c r="AW62" i="1" s="1"/>
  <c r="E780" i="1" s="1"/>
  <c r="AO48" i="1"/>
  <c r="AO62" i="1" s="1"/>
  <c r="AG48" i="1"/>
  <c r="AG62" i="1"/>
  <c r="E764" i="1" s="1"/>
  <c r="Y48" i="1"/>
  <c r="Y62" i="1" s="1"/>
  <c r="Q48" i="1"/>
  <c r="Q62" i="1"/>
  <c r="E748" i="1" s="1"/>
  <c r="I48" i="1"/>
  <c r="I62" i="1" s="1"/>
  <c r="CC48" i="1"/>
  <c r="CC62" i="1"/>
  <c r="BW48" i="1"/>
  <c r="BW62" i="1" s="1"/>
  <c r="BO48" i="1"/>
  <c r="BO62" i="1" s="1"/>
  <c r="D300" i="9" s="1"/>
  <c r="E798" i="1"/>
  <c r="BG48" i="1"/>
  <c r="BG62" i="1" s="1"/>
  <c r="C268" i="9" s="1"/>
  <c r="AY48" i="1"/>
  <c r="AY62" i="1" s="1"/>
  <c r="E782" i="1" s="1"/>
  <c r="AQ48" i="1"/>
  <c r="AQ62" i="1" s="1"/>
  <c r="AI48" i="1"/>
  <c r="AI62" i="1" s="1"/>
  <c r="E766" i="1" s="1"/>
  <c r="AA48" i="1"/>
  <c r="AA62" i="1" s="1"/>
  <c r="F108" i="9" s="1"/>
  <c r="S48" i="1"/>
  <c r="S62" i="1"/>
  <c r="E750" i="1" s="1"/>
  <c r="K48" i="1"/>
  <c r="K62" i="1" s="1"/>
  <c r="E742" i="1" s="1"/>
  <c r="E784" i="1"/>
  <c r="N765" i="1"/>
  <c r="N757" i="1"/>
  <c r="K816" i="1"/>
  <c r="E794" i="1"/>
  <c r="C615" i="1"/>
  <c r="B440" i="1"/>
  <c r="C48" i="1"/>
  <c r="C62" i="1" s="1"/>
  <c r="CB48" i="1"/>
  <c r="CB62" i="1"/>
  <c r="C364" i="9" s="1"/>
  <c r="V815" i="1"/>
  <c r="C120" i="8"/>
  <c r="I816" i="1"/>
  <c r="O816" i="1"/>
  <c r="E372" i="9"/>
  <c r="E747" i="1"/>
  <c r="I44" i="9"/>
  <c r="E792" i="1"/>
  <c r="C12" i="9"/>
  <c r="E734" i="1"/>
  <c r="CA48" i="1"/>
  <c r="CA62" i="1"/>
  <c r="E810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/>
  <c r="E300" i="9" s="1"/>
  <c r="BN48" i="1"/>
  <c r="BN62" i="1" s="1"/>
  <c r="BL48" i="1"/>
  <c r="BL62" i="1"/>
  <c r="H268" i="9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/>
  <c r="C236" i="9" s="1"/>
  <c r="AX48" i="1"/>
  <c r="AX62" i="1" s="1"/>
  <c r="AV48" i="1"/>
  <c r="AV62" i="1"/>
  <c r="E779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/>
  <c r="E767" i="1" s="1"/>
  <c r="AH48" i="1"/>
  <c r="AH62" i="1" s="1"/>
  <c r="AF48" i="1"/>
  <c r="AF62" i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/>
  <c r="E741" i="1" s="1"/>
  <c r="F48" i="1"/>
  <c r="J612" i="1"/>
  <c r="C575" i="1"/>
  <c r="C14" i="5"/>
  <c r="D428" i="1"/>
  <c r="H300" i="9"/>
  <c r="B441" i="1"/>
  <c r="C141" i="8"/>
  <c r="I380" i="9"/>
  <c r="P816" i="1"/>
  <c r="D612" i="1"/>
  <c r="E774" i="1"/>
  <c r="CF76" i="1"/>
  <c r="BC52" i="1"/>
  <c r="BC67" i="1" s="1"/>
  <c r="F241" i="9" s="1"/>
  <c r="B10" i="4"/>
  <c r="G10" i="4"/>
  <c r="F10" i="4"/>
  <c r="I372" i="9"/>
  <c r="M816" i="1"/>
  <c r="I366" i="9"/>
  <c r="I381" i="9"/>
  <c r="CF77" i="1"/>
  <c r="Q816" i="1"/>
  <c r="G612" i="1"/>
  <c r="E800" i="1"/>
  <c r="E812" i="1"/>
  <c r="E796" i="1"/>
  <c r="F499" i="1"/>
  <c r="K71" i="1"/>
  <c r="D53" i="9" s="1"/>
  <c r="F62" i="1"/>
  <c r="CE48" i="1"/>
  <c r="H140" i="9"/>
  <c r="F204" i="9"/>
  <c r="E783" i="1"/>
  <c r="BS52" i="1"/>
  <c r="BS67" i="1" s="1"/>
  <c r="AV52" i="1"/>
  <c r="AV67" i="1" s="1"/>
  <c r="BZ52" i="1"/>
  <c r="BZ67" i="1" s="1"/>
  <c r="H337" i="9" s="1"/>
  <c r="AP52" i="1"/>
  <c r="AP67" i="1"/>
  <c r="J773" i="1" s="1"/>
  <c r="AB52" i="1"/>
  <c r="AB67" i="1" s="1"/>
  <c r="H52" i="1"/>
  <c r="H67" i="1" s="1"/>
  <c r="AO52" i="1"/>
  <c r="AO67" i="1" s="1"/>
  <c r="F177" i="9" s="1"/>
  <c r="BL52" i="1"/>
  <c r="BL67" i="1" s="1"/>
  <c r="S52" i="1"/>
  <c r="S67" i="1" s="1"/>
  <c r="K52" i="1"/>
  <c r="K67" i="1" s="1"/>
  <c r="J742" i="1" s="1"/>
  <c r="O52" i="1"/>
  <c r="O67" i="1" s="1"/>
  <c r="J746" i="1" s="1"/>
  <c r="AL52" i="1"/>
  <c r="AL67" i="1" s="1"/>
  <c r="AT52" i="1"/>
  <c r="AT67" i="1"/>
  <c r="D209" i="9" s="1"/>
  <c r="CA52" i="1"/>
  <c r="CA67" i="1" s="1"/>
  <c r="R52" i="1"/>
  <c r="R67" i="1" s="1"/>
  <c r="AI52" i="1"/>
  <c r="AI67" i="1" s="1"/>
  <c r="J766" i="1" s="1"/>
  <c r="V52" i="1"/>
  <c r="V67" i="1"/>
  <c r="J753" i="1" s="1"/>
  <c r="X52" i="1"/>
  <c r="X67" i="1" s="1"/>
  <c r="J755" i="1" s="1"/>
  <c r="AU52" i="1"/>
  <c r="AU67" i="1" s="1"/>
  <c r="J778" i="1" s="1"/>
  <c r="BJ52" i="1"/>
  <c r="BJ67" i="1"/>
  <c r="J793" i="1" s="1"/>
  <c r="Z52" i="1"/>
  <c r="Z67" i="1" s="1"/>
  <c r="BK52" i="1"/>
  <c r="BK67" i="1"/>
  <c r="G273" i="9" s="1"/>
  <c r="BT52" i="1"/>
  <c r="BT67" i="1" s="1"/>
  <c r="J803" i="1" s="1"/>
  <c r="CC52" i="1"/>
  <c r="CC67" i="1" s="1"/>
  <c r="U52" i="1"/>
  <c r="U67" i="1" s="1"/>
  <c r="G81" i="9" s="1"/>
  <c r="N52" i="1"/>
  <c r="N67" i="1" s="1"/>
  <c r="J745" i="1" s="1"/>
  <c r="BX52" i="1"/>
  <c r="BX67" i="1" s="1"/>
  <c r="F337" i="9" s="1"/>
  <c r="W52" i="1"/>
  <c r="W67" i="1" s="1"/>
  <c r="P52" i="1"/>
  <c r="P67" i="1" s="1"/>
  <c r="I49" i="9" s="1"/>
  <c r="AG52" i="1"/>
  <c r="AG67" i="1" s="1"/>
  <c r="AC52" i="1"/>
  <c r="AC67" i="1" s="1"/>
  <c r="H113" i="9" s="1"/>
  <c r="AE52" i="1"/>
  <c r="AE67" i="1"/>
  <c r="C145" i="9" s="1"/>
  <c r="I52" i="1"/>
  <c r="I67" i="1" s="1"/>
  <c r="J740" i="1" s="1"/>
  <c r="BP52" i="1"/>
  <c r="BP67" i="1" s="1"/>
  <c r="BP71" i="1" s="1"/>
  <c r="BI52" i="1"/>
  <c r="BI67" i="1" s="1"/>
  <c r="BB52" i="1"/>
  <c r="BB67" i="1" s="1"/>
  <c r="Q52" i="1"/>
  <c r="Q67" i="1" s="1"/>
  <c r="J748" i="1" s="1"/>
  <c r="AD52" i="1"/>
  <c r="AD67" i="1"/>
  <c r="J761" i="1"/>
  <c r="J786" i="1"/>
  <c r="J752" i="1"/>
  <c r="AZ52" i="1"/>
  <c r="AZ67" i="1" s="1"/>
  <c r="J783" i="1" s="1"/>
  <c r="L52" i="1"/>
  <c r="L67" i="1" s="1"/>
  <c r="L71" i="1" s="1"/>
  <c r="C677" i="1" s="1"/>
  <c r="BO52" i="1"/>
  <c r="BO67" i="1"/>
  <c r="AH52" i="1"/>
  <c r="AH67" i="1" s="1"/>
  <c r="F145" i="9" s="1"/>
  <c r="E52" i="1"/>
  <c r="E67" i="1" s="1"/>
  <c r="J736" i="1" s="1"/>
  <c r="AR52" i="1"/>
  <c r="AR67" i="1" s="1"/>
  <c r="Y52" i="1"/>
  <c r="Y67" i="1" s="1"/>
  <c r="D113" i="9" s="1"/>
  <c r="BH52" i="1"/>
  <c r="BH67" i="1" s="1"/>
  <c r="AJ52" i="1"/>
  <c r="AJ67" i="1" s="1"/>
  <c r="H145" i="9" s="1"/>
  <c r="BA52" i="1"/>
  <c r="BA67" i="1" s="1"/>
  <c r="BA71" i="1" s="1"/>
  <c r="C546" i="1" s="1"/>
  <c r="G546" i="1" s="1"/>
  <c r="AS52" i="1"/>
  <c r="AS67" i="1" s="1"/>
  <c r="C209" i="9" s="1"/>
  <c r="C52" i="1"/>
  <c r="C67" i="1" s="1"/>
  <c r="C71" i="1" s="1"/>
  <c r="BG52" i="1"/>
  <c r="BG67" i="1" s="1"/>
  <c r="J790" i="1" s="1"/>
  <c r="AF52" i="1"/>
  <c r="AF67" i="1"/>
  <c r="D145" i="9" s="1"/>
  <c r="F517" i="1"/>
  <c r="J52" i="1"/>
  <c r="J67" i="1" s="1"/>
  <c r="BW52" i="1"/>
  <c r="BW67" i="1"/>
  <c r="J806" i="1" s="1"/>
  <c r="AQ52" i="1"/>
  <c r="AQ67" i="1"/>
  <c r="H177" i="9" s="1"/>
  <c r="BU52" i="1"/>
  <c r="BU67" i="1" s="1"/>
  <c r="AN52" i="1"/>
  <c r="AN67" i="1"/>
  <c r="J771" i="1" s="1"/>
  <c r="H505" i="1"/>
  <c r="J807" i="1"/>
  <c r="C241" i="9"/>
  <c r="D305" i="9"/>
  <c r="J798" i="1"/>
  <c r="J747" i="1"/>
  <c r="P71" i="1"/>
  <c r="I53" i="9" s="1"/>
  <c r="BS71" i="1"/>
  <c r="C639" i="1" s="1"/>
  <c r="C177" i="9"/>
  <c r="J769" i="1"/>
  <c r="H17" i="9"/>
  <c r="J739" i="1"/>
  <c r="J794" i="1"/>
  <c r="BK71" i="1"/>
  <c r="C556" i="1" s="1"/>
  <c r="E737" i="1"/>
  <c r="I113" i="9"/>
  <c r="E209" i="9"/>
  <c r="D49" i="9"/>
  <c r="C113" i="9"/>
  <c r="C81" i="9"/>
  <c r="BI71" i="1"/>
  <c r="C554" i="1" s="1"/>
  <c r="J767" i="1"/>
  <c r="J776" i="1"/>
  <c r="J756" i="1"/>
  <c r="H501" i="1"/>
  <c r="F501" i="1"/>
  <c r="BU71" i="1"/>
  <c r="C641" i="1" s="1"/>
  <c r="J71" i="1"/>
  <c r="C675" i="1" s="1"/>
  <c r="F497" i="1"/>
  <c r="G277" i="9"/>
  <c r="C635" i="1"/>
  <c r="H499" i="1"/>
  <c r="D5" i="7" l="1"/>
  <c r="F11" i="6"/>
  <c r="F15" i="6"/>
  <c r="D463" i="1"/>
  <c r="E19" i="4"/>
  <c r="C10" i="4"/>
  <c r="I382" i="9"/>
  <c r="I612" i="1"/>
  <c r="Q815" i="1"/>
  <c r="R815" i="1"/>
  <c r="S815" i="1"/>
  <c r="C496" i="1"/>
  <c r="G496" i="1" s="1"/>
  <c r="C668" i="1"/>
  <c r="J795" i="1"/>
  <c r="BL71" i="1"/>
  <c r="C557" i="1" s="1"/>
  <c r="E241" i="9"/>
  <c r="J785" i="1"/>
  <c r="J774" i="1"/>
  <c r="C676" i="1"/>
  <c r="BC71" i="1"/>
  <c r="I71" i="1"/>
  <c r="C674" i="1" s="1"/>
  <c r="C273" i="9"/>
  <c r="AS71" i="1"/>
  <c r="C710" i="1" s="1"/>
  <c r="AF71" i="1"/>
  <c r="X71" i="1"/>
  <c r="Y71" i="1"/>
  <c r="AU71" i="1"/>
  <c r="P815" i="1"/>
  <c r="N761" i="1"/>
  <c r="C213" i="9"/>
  <c r="C681" i="1"/>
  <c r="E53" i="9"/>
  <c r="L816" i="1"/>
  <c r="C440" i="1"/>
  <c r="C548" i="1"/>
  <c r="C430" i="1"/>
  <c r="G815" i="1"/>
  <c r="G816" i="1"/>
  <c r="I815" i="1"/>
  <c r="AR71" i="1"/>
  <c r="C537" i="1" s="1"/>
  <c r="G537" i="1" s="1"/>
  <c r="I172" i="9"/>
  <c r="E775" i="1"/>
  <c r="C540" i="1"/>
  <c r="G540" i="1" s="1"/>
  <c r="C712" i="1"/>
  <c r="E757" i="1"/>
  <c r="Z71" i="1"/>
  <c r="E108" i="9"/>
  <c r="D268" i="9"/>
  <c r="E791" i="1"/>
  <c r="BH71" i="1"/>
  <c r="BT71" i="1"/>
  <c r="C640" i="1" s="1"/>
  <c r="I300" i="9"/>
  <c r="E803" i="1"/>
  <c r="E772" i="1"/>
  <c r="F172" i="9"/>
  <c r="AO71" i="1"/>
  <c r="F181" i="9" s="1"/>
  <c r="G76" i="9"/>
  <c r="U71" i="1"/>
  <c r="E752" i="1"/>
  <c r="F76" i="9"/>
  <c r="E751" i="1"/>
  <c r="C518" i="1"/>
  <c r="G518" i="1" s="1"/>
  <c r="C690" i="1"/>
  <c r="E759" i="1"/>
  <c r="G108" i="9"/>
  <c r="AB71" i="1"/>
  <c r="G117" i="9" s="1"/>
  <c r="E749" i="1"/>
  <c r="D76" i="9"/>
  <c r="R71" i="1"/>
  <c r="C511" i="1" s="1"/>
  <c r="G511" i="1" s="1"/>
  <c r="BX71" i="1"/>
  <c r="F332" i="9"/>
  <c r="E807" i="1"/>
  <c r="H236" i="9"/>
  <c r="E788" i="1"/>
  <c r="E762" i="1"/>
  <c r="C140" i="9"/>
  <c r="AE71" i="1"/>
  <c r="C524" i="1" s="1"/>
  <c r="G524" i="1" s="1"/>
  <c r="G236" i="9"/>
  <c r="E787" i="1"/>
  <c r="CE62" i="1"/>
  <c r="E172" i="9"/>
  <c r="E771" i="1"/>
  <c r="AN71" i="1"/>
  <c r="C566" i="1"/>
  <c r="C634" i="1"/>
  <c r="C504" i="1"/>
  <c r="G504" i="1" s="1"/>
  <c r="AG71" i="1"/>
  <c r="AZ71" i="1"/>
  <c r="AJ71" i="1"/>
  <c r="C44" i="9"/>
  <c r="Q71" i="1"/>
  <c r="H12" i="9"/>
  <c r="C76" i="9"/>
  <c r="E799" i="1"/>
  <c r="E140" i="9"/>
  <c r="BZ71" i="1"/>
  <c r="D44" i="9"/>
  <c r="I362" i="9"/>
  <c r="E81" i="9"/>
  <c r="J750" i="1"/>
  <c r="J754" i="1"/>
  <c r="I81" i="9"/>
  <c r="J810" i="1"/>
  <c r="I337" i="9"/>
  <c r="J757" i="1"/>
  <c r="E113" i="9"/>
  <c r="J791" i="1"/>
  <c r="D273" i="9"/>
  <c r="C709" i="1"/>
  <c r="C21" i="9"/>
  <c r="C686" i="1"/>
  <c r="J763" i="1"/>
  <c r="G145" i="9"/>
  <c r="I309" i="9"/>
  <c r="I181" i="9"/>
  <c r="D245" i="9"/>
  <c r="J760" i="1"/>
  <c r="J777" i="1"/>
  <c r="C525" i="1"/>
  <c r="G525" i="1" s="1"/>
  <c r="C697" i="1"/>
  <c r="D149" i="9"/>
  <c r="C117" i="9"/>
  <c r="C517" i="1"/>
  <c r="C341" i="9"/>
  <c r="C53" i="9"/>
  <c r="D117" i="9"/>
  <c r="E277" i="9"/>
  <c r="C637" i="1"/>
  <c r="C630" i="1"/>
  <c r="H341" i="9"/>
  <c r="C502" i="1"/>
  <c r="G502" i="1" s="1"/>
  <c r="CA71" i="1"/>
  <c r="AV71" i="1"/>
  <c r="I332" i="9"/>
  <c r="E795" i="1"/>
  <c r="D140" i="9"/>
  <c r="E809" i="1"/>
  <c r="D172" i="9"/>
  <c r="I12" i="9"/>
  <c r="I140" i="9"/>
  <c r="E776" i="1"/>
  <c r="C503" i="1"/>
  <c r="G503" i="1" s="1"/>
  <c r="S71" i="1"/>
  <c r="E763" i="1"/>
  <c r="BG71" i="1"/>
  <c r="E790" i="1"/>
  <c r="E743" i="1"/>
  <c r="E804" i="1"/>
  <c r="H277" i="9"/>
  <c r="I21" i="9"/>
  <c r="E76" i="9"/>
  <c r="E740" i="1"/>
  <c r="E770" i="1"/>
  <c r="C337" i="9"/>
  <c r="J804" i="1"/>
  <c r="E765" i="1"/>
  <c r="AH71" i="1"/>
  <c r="F140" i="9"/>
  <c r="D12" i="9"/>
  <c r="E735" i="1"/>
  <c r="E815" i="1" s="1"/>
  <c r="J741" i="1"/>
  <c r="C49" i="9"/>
  <c r="J743" i="1"/>
  <c r="E49" i="9"/>
  <c r="E305" i="9"/>
  <c r="J799" i="1"/>
  <c r="G113" i="9"/>
  <c r="J759" i="1"/>
  <c r="J779" i="1"/>
  <c r="F209" i="9"/>
  <c r="I108" i="9"/>
  <c r="E761" i="1"/>
  <c r="AD71" i="1"/>
  <c r="AT71" i="1"/>
  <c r="D204" i="9"/>
  <c r="E777" i="1"/>
  <c r="BJ71" i="1"/>
  <c r="F268" i="9"/>
  <c r="E793" i="1"/>
  <c r="G332" i="9"/>
  <c r="E808" i="1"/>
  <c r="J792" i="1"/>
  <c r="E273" i="9"/>
  <c r="E797" i="1"/>
  <c r="C300" i="9"/>
  <c r="J784" i="1"/>
  <c r="D241" i="9"/>
  <c r="E145" i="9"/>
  <c r="J764" i="1"/>
  <c r="J802" i="1"/>
  <c r="H305" i="9"/>
  <c r="E753" i="1"/>
  <c r="V71" i="1"/>
  <c r="H76" i="9"/>
  <c r="G172" i="9"/>
  <c r="E773" i="1"/>
  <c r="AP71" i="1"/>
  <c r="E789" i="1"/>
  <c r="I236" i="9"/>
  <c r="D332" i="9"/>
  <c r="E805" i="1"/>
  <c r="J734" i="1"/>
  <c r="C17" i="9"/>
  <c r="E781" i="1"/>
  <c r="H204" i="9"/>
  <c r="J775" i="1"/>
  <c r="I177" i="9"/>
  <c r="J812" i="1"/>
  <c r="D369" i="9"/>
  <c r="J749" i="1"/>
  <c r="D81" i="9"/>
  <c r="G44" i="9"/>
  <c r="E745" i="1"/>
  <c r="N71" i="1"/>
  <c r="C172" i="9"/>
  <c r="E769" i="1"/>
  <c r="AL71" i="1"/>
  <c r="E236" i="9"/>
  <c r="BB71" i="1"/>
  <c r="E785" i="1"/>
  <c r="E801" i="1"/>
  <c r="G300" i="9"/>
  <c r="F44" i="9"/>
  <c r="E744" i="1"/>
  <c r="E811" i="1"/>
  <c r="H44" i="9"/>
  <c r="O71" i="1"/>
  <c r="B446" i="1"/>
  <c r="D242" i="1"/>
  <c r="D85" i="9"/>
  <c r="J762" i="1"/>
  <c r="H273" i="9"/>
  <c r="J772" i="1"/>
  <c r="F12" i="9"/>
  <c r="C561" i="1"/>
  <c r="C621" i="1"/>
  <c r="H81" i="9"/>
  <c r="E760" i="1"/>
  <c r="G140" i="9"/>
  <c r="AI71" i="1"/>
  <c r="E332" i="9"/>
  <c r="BW71" i="1"/>
  <c r="E12" i="9"/>
  <c r="E736" i="1"/>
  <c r="E71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C505" i="1"/>
  <c r="G505" i="1" s="1"/>
  <c r="H309" i="9"/>
  <c r="E177" i="9"/>
  <c r="E337" i="9"/>
  <c r="G49" i="9"/>
  <c r="C538" i="1"/>
  <c r="G538" i="1" s="1"/>
  <c r="I305" i="9"/>
  <c r="G177" i="9"/>
  <c r="H49" i="9"/>
  <c r="E213" i="9"/>
  <c r="C689" i="1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I76" i="9"/>
  <c r="E754" i="1"/>
  <c r="W71" i="1"/>
  <c r="C420" i="1"/>
  <c r="B28" i="4"/>
  <c r="N772" i="1"/>
  <c r="F186" i="9"/>
  <c r="C509" i="1"/>
  <c r="G509" i="1" s="1"/>
  <c r="C564" i="1"/>
  <c r="E309" i="9"/>
  <c r="I17" i="9"/>
  <c r="J809" i="1"/>
  <c r="AC71" i="1"/>
  <c r="E17" i="9"/>
  <c r="J765" i="1"/>
  <c r="F273" i="9"/>
  <c r="C534" i="1"/>
  <c r="G534" i="1" s="1"/>
  <c r="C706" i="1"/>
  <c r="E746" i="1"/>
  <c r="I204" i="9"/>
  <c r="H172" i="9"/>
  <c r="AQ71" i="1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AW71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364" i="9"/>
  <c r="CC71" i="1"/>
  <c r="D464" i="1"/>
  <c r="D465" i="1" s="1"/>
  <c r="K815" i="1"/>
  <c r="H154" i="9"/>
  <c r="N767" i="1"/>
  <c r="I367" i="9"/>
  <c r="H816" i="1"/>
  <c r="M815" i="1"/>
  <c r="H71" i="1"/>
  <c r="BO71" i="1"/>
  <c r="D373" i="1"/>
  <c r="D434" i="1"/>
  <c r="L815" i="1"/>
  <c r="D292" i="1"/>
  <c r="C58" i="9"/>
  <c r="N741" i="1"/>
  <c r="N744" i="1"/>
  <c r="N756" i="1"/>
  <c r="N750" i="1"/>
  <c r="F21" i="9" l="1"/>
  <c r="C499" i="1"/>
  <c r="G499" i="1" s="1"/>
  <c r="C671" i="1"/>
  <c r="C532" i="1"/>
  <c r="G532" i="1" s="1"/>
  <c r="C704" i="1"/>
  <c r="D181" i="9"/>
  <c r="G213" i="9"/>
  <c r="C542" i="1"/>
  <c r="I277" i="9"/>
  <c r="C558" i="1"/>
  <c r="I149" i="9"/>
  <c r="F309" i="9"/>
  <c r="C562" i="1"/>
  <c r="C633" i="1"/>
  <c r="F245" i="9"/>
  <c r="CE67" i="1"/>
  <c r="C702" i="1"/>
  <c r="C623" i="1"/>
  <c r="C631" i="1"/>
  <c r="N815" i="1"/>
  <c r="C149" i="9"/>
  <c r="C696" i="1"/>
  <c r="C565" i="1"/>
  <c r="H511" i="1"/>
  <c r="C571" i="1"/>
  <c r="C646" i="1"/>
  <c r="C705" i="1"/>
  <c r="E181" i="9"/>
  <c r="C533" i="1"/>
  <c r="G533" i="1" s="1"/>
  <c r="C569" i="1"/>
  <c r="C644" i="1"/>
  <c r="F341" i="9"/>
  <c r="C521" i="1"/>
  <c r="G521" i="1" s="1"/>
  <c r="C693" i="1"/>
  <c r="H149" i="9"/>
  <c r="C529" i="1"/>
  <c r="G529" i="1" s="1"/>
  <c r="C701" i="1"/>
  <c r="G85" i="9"/>
  <c r="C514" i="1"/>
  <c r="G514" i="1" s="1"/>
  <c r="C553" i="1"/>
  <c r="C636" i="1"/>
  <c r="D277" i="9"/>
  <c r="C691" i="1"/>
  <c r="C519" i="1"/>
  <c r="G519" i="1" s="1"/>
  <c r="E117" i="9"/>
  <c r="C683" i="1"/>
  <c r="C545" i="1"/>
  <c r="G545" i="1" s="1"/>
  <c r="C245" i="9"/>
  <c r="C628" i="1"/>
  <c r="G245" i="9"/>
  <c r="C624" i="1"/>
  <c r="C549" i="1"/>
  <c r="C513" i="1"/>
  <c r="G513" i="1" s="1"/>
  <c r="F85" i="9"/>
  <c r="C685" i="1"/>
  <c r="C682" i="1"/>
  <c r="C85" i="9"/>
  <c r="C510" i="1"/>
  <c r="G510" i="1" s="1"/>
  <c r="C698" i="1"/>
  <c r="E149" i="9"/>
  <c r="C526" i="1"/>
  <c r="G526" i="1" s="1"/>
  <c r="I364" i="9"/>
  <c r="CE71" i="1"/>
  <c r="C428" i="1"/>
  <c r="E816" i="1"/>
  <c r="H245" i="9"/>
  <c r="C614" i="1"/>
  <c r="C550" i="1"/>
  <c r="G550" i="1" s="1"/>
  <c r="CE52" i="1"/>
  <c r="C618" i="1"/>
  <c r="C277" i="9"/>
  <c r="C552" i="1"/>
  <c r="F213" i="9"/>
  <c r="C541" i="1"/>
  <c r="C713" i="1"/>
  <c r="C572" i="1"/>
  <c r="I341" i="9"/>
  <c r="C647" i="1"/>
  <c r="E85" i="9"/>
  <c r="C512" i="1"/>
  <c r="G512" i="1" s="1"/>
  <c r="C684" i="1"/>
  <c r="G517" i="1"/>
  <c r="H517" i="1" s="1"/>
  <c r="J738" i="1"/>
  <c r="G17" i="9"/>
  <c r="I273" i="9"/>
  <c r="J796" i="1"/>
  <c r="D27" i="7"/>
  <c r="B448" i="1"/>
  <c r="C497" i="1"/>
  <c r="C669" i="1"/>
  <c r="D21" i="9"/>
  <c r="F544" i="1"/>
  <c r="H536" i="1"/>
  <c r="F536" i="1"/>
  <c r="F528" i="1"/>
  <c r="F520" i="1"/>
  <c r="H520" i="1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J797" i="1"/>
  <c r="C536" i="1"/>
  <c r="G536" i="1" s="1"/>
  <c r="H181" i="9"/>
  <c r="C708" i="1"/>
  <c r="C102" i="8"/>
  <c r="C482" i="1"/>
  <c r="C498" i="1"/>
  <c r="G498" i="1" s="1"/>
  <c r="E21" i="9"/>
  <c r="C670" i="1"/>
  <c r="J816" i="1"/>
  <c r="I369" i="9"/>
  <c r="C433" i="1"/>
  <c r="C687" i="1"/>
  <c r="C515" i="1"/>
  <c r="H85" i="9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J735" i="1"/>
  <c r="D17" i="9"/>
  <c r="J800" i="1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F524" i="1"/>
  <c r="H524" i="1" s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441" i="1" l="1"/>
  <c r="J815" i="1"/>
  <c r="H550" i="1"/>
  <c r="H516" i="1"/>
  <c r="C715" i="1"/>
  <c r="C648" i="1"/>
  <c r="M716" i="1" s="1"/>
  <c r="Y816" i="1" s="1"/>
  <c r="D615" i="1"/>
  <c r="C716" i="1"/>
  <c r="I373" i="9"/>
  <c r="H498" i="1"/>
  <c r="H528" i="1"/>
  <c r="G515" i="1"/>
  <c r="H515" i="1" s="1"/>
  <c r="H544" i="1"/>
  <c r="G497" i="1"/>
  <c r="H497" i="1" s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F504" i="1"/>
  <c r="H504" i="1" s="1"/>
  <c r="F530" i="1"/>
  <c r="H530" i="1" s="1"/>
  <c r="F512" i="1"/>
  <c r="H512" i="1"/>
  <c r="F526" i="1"/>
  <c r="H526" i="1" s="1"/>
  <c r="F503" i="1"/>
  <c r="H503" i="1"/>
  <c r="F508" i="1"/>
  <c r="H508" i="1" s="1"/>
  <c r="F514" i="1"/>
  <c r="H514" i="1"/>
  <c r="H507" i="1"/>
  <c r="F507" i="1"/>
  <c r="F518" i="1"/>
  <c r="H518" i="1" s="1"/>
  <c r="H546" i="1"/>
  <c r="F546" i="1"/>
  <c r="F506" i="1"/>
  <c r="H506" i="1"/>
  <c r="H500" i="1"/>
  <c r="F500" i="1"/>
  <c r="F509" i="1"/>
  <c r="H509" i="1"/>
  <c r="D684" i="1" l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 s="1"/>
  <c r="F531" i="1"/>
  <c r="H531" i="1" s="1"/>
  <c r="E612" i="1" l="1"/>
  <c r="D715" i="1"/>
  <c r="E623" i="1"/>
  <c r="E710" i="1" l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93" i="1"/>
  <c r="E680" i="1"/>
  <c r="E673" i="1"/>
  <c r="E632" i="1"/>
  <c r="E679" i="1"/>
  <c r="E677" i="1"/>
  <c r="E628" i="1"/>
  <c r="E633" i="1"/>
  <c r="E629" i="1"/>
  <c r="E709" i="1"/>
  <c r="E694" i="1"/>
  <c r="E716" i="1"/>
  <c r="E695" i="1"/>
  <c r="E636" i="1"/>
  <c r="E703" i="1"/>
  <c r="E668" i="1"/>
  <c r="E692" i="1"/>
  <c r="E670" i="1"/>
  <c r="E639" i="1"/>
  <c r="E708" i="1"/>
  <c r="E644" i="1"/>
  <c r="E690" i="1"/>
  <c r="E625" i="1"/>
  <c r="E682" i="1"/>
  <c r="E672" i="1"/>
  <c r="E634" i="1"/>
  <c r="E689" i="1"/>
  <c r="E685" i="1"/>
  <c r="E699" i="1"/>
  <c r="E674" i="1"/>
  <c r="E676" i="1"/>
  <c r="E638" i="1"/>
  <c r="E637" i="1"/>
  <c r="E706" i="1"/>
  <c r="E700" i="1"/>
  <c r="E704" i="1"/>
  <c r="E697" i="1"/>
  <c r="E631" i="1"/>
  <c r="E645" i="1"/>
  <c r="E678" i="1"/>
  <c r="E630" i="1"/>
  <c r="E701" i="1"/>
  <c r="E711" i="1"/>
  <c r="E642" i="1"/>
  <c r="E643" i="1"/>
  <c r="E624" i="1"/>
  <c r="E627" i="1"/>
  <c r="E712" i="1"/>
  <c r="E640" i="1"/>
  <c r="E707" i="1"/>
  <c r="E635" i="1"/>
  <c r="E646" i="1"/>
  <c r="E684" i="1"/>
  <c r="E715" i="1" l="1"/>
  <c r="F624" i="1"/>
  <c r="F674" i="1" l="1"/>
  <c r="F670" i="1"/>
  <c r="F712" i="1"/>
  <c r="F675" i="1"/>
  <c r="F708" i="1"/>
  <c r="F703" i="1"/>
  <c r="F683" i="1"/>
  <c r="F713" i="1"/>
  <c r="F640" i="1"/>
  <c r="F699" i="1"/>
  <c r="F701" i="1"/>
  <c r="F642" i="1"/>
  <c r="F677" i="1"/>
  <c r="F625" i="1"/>
  <c r="F639" i="1"/>
  <c r="F672" i="1"/>
  <c r="F702" i="1"/>
  <c r="F647" i="1"/>
  <c r="F631" i="1"/>
  <c r="F641" i="1"/>
  <c r="F716" i="1"/>
  <c r="F688" i="1"/>
  <c r="F629" i="1"/>
  <c r="F632" i="1"/>
  <c r="F691" i="1"/>
  <c r="F646" i="1"/>
  <c r="F686" i="1"/>
  <c r="F668" i="1"/>
  <c r="F643" i="1"/>
  <c r="F706" i="1"/>
  <c r="F693" i="1"/>
  <c r="F696" i="1"/>
  <c r="F681" i="1"/>
  <c r="F627" i="1"/>
  <c r="F678" i="1"/>
  <c r="F638" i="1"/>
  <c r="F710" i="1"/>
  <c r="F690" i="1"/>
  <c r="F645" i="1"/>
  <c r="F705" i="1"/>
  <c r="F633" i="1"/>
  <c r="F636" i="1"/>
  <c r="F669" i="1"/>
  <c r="F628" i="1"/>
  <c r="F634" i="1"/>
  <c r="F687" i="1"/>
  <c r="F704" i="1"/>
  <c r="F680" i="1"/>
  <c r="F711" i="1"/>
  <c r="F692" i="1"/>
  <c r="F695" i="1"/>
  <c r="F694" i="1"/>
  <c r="F679" i="1"/>
  <c r="F685" i="1"/>
  <c r="F637" i="1"/>
  <c r="F676" i="1"/>
  <c r="F630" i="1"/>
  <c r="F673" i="1"/>
  <c r="F684" i="1"/>
  <c r="F626" i="1"/>
  <c r="F689" i="1"/>
  <c r="F635" i="1"/>
  <c r="F682" i="1"/>
  <c r="F707" i="1"/>
  <c r="F697" i="1"/>
  <c r="F698" i="1"/>
  <c r="F709" i="1"/>
  <c r="F671" i="1"/>
  <c r="F700" i="1"/>
  <c r="F644" i="1"/>
  <c r="G625" i="1" l="1"/>
  <c r="F715" i="1"/>
  <c r="G684" i="1" l="1"/>
  <c r="G678" i="1"/>
  <c r="G716" i="1"/>
  <c r="G697" i="1"/>
  <c r="G644" i="1"/>
  <c r="G702" i="1"/>
  <c r="G645" i="1"/>
  <c r="G626" i="1"/>
  <c r="G712" i="1"/>
  <c r="G693" i="1"/>
  <c r="G691" i="1"/>
  <c r="G692" i="1"/>
  <c r="G683" i="1"/>
  <c r="G629" i="1"/>
  <c r="G694" i="1"/>
  <c r="G671" i="1"/>
  <c r="G687" i="1"/>
  <c r="G675" i="1"/>
  <c r="G635" i="1"/>
  <c r="G643" i="1"/>
  <c r="G708" i="1"/>
  <c r="G711" i="1"/>
  <c r="G695" i="1"/>
  <c r="G646" i="1"/>
  <c r="G634" i="1"/>
  <c r="G679" i="1"/>
  <c r="G670" i="1"/>
  <c r="G631" i="1"/>
  <c r="G701" i="1"/>
  <c r="G674" i="1"/>
  <c r="G676" i="1"/>
  <c r="G628" i="1"/>
  <c r="G681" i="1"/>
  <c r="G682" i="1"/>
  <c r="G647" i="1"/>
  <c r="G637" i="1"/>
  <c r="G685" i="1"/>
  <c r="G633" i="1"/>
  <c r="G699" i="1"/>
  <c r="G638" i="1"/>
  <c r="G669" i="1"/>
  <c r="G640" i="1"/>
  <c r="G689" i="1"/>
  <c r="G642" i="1"/>
  <c r="G630" i="1"/>
  <c r="G673" i="1"/>
  <c r="G677" i="1"/>
  <c r="G632" i="1"/>
  <c r="G639" i="1"/>
  <c r="G696" i="1"/>
  <c r="G707" i="1"/>
  <c r="G672" i="1"/>
  <c r="G668" i="1"/>
  <c r="G704" i="1"/>
  <c r="G713" i="1"/>
  <c r="G641" i="1"/>
  <c r="G688" i="1"/>
  <c r="G690" i="1"/>
  <c r="G710" i="1"/>
  <c r="G636" i="1"/>
  <c r="G706" i="1"/>
  <c r="G680" i="1"/>
  <c r="G698" i="1"/>
  <c r="G703" i="1"/>
  <c r="G627" i="1"/>
  <c r="G686" i="1"/>
  <c r="G700" i="1"/>
  <c r="G705" i="1"/>
  <c r="G709" i="1"/>
  <c r="H628" i="1" l="1"/>
  <c r="H635" i="1" s="1"/>
  <c r="H701" i="1"/>
  <c r="H629" i="1"/>
  <c r="H643" i="1"/>
  <c r="H708" i="1"/>
  <c r="H668" i="1"/>
  <c r="H683" i="1"/>
  <c r="H680" i="1"/>
  <c r="H647" i="1"/>
  <c r="H638" i="1"/>
  <c r="H672" i="1"/>
  <c r="H694" i="1"/>
  <c r="H674" i="1"/>
  <c r="H691" i="1"/>
  <c r="H696" i="1"/>
  <c r="H669" i="1"/>
  <c r="H704" i="1"/>
  <c r="H681" i="1"/>
  <c r="H675" i="1"/>
  <c r="H697" i="1"/>
  <c r="H687" i="1"/>
  <c r="H642" i="1"/>
  <c r="H684" i="1"/>
  <c r="H690" i="1"/>
  <c r="H695" i="1"/>
  <c r="H709" i="1"/>
  <c r="H678" i="1"/>
  <c r="H693" i="1"/>
  <c r="H640" i="1"/>
  <c r="H712" i="1"/>
  <c r="H707" i="1"/>
  <c r="H685" i="1"/>
  <c r="H689" i="1"/>
  <c r="H639" i="1"/>
  <c r="H702" i="1"/>
  <c r="H631" i="1"/>
  <c r="H641" i="1"/>
  <c r="H646" i="1"/>
  <c r="H670" i="1"/>
  <c r="H692" i="1"/>
  <c r="H633" i="1"/>
  <c r="H710" i="1"/>
  <c r="H632" i="1"/>
  <c r="H705" i="1"/>
  <c r="H637" i="1"/>
  <c r="H644" i="1"/>
  <c r="H645" i="1"/>
  <c r="H679" i="1"/>
  <c r="H676" i="1"/>
  <c r="H677" i="1"/>
  <c r="H636" i="1"/>
  <c r="H698" i="1"/>
  <c r="H634" i="1"/>
  <c r="H706" i="1"/>
  <c r="H688" i="1"/>
  <c r="H711" i="1"/>
  <c r="H713" i="1"/>
  <c r="H671" i="1"/>
  <c r="H716" i="1"/>
  <c r="H686" i="1"/>
  <c r="H699" i="1"/>
  <c r="H673" i="1"/>
  <c r="H700" i="1"/>
  <c r="H682" i="1"/>
  <c r="H703" i="1"/>
  <c r="H630" i="1"/>
  <c r="G715" i="1"/>
  <c r="H715" i="1" l="1"/>
  <c r="I629" i="1"/>
  <c r="I637" i="1" l="1"/>
  <c r="I647" i="1"/>
  <c r="I685" i="1"/>
  <c r="I690" i="1"/>
  <c r="I680" i="1"/>
  <c r="I704" i="1"/>
  <c r="I708" i="1"/>
  <c r="I677" i="1"/>
  <c r="I639" i="1"/>
  <c r="I638" i="1"/>
  <c r="I682" i="1"/>
  <c r="I713" i="1"/>
  <c r="I678" i="1"/>
  <c r="I705" i="1"/>
  <c r="I672" i="1"/>
  <c r="I709" i="1"/>
  <c r="I670" i="1"/>
  <c r="I681" i="1"/>
  <c r="I699" i="1"/>
  <c r="I635" i="1"/>
  <c r="I689" i="1"/>
  <c r="I694" i="1"/>
  <c r="I673" i="1"/>
  <c r="I688" i="1"/>
  <c r="I701" i="1"/>
  <c r="I683" i="1"/>
  <c r="I687" i="1"/>
  <c r="I671" i="1"/>
  <c r="I707" i="1"/>
  <c r="I674" i="1"/>
  <c r="I711" i="1"/>
  <c r="I634" i="1"/>
  <c r="I692" i="1"/>
  <c r="I646" i="1"/>
  <c r="I675" i="1"/>
  <c r="I696" i="1"/>
  <c r="I697" i="1"/>
  <c r="I712" i="1"/>
  <c r="I636" i="1"/>
  <c r="I686" i="1"/>
  <c r="I631" i="1"/>
  <c r="I668" i="1"/>
  <c r="I695" i="1"/>
  <c r="I643" i="1"/>
  <c r="I633" i="1"/>
  <c r="I676" i="1"/>
  <c r="I640" i="1"/>
  <c r="I630" i="1"/>
  <c r="I645" i="1"/>
  <c r="I642" i="1"/>
  <c r="I700" i="1"/>
  <c r="I691" i="1"/>
  <c r="I644" i="1"/>
  <c r="I641" i="1"/>
  <c r="I702" i="1"/>
  <c r="I716" i="1"/>
  <c r="I698" i="1"/>
  <c r="I679" i="1"/>
  <c r="I703" i="1"/>
  <c r="I710" i="1"/>
  <c r="I706" i="1"/>
  <c r="I669" i="1"/>
  <c r="I684" i="1"/>
  <c r="I693" i="1"/>
  <c r="I632" i="1"/>
  <c r="I715" i="1" l="1"/>
  <c r="J630" i="1"/>
  <c r="J686" i="1" l="1"/>
  <c r="J702" i="1"/>
  <c r="J691" i="1"/>
  <c r="J708" i="1"/>
  <c r="J677" i="1"/>
  <c r="J703" i="1"/>
  <c r="J674" i="1"/>
  <c r="J716" i="1"/>
  <c r="J641" i="1"/>
  <c r="J672" i="1"/>
  <c r="J704" i="1"/>
  <c r="J698" i="1"/>
  <c r="J633" i="1"/>
  <c r="J637" i="1"/>
  <c r="J634" i="1"/>
  <c r="J676" i="1"/>
  <c r="J642" i="1"/>
  <c r="J671" i="1"/>
  <c r="J695" i="1"/>
  <c r="J668" i="1"/>
  <c r="J690" i="1"/>
  <c r="J683" i="1"/>
  <c r="J685" i="1"/>
  <c r="J646" i="1"/>
  <c r="J711" i="1"/>
  <c r="J684" i="1"/>
  <c r="J707" i="1"/>
  <c r="J636" i="1"/>
  <c r="J688" i="1"/>
  <c r="J647" i="1"/>
  <c r="L647" i="1" s="1"/>
  <c r="J638" i="1"/>
  <c r="J678" i="1"/>
  <c r="J679" i="1"/>
  <c r="J713" i="1"/>
  <c r="J689" i="1"/>
  <c r="J701" i="1"/>
  <c r="J699" i="1"/>
  <c r="J705" i="1"/>
  <c r="J693" i="1"/>
  <c r="J669" i="1"/>
  <c r="J709" i="1"/>
  <c r="J635" i="1"/>
  <c r="J645" i="1"/>
  <c r="J675" i="1"/>
  <c r="J706" i="1"/>
  <c r="J680" i="1"/>
  <c r="J643" i="1"/>
  <c r="J670" i="1"/>
  <c r="J697" i="1"/>
  <c r="J692" i="1"/>
  <c r="J639" i="1"/>
  <c r="J687" i="1"/>
  <c r="J673" i="1"/>
  <c r="J640" i="1"/>
  <c r="J700" i="1"/>
  <c r="J696" i="1"/>
  <c r="J710" i="1"/>
  <c r="J712" i="1"/>
  <c r="J694" i="1"/>
  <c r="J632" i="1"/>
  <c r="J681" i="1"/>
  <c r="J631" i="1"/>
  <c r="J715" i="1" s="1"/>
  <c r="J644" i="1"/>
  <c r="K644" i="1" s="1"/>
  <c r="J682" i="1"/>
  <c r="K716" i="1" l="1"/>
  <c r="K701" i="1"/>
  <c r="K673" i="1"/>
  <c r="K671" i="1"/>
  <c r="K711" i="1"/>
  <c r="K699" i="1"/>
  <c r="K688" i="1"/>
  <c r="K684" i="1"/>
  <c r="K669" i="1"/>
  <c r="K668" i="1"/>
  <c r="K715" i="1" s="1"/>
  <c r="K710" i="1"/>
  <c r="K683" i="1"/>
  <c r="K687" i="1"/>
  <c r="K689" i="1"/>
  <c r="K677" i="1"/>
  <c r="K670" i="1"/>
  <c r="K703" i="1"/>
  <c r="K708" i="1"/>
  <c r="K686" i="1"/>
  <c r="K712" i="1"/>
  <c r="K692" i="1"/>
  <c r="K680" i="1"/>
  <c r="K707" i="1"/>
  <c r="K678" i="1"/>
  <c r="K685" i="1"/>
  <c r="K706" i="1"/>
  <c r="K709" i="1"/>
  <c r="K672" i="1"/>
  <c r="K700" i="1"/>
  <c r="K694" i="1"/>
  <c r="K704" i="1"/>
  <c r="K675" i="1"/>
  <c r="K682" i="1"/>
  <c r="K705" i="1"/>
  <c r="K697" i="1"/>
  <c r="K695" i="1"/>
  <c r="K676" i="1"/>
  <c r="K696" i="1"/>
  <c r="K698" i="1"/>
  <c r="K679" i="1"/>
  <c r="K713" i="1"/>
  <c r="K681" i="1"/>
  <c r="K702" i="1"/>
  <c r="K691" i="1"/>
  <c r="K693" i="1"/>
  <c r="K690" i="1"/>
  <c r="K674" i="1"/>
  <c r="L673" i="1"/>
  <c r="M673" i="1" s="1"/>
  <c r="L674" i="1"/>
  <c r="M674" i="1" s="1"/>
  <c r="L692" i="1"/>
  <c r="M692" i="1" s="1"/>
  <c r="L698" i="1"/>
  <c r="M698" i="1" s="1"/>
  <c r="L690" i="1"/>
  <c r="M690" i="1" s="1"/>
  <c r="L699" i="1"/>
  <c r="M699" i="1" s="1"/>
  <c r="L669" i="1"/>
  <c r="M669" i="1" s="1"/>
  <c r="L706" i="1"/>
  <c r="M706" i="1" s="1"/>
  <c r="L675" i="1"/>
  <c r="M675" i="1" s="1"/>
  <c r="L670" i="1"/>
  <c r="M670" i="1" s="1"/>
  <c r="L696" i="1"/>
  <c r="M696" i="1" s="1"/>
  <c r="L711" i="1"/>
  <c r="M711" i="1" s="1"/>
  <c r="L668" i="1"/>
  <c r="L678" i="1"/>
  <c r="M678" i="1" s="1"/>
  <c r="L693" i="1"/>
  <c r="M693" i="1" s="1"/>
  <c r="L705" i="1"/>
  <c r="M705" i="1" s="1"/>
  <c r="L702" i="1"/>
  <c r="M702" i="1" s="1"/>
  <c r="L709" i="1"/>
  <c r="M709" i="1" s="1"/>
  <c r="L704" i="1"/>
  <c r="M704" i="1" s="1"/>
  <c r="L694" i="1"/>
  <c r="M694" i="1" s="1"/>
  <c r="L707" i="1"/>
  <c r="M707" i="1" s="1"/>
  <c r="L710" i="1"/>
  <c r="M710" i="1" s="1"/>
  <c r="L683" i="1"/>
  <c r="M683" i="1" s="1"/>
  <c r="L697" i="1"/>
  <c r="M697" i="1" s="1"/>
  <c r="L680" i="1"/>
  <c r="M680" i="1" s="1"/>
  <c r="L695" i="1"/>
  <c r="M695" i="1" s="1"/>
  <c r="L681" i="1"/>
  <c r="M681" i="1" s="1"/>
  <c r="L676" i="1"/>
  <c r="M676" i="1" s="1"/>
  <c r="L672" i="1"/>
  <c r="M672" i="1" s="1"/>
  <c r="L685" i="1"/>
  <c r="M685" i="1" s="1"/>
  <c r="L716" i="1"/>
  <c r="L688" i="1"/>
  <c r="M688" i="1" s="1"/>
  <c r="L689" i="1"/>
  <c r="M689" i="1" s="1"/>
  <c r="L684" i="1"/>
  <c r="M684" i="1" s="1"/>
  <c r="L700" i="1"/>
  <c r="M700" i="1" s="1"/>
  <c r="L703" i="1"/>
  <c r="M703" i="1" s="1"/>
  <c r="L691" i="1"/>
  <c r="M691" i="1" s="1"/>
  <c r="L686" i="1"/>
  <c r="M686" i="1" s="1"/>
  <c r="L677" i="1"/>
  <c r="M677" i="1" s="1"/>
  <c r="L713" i="1"/>
  <c r="M713" i="1" s="1"/>
  <c r="L701" i="1"/>
  <c r="M701" i="1" s="1"/>
  <c r="L708" i="1"/>
  <c r="M708" i="1" s="1"/>
  <c r="L679" i="1"/>
  <c r="M679" i="1" s="1"/>
  <c r="L712" i="1"/>
  <c r="M712" i="1" s="1"/>
  <c r="L682" i="1"/>
  <c r="M682" i="1" s="1"/>
  <c r="L687" i="1"/>
  <c r="M687" i="1" s="1"/>
  <c r="L671" i="1"/>
  <c r="M671" i="1" s="1"/>
  <c r="F215" i="9" l="1"/>
  <c r="Y779" i="1"/>
  <c r="D151" i="9"/>
  <c r="Y763" i="1"/>
  <c r="C87" i="9"/>
  <c r="Y748" i="1"/>
  <c r="H151" i="9"/>
  <c r="Y767" i="1"/>
  <c r="E119" i="9"/>
  <c r="Y757" i="1"/>
  <c r="C119" i="9"/>
  <c r="Y755" i="1"/>
  <c r="Y738" i="1"/>
  <c r="G23" i="9"/>
  <c r="Y746" i="1"/>
  <c r="H55" i="9"/>
  <c r="Y773" i="1"/>
  <c r="G183" i="9"/>
  <c r="Y768" i="1"/>
  <c r="I151" i="9"/>
  <c r="L715" i="1"/>
  <c r="M668" i="1"/>
  <c r="C55" i="9"/>
  <c r="Y741" i="1"/>
  <c r="Y756" i="1"/>
  <c r="D119" i="9"/>
  <c r="Y739" i="1"/>
  <c r="H23" i="9"/>
  <c r="I87" i="9"/>
  <c r="Y754" i="1"/>
  <c r="E183" i="9"/>
  <c r="Y771" i="1"/>
  <c r="D215" i="9"/>
  <c r="Y777" i="1"/>
  <c r="Y772" i="1"/>
  <c r="F183" i="9"/>
  <c r="Y764" i="1"/>
  <c r="E151" i="9"/>
  <c r="Y778" i="1"/>
  <c r="E215" i="9"/>
  <c r="Y760" i="1"/>
  <c r="H119" i="9"/>
  <c r="F23" i="9"/>
  <c r="Y737" i="1"/>
  <c r="Y745" i="1"/>
  <c r="G55" i="9"/>
  <c r="Y743" i="1"/>
  <c r="E55" i="9"/>
  <c r="G151" i="9"/>
  <c r="Y766" i="1"/>
  <c r="Y747" i="1"/>
  <c r="I55" i="9"/>
  <c r="D87" i="9"/>
  <c r="Y749" i="1"/>
  <c r="Y770" i="1"/>
  <c r="D183" i="9"/>
  <c r="G119" i="9"/>
  <c r="Y759" i="1"/>
  <c r="C151" i="9"/>
  <c r="Y762" i="1"/>
  <c r="Y735" i="1"/>
  <c r="D23" i="9"/>
  <c r="F119" i="9"/>
  <c r="Y758" i="1"/>
  <c r="C183" i="9"/>
  <c r="Y769" i="1"/>
  <c r="D55" i="9"/>
  <c r="Y742" i="1"/>
  <c r="H87" i="9"/>
  <c r="Y753" i="1"/>
  <c r="H183" i="9"/>
  <c r="Y774" i="1"/>
  <c r="G87" i="9"/>
  <c r="Y752" i="1"/>
  <c r="Y750" i="1"/>
  <c r="E87" i="9"/>
  <c r="Y751" i="1"/>
  <c r="F87" i="9"/>
  <c r="Y761" i="1"/>
  <c r="I119" i="9"/>
  <c r="C215" i="9"/>
  <c r="Y776" i="1"/>
  <c r="I183" i="9"/>
  <c r="Y775" i="1"/>
  <c r="F55" i="9"/>
  <c r="Y744" i="1"/>
  <c r="Y736" i="1"/>
  <c r="E23" i="9"/>
  <c r="F151" i="9"/>
  <c r="Y765" i="1"/>
  <c r="I23" i="9"/>
  <c r="Y740" i="1"/>
  <c r="M715" i="1" l="1"/>
  <c r="C23" i="9"/>
  <c r="Y734" i="1"/>
  <c r="Y815" i="1" s="1"/>
</calcChain>
</file>

<file path=xl/comments1.xml><?xml version="1.0" encoding="utf-8"?>
<comments xmlns="http://schemas.openxmlformats.org/spreadsheetml/2006/main">
  <authors>
    <author>Hauck, Teena</author>
  </authors>
  <commentList>
    <comment ref="V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Procedures
</t>
        </r>
      </text>
    </comment>
    <comment ref="W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Procedures
</t>
        </r>
      </text>
    </comment>
    <comment ref="Y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7140, 7141, 7142
</t>
        </r>
      </text>
    </comment>
    <comment ref="AJ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Oscopy, Chemo, Oncology
</t>
        </r>
      </text>
    </comment>
    <comment ref="AP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BehavioralHealth, Hospitalists, Phys Admin, Contact Center
</t>
        </r>
      </text>
    </comment>
  </commentList>
</comments>
</file>

<file path=xl/comments2.xml><?xml version="1.0" encoding="utf-8"?>
<comments xmlns="http://schemas.openxmlformats.org/spreadsheetml/2006/main">
  <authors>
    <author>Hauck, Teena</author>
  </authors>
  <commentList>
    <comment ref="Q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Surg Minutes
</t>
        </r>
      </text>
    </comment>
    <comment ref="R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Surgery Min
</t>
        </r>
      </text>
    </comment>
    <comment ref="U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LabBillable
</t>
        </r>
      </text>
    </comment>
    <comment ref="V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EKGRVU
</t>
        </r>
      </text>
    </comment>
    <comment ref="W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MRI Procedures
</t>
        </r>
      </text>
    </comment>
    <comment ref="Y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7140, 7141,
 7142</t>
        </r>
      </text>
    </comment>
    <comment ref="AJ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 
Oscopy Min/60
Chemo Visits
Oncology Visits
</t>
        </r>
      </text>
    </comment>
    <comment ref="AP5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BehavioralHealth, Hospitalists, Phys Admin, Contact Center
</t>
        </r>
      </text>
    </comment>
    <comment ref="BD64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Dept 8420
Cost Adjustment that can't go back to individual departments
</t>
        </r>
      </text>
    </comment>
    <comment ref="AV74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Dept 8610
  Revenue Accrual Adj
</t>
        </r>
      </text>
    </comment>
    <comment ref="C179" authorId="0" shapeId="0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Actuary Adjustment
</t>
        </r>
      </text>
    </comment>
  </commentList>
</comments>
</file>

<file path=xl/sharedStrings.xml><?xml version="1.0" encoding="utf-8"?>
<sst xmlns="http://schemas.openxmlformats.org/spreadsheetml/2006/main" count="4675" uniqueCount="1282">
  <si>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</si>
  <si>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</si>
  <si>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</si>
  <si>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</si>
  <si>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</si>
  <si>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</si>
  <si>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</si>
  <si>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</si>
  <si>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</si>
  <si>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</si>
  <si>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</si>
  <si>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</si>
  <si>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</si>
  <si>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</si>
  <si>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</si>
  <si>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</si>
  <si>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</si>
  <si>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</si>
  <si>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</si>
  <si>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</si>
  <si>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</si>
  <si>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</si>
  <si>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</si>
  <si>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</si>
  <si>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</si>
  <si>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</si>
  <si>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</si>
  <si>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</si>
  <si>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</si>
  <si>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</si>
  <si>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</si>
  <si>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</si>
  <si>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</si>
  <si>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</si>
  <si>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</si>
  <si>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</si>
  <si>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</si>
  <si>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</si>
  <si>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</si>
  <si>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</si>
  <si>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</si>
  <si>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</si>
  <si>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</si>
  <si>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</si>
  <si>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</si>
  <si>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</si>
  <si>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</si>
  <si>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</si>
  <si>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</si>
  <si>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</si>
  <si>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</si>
  <si>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</si>
  <si>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</si>
  <si>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</si>
  <si>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</si>
  <si>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</si>
  <si>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</si>
  <si>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</si>
  <si>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</si>
  <si>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</si>
  <si>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</si>
  <si>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</si>
  <si>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</si>
  <si>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</si>
  <si>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</si>
  <si>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</si>
  <si>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</si>
  <si>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</si>
  <si>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</si>
  <si>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</si>
  <si>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</si>
  <si>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</si>
  <si>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</si>
  <si>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</si>
  <si>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</si>
  <si>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</si>
  <si>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</si>
  <si>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</si>
  <si>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</si>
  <si>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</si>
  <si>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</si>
  <si>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</si>
  <si>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</si>
  <si>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</si>
  <si>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</si>
  <si>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</si>
  <si>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</si>
  <si>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</si>
  <si>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</si>
  <si>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</si>
  <si>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</si>
  <si>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</si>
  <si>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</si>
  <si>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</si>
  <si>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</si>
  <si>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</si>
  <si>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</si>
  <si>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</si>
  <si>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</si>
  <si>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</si>
  <si>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</si>
  <si>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</si>
  <si>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</si>
  <si>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</si>
  <si>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</si>
  <si>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</si>
  <si>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</si>
  <si>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</si>
  <si>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</si>
  <si>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</si>
  <si>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</si>
  <si>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</si>
  <si>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</si>
  <si>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</si>
  <si>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</si>
  <si>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</si>
  <si>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</si>
  <si>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</si>
  <si>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</si>
  <si>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</si>
  <si>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</si>
  <si>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</si>
  <si>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</si>
  <si>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</si>
  <si>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</si>
  <si>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</si>
  <si>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</si>
  <si>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</si>
  <si>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</si>
  <si>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</si>
  <si>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</si>
  <si>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</si>
  <si>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</si>
  <si>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</si>
  <si>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</si>
  <si>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</si>
  <si>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</si>
  <si>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</si>
  <si>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</si>
  <si>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</si>
  <si>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</si>
  <si>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</si>
  <si>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</si>
  <si>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</si>
  <si>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</si>
  <si>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</si>
  <si>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</si>
  <si>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</si>
  <si>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</si>
  <si>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</si>
  <si>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</si>
  <si>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</si>
  <si>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</si>
  <si>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</si>
  <si>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</si>
  <si>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</si>
  <si>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</si>
  <si>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</si>
  <si>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</si>
  <si>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</si>
  <si>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</si>
  <si>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</si>
  <si>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</si>
  <si>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</si>
  <si>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</si>
  <si>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</si>
  <si>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</si>
  <si>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</si>
  <si>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</si>
  <si>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</si>
  <si>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</si>
  <si>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</si>
  <si>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</si>
  <si>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</si>
  <si>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</si>
  <si>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</si>
  <si>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</si>
  <si>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</si>
  <si>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</si>
  <si>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</si>
  <si>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</si>
  <si>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</si>
  <si>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</si>
  <si>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</si>
  <si>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</si>
  <si>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</si>
  <si>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</si>
  <si>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</si>
  <si>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</si>
  <si>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</si>
  <si>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</si>
  <si>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</si>
  <si>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</si>
  <si>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</si>
  <si>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</si>
  <si>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</si>
  <si>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</si>
  <si>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</si>
  <si>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</si>
  <si>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</si>
  <si>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</si>
  <si>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</si>
  <si>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</si>
  <si>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</si>
  <si>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</si>
  <si>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</si>
  <si>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</si>
  <si>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</si>
  <si>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</si>
  <si>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</si>
  <si>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</si>
  <si>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</si>
  <si>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</si>
  <si>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</si>
  <si>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</si>
  <si>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</si>
  <si>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</si>
  <si>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</si>
  <si>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</si>
  <si>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</si>
  <si>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</si>
  <si>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</si>
  <si>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</si>
  <si>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</si>
  <si>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</si>
  <si>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</si>
  <si>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</si>
  <si>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</si>
  <si>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</si>
  <si>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</si>
  <si>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</si>
  <si>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</si>
  <si>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</si>
  <si>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</si>
  <si>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</si>
  <si>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</si>
  <si>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</si>
  <si>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</si>
  <si>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</si>
  <si>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</si>
  <si>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</si>
  <si>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</si>
  <si>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</si>
  <si>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</si>
  <si>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</si>
  <si>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</si>
  <si>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</si>
  <si>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</si>
  <si>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</si>
  <si>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</si>
  <si>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</si>
  <si>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</si>
  <si>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</si>
  <si>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</si>
  <si>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</si>
  <si>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</si>
  <si>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</si>
  <si>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</si>
  <si>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</si>
  <si>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</si>
  <si>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</si>
  <si>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</si>
  <si>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</si>
  <si>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</si>
  <si>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</si>
  <si>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</si>
  <si>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</si>
  <si>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</si>
  <si>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</si>
  <si>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</si>
  <si>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</si>
  <si>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</si>
  <si>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</si>
  <si>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</si>
  <si>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</si>
  <si>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</si>
  <si>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</si>
  <si>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</si>
  <si>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</si>
  <si>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</si>
  <si>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</si>
  <si>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</si>
  <si>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</si>
  <si>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</si>
  <si>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</si>
  <si>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</si>
  <si>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</si>
  <si>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</si>
  <si>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</si>
  <si>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</si>
  <si>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</si>
  <si>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</si>
  <si>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</si>
  <si>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</si>
  <si>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</si>
  <si>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</si>
  <si>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</si>
  <si>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</si>
  <si>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</si>
  <si>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</si>
  <si>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</si>
  <si>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</si>
  <si>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</si>
  <si>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</si>
  <si>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</si>
  <si>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</si>
  <si>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</si>
  <si>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</si>
  <si>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</si>
  <si>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</si>
  <si>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</si>
  <si>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</si>
  <si>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</si>
  <si>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</si>
  <si>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</si>
  <si>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</si>
  <si>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</si>
  <si>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</si>
  <si>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</si>
  <si>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</si>
  <si>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</si>
  <si>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</si>
  <si>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</si>
  <si>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</si>
  <si>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</si>
  <si>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</si>
  <si>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</si>
  <si>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</si>
  <si>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</si>
  <si>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</si>
  <si>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</si>
  <si>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</si>
  <si>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</si>
  <si>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</si>
  <si>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</si>
  <si>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</si>
  <si>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</si>
  <si>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</si>
  <si>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</si>
  <si>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</si>
  <si>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</si>
  <si>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</si>
  <si>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</si>
  <si>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</si>
  <si>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</si>
  <si>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</si>
  <si>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</si>
  <si>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</si>
  <si>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</si>
  <si>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</si>
  <si>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</si>
  <si>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</si>
  <si>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</si>
  <si>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</si>
  <si>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</si>
  <si>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</si>
  <si>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</si>
  <si>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</si>
  <si>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</si>
  <si>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</si>
  <si>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</si>
  <si>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</si>
  <si>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</si>
  <si>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</si>
  <si>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</si>
  <si>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</si>
  <si>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</si>
  <si>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</si>
  <si>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</si>
  <si>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</si>
  <si>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</si>
  <si>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</si>
  <si>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</si>
  <si>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</si>
  <si>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</si>
  <si>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</si>
  <si>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</si>
  <si>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</si>
  <si>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</si>
  <si>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</si>
  <si>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</si>
  <si>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</si>
  <si>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</si>
  <si>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</si>
  <si>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</si>
  <si>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</si>
  <si>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</si>
  <si>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</si>
  <si>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</si>
  <si>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</si>
  <si>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</si>
  <si>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</si>
  <si>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</si>
  <si>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</si>
  <si>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</si>
  <si>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</si>
  <si>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</si>
  <si>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</si>
  <si>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</si>
  <si>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</si>
  <si>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</si>
  <si>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</si>
  <si>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</si>
  <si>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</si>
  <si>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</si>
  <si>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</si>
  <si>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</si>
  <si>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</si>
  <si>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</si>
  <si>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</si>
  <si>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</si>
  <si>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</si>
  <si>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</si>
  <si>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</si>
  <si>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</si>
  <si>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</si>
  <si>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</si>
  <si>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</si>
  <si>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</si>
  <si>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</si>
  <si>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</si>
  <si>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</si>
  <si>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</si>
  <si>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</si>
  <si>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</si>
  <si>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</si>
  <si>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</si>
  <si>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</si>
  <si>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</si>
  <si>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</si>
  <si>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</si>
  <si>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</si>
  <si>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</si>
  <si>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</si>
  <si>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</si>
  <si>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</si>
  <si>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</si>
  <si>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</si>
  <si>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</si>
  <si>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</si>
  <si>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</si>
  <si>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</si>
  <si>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</si>
  <si>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</si>
  <si>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</si>
  <si>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</si>
  <si>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</si>
  <si>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</si>
  <si>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</si>
  <si>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</si>
  <si>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</si>
  <si>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</si>
  <si>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</si>
  <si>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</si>
  <si>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</si>
  <si>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</si>
  <si>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</si>
  <si>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</si>
  <si>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</si>
  <si>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</si>
  <si>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</si>
  <si>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</si>
  <si>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</si>
  <si>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</si>
  <si>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</si>
  <si>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</si>
  <si>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</si>
  <si>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</si>
  <si>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</si>
  <si>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</si>
  <si>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</si>
  <si>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</si>
  <si>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</si>
  <si>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</si>
  <si>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</si>
  <si>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</si>
  <si>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</si>
  <si>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</si>
  <si>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</si>
  <si>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</si>
  <si>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</si>
  <si>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</si>
  <si>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</si>
  <si>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</si>
  <si>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</si>
  <si>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</si>
  <si>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</si>
  <si>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</si>
  <si>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</si>
  <si>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</si>
  <si>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</si>
  <si>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</si>
  <si>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</si>
  <si>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</si>
  <si>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</si>
  <si>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</si>
  <si>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</si>
  <si>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</si>
  <si>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</si>
  <si>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</si>
  <si>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</si>
  <si>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</si>
  <si>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</si>
  <si>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</si>
  <si>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</si>
  <si>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</si>
  <si>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</si>
  <si>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</si>
  <si>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</si>
  <si>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</si>
  <si>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</si>
  <si>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</si>
  <si>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</si>
  <si>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</si>
  <si>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</si>
  <si>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</si>
  <si>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</si>
  <si>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</si>
  <si>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</si>
  <si>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</si>
  <si>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</si>
  <si>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</si>
  <si>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</si>
  <si>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</si>
  <si>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</si>
  <si>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</si>
  <si>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</si>
  <si>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</si>
  <si>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</si>
  <si>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</si>
  <si>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</si>
  <si>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</si>
  <si>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</si>
  <si>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</si>
  <si>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</si>
  <si>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</si>
  <si>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</si>
  <si>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</si>
  <si>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</si>
  <si>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</si>
  <si>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</si>
  <si>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</si>
  <si>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</si>
  <si>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</si>
  <si>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</si>
  <si>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</si>
  <si>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</si>
  <si>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</si>
  <si>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</si>
  <si>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</si>
  <si>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</si>
  <si>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</si>
  <si>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</si>
  <si>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</si>
  <si>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</si>
  <si>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</si>
  <si>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</si>
  <si>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</si>
  <si>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</si>
  <si>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</si>
  <si>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</si>
  <si>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</si>
  <si>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</si>
  <si>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</si>
  <si>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</si>
  <si>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</si>
  <si>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</si>
  <si>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</si>
  <si>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</si>
  <si>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</si>
  <si>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</si>
  <si>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</si>
  <si>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</si>
  <si>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</si>
  <si>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</si>
  <si>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</si>
  <si>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</si>
  <si>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</si>
  <si>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</si>
  <si>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</si>
  <si>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</si>
  <si>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</si>
  <si>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</si>
  <si>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</si>
  <si>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</si>
  <si>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</si>
  <si>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</si>
  <si>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</si>
  <si>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</si>
  <si>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</si>
  <si>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</si>
  <si>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</si>
  <si>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</si>
  <si>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</si>
  <si>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</si>
  <si>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</si>
  <si>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</si>
  <si>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</si>
  <si>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</si>
  <si>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</si>
  <si>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</si>
  <si>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</si>
  <si>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</si>
  <si>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</si>
  <si>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</si>
  <si>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</si>
  <si>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</si>
  <si>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</si>
  <si>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</si>
  <si>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</si>
  <si>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</si>
  <si>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</si>
  <si>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</si>
  <si>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</si>
  <si>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</si>
  <si>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</si>
  <si>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</si>
  <si>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</si>
  <si>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</si>
  <si>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</si>
  <si>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</si>
  <si>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</si>
  <si>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</si>
  <si>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</si>
  <si>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</si>
  <si>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</si>
  <si>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</si>
  <si>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</si>
  <si>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</si>
  <si>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</si>
  <si>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</si>
  <si>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</si>
  <si>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</si>
  <si>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</si>
  <si>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</si>
  <si>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</si>
  <si>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</si>
  <si>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</si>
  <si>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</si>
  <si>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</si>
  <si>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</si>
  <si>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</si>
  <si>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</si>
  <si>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</si>
  <si>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</si>
  <si>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</si>
  <si>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</si>
  <si>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</si>
  <si>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</si>
  <si>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</si>
  <si>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</si>
  <si>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</si>
  <si>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</si>
  <si>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</si>
  <si>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</si>
  <si>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</si>
  <si>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</si>
  <si>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</si>
  <si>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</si>
  <si>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</si>
  <si>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</si>
  <si>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</si>
  <si>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</si>
  <si>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</si>
  <si>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</si>
  <si>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</si>
  <si>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</si>
  <si>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</si>
  <si>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</si>
  <si>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</si>
  <si>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</si>
  <si>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</si>
  <si>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</si>
  <si>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</si>
  <si>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</si>
  <si>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</si>
  <si>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</si>
  <si>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</si>
  <si>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</si>
  <si>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</si>
  <si>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</si>
  <si>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</si>
  <si>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</si>
  <si>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</si>
  <si>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</si>
  <si>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</si>
  <si>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</si>
  <si>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</si>
  <si>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</si>
  <si>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</si>
  <si>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</si>
  <si>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</si>
  <si>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</si>
  <si>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</si>
  <si>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</si>
  <si>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</si>
  <si>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</si>
  <si>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</si>
  <si>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</si>
  <si>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</si>
  <si>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</si>
  <si>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</si>
  <si>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</si>
  <si>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</si>
  <si>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</si>
  <si>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</si>
  <si>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</si>
  <si>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</si>
  <si>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</si>
  <si>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</si>
  <si>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</si>
  <si>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</si>
  <si>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</si>
  <si>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</si>
  <si>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</si>
  <si>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</si>
  <si>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</si>
  <si>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</si>
  <si>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</si>
  <si>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</si>
  <si>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</si>
  <si>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</si>
  <si>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</si>
  <si>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</si>
  <si>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</si>
  <si>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</si>
  <si>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</si>
  <si>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</si>
  <si>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</si>
  <si>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</si>
  <si>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</si>
  <si>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</si>
  <si>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</si>
  <si>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</si>
  <si>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</si>
  <si>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</si>
  <si>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</si>
  <si>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</si>
  <si>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</si>
  <si>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</si>
  <si>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</si>
  <si>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</si>
  <si>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</si>
  <si>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</si>
  <si>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</si>
  <si>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</si>
  <si>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</si>
  <si>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</si>
  <si>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</si>
  <si>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</si>
  <si>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</si>
  <si>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</si>
  <si>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</si>
  <si>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</si>
  <si>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</si>
  <si>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</si>
  <si>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</si>
  <si>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</si>
  <si>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</si>
  <si>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</si>
  <si>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</si>
  <si>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</si>
  <si>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</si>
  <si>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</si>
  <si>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</si>
  <si>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</si>
  <si>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</si>
  <si>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</si>
  <si>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</si>
  <si>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</si>
  <si>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</si>
  <si>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</si>
  <si>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</si>
  <si>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</si>
  <si>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</si>
  <si>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</si>
  <si>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</si>
  <si>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</si>
  <si>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</si>
  <si>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</si>
  <si>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</si>
  <si>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</si>
  <si>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</si>
  <si>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</si>
  <si>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</si>
  <si>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</si>
  <si>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</si>
  <si>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</si>
  <si>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</si>
  <si>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</si>
  <si>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</si>
  <si>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</si>
  <si>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</si>
  <si>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</si>
  <si>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</si>
  <si>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</si>
  <si>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</si>
  <si>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</si>
  <si>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</si>
  <si>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</si>
  <si>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</si>
  <si>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</si>
  <si>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</si>
  <si>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</si>
  <si>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</si>
  <si>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</si>
  <si>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</si>
  <si>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</si>
  <si>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</si>
  <si>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</si>
  <si>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</si>
  <si>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</si>
  <si>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</si>
  <si>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</si>
  <si>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</si>
  <si>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</si>
  <si>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</si>
  <si>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</si>
  <si>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</si>
  <si>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</si>
  <si>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</si>
  <si>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</si>
  <si>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</si>
  <si>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</si>
  <si>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</si>
  <si>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</si>
  <si>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</si>
  <si>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</si>
  <si>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</si>
  <si>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</si>
  <si>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</si>
  <si>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</si>
  <si>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</si>
  <si>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</si>
  <si>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</si>
  <si>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</si>
  <si>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</si>
  <si>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</si>
  <si>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</si>
  <si>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</si>
  <si>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</si>
  <si>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</si>
  <si>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</si>
  <si>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</si>
  <si>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</si>
  <si>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</si>
  <si>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</si>
  <si>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</si>
  <si>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</si>
  <si>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</si>
  <si>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</si>
  <si>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</si>
  <si>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</si>
  <si>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</si>
  <si>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</si>
  <si>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</si>
  <si>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</si>
  <si>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</si>
  <si>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</si>
  <si>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</si>
  <si>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</si>
  <si>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</si>
  <si>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</si>
  <si>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</si>
  <si>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</si>
  <si>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</si>
  <si>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</si>
  <si>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</si>
  <si>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</si>
  <si>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</si>
  <si>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</si>
  <si>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</si>
  <si>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</si>
  <si>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</si>
  <si>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</si>
  <si>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</si>
  <si>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</si>
  <si>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</si>
  <si>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</si>
  <si>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</si>
  <si>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</si>
  <si>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</si>
  <si>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</si>
  <si>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</si>
  <si>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</si>
  <si>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</si>
  <si>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</si>
  <si>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</si>
  <si>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</si>
  <si>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</si>
  <si>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</si>
  <si>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</si>
  <si>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</si>
  <si>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</si>
  <si>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</si>
  <si>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</si>
  <si>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</si>
  <si>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</si>
  <si>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</si>
  <si>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</si>
  <si>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</si>
  <si>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</si>
  <si>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</si>
  <si>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</si>
  <si>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</si>
  <si>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</si>
  <si>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</si>
  <si>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</si>
  <si>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</si>
  <si>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</si>
  <si>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</si>
  <si>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</si>
  <si>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</si>
  <si>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</si>
  <si>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</si>
  <si>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</si>
  <si>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</si>
  <si>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</si>
  <si>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</si>
  <si>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</si>
  <si>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</si>
  <si>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</si>
  <si>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</si>
  <si>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</si>
  <si>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</si>
  <si>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</si>
  <si>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</si>
  <si>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</si>
  <si>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</si>
  <si>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</si>
  <si>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</si>
  <si>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</si>
  <si>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</si>
  <si>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</si>
  <si>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</si>
  <si>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</si>
  <si>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</si>
  <si>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</si>
  <si>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</si>
  <si>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</si>
  <si>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</si>
  <si>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</si>
  <si>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</si>
  <si>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</si>
  <si>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</si>
  <si>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</si>
  <si>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</si>
  <si>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</si>
  <si>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</si>
  <si>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</si>
  <si>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</si>
  <si>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</si>
  <si>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</si>
  <si>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</si>
  <si>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</si>
  <si>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</si>
  <si>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</si>
  <si>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</si>
  <si>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</si>
  <si>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</si>
  <si>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</si>
  <si>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</si>
  <si>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</si>
  <si>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</si>
  <si>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</si>
  <si>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</si>
  <si>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</si>
  <si>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</si>
  <si>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</si>
  <si>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</si>
  <si>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</si>
  <si>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</si>
  <si>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</si>
  <si>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</si>
  <si>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</si>
  <si>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</si>
  <si>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</si>
  <si>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</si>
  <si>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</si>
  <si>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</si>
  <si>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</si>
  <si>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</si>
  <si>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</si>
  <si>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</si>
  <si>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</si>
  <si>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</si>
  <si>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</si>
  <si>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</si>
  <si>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</si>
  <si>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</si>
  <si>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</si>
  <si>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</si>
  <si>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</si>
  <si>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</si>
  <si>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</si>
  <si>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</si>
  <si>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</si>
  <si>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</si>
  <si>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</si>
  <si>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</si>
  <si>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</si>
  <si>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</si>
  <si>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</si>
  <si>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</si>
  <si>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</si>
  <si>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</si>
  <si>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</si>
  <si>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</si>
  <si>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</si>
  <si>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</si>
  <si>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</si>
  <si>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</si>
  <si>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</si>
  <si>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</si>
  <si>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</si>
  <si>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</si>
  <si>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</si>
  <si>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</si>
  <si>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</si>
  <si>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</si>
  <si>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</si>
  <si>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</si>
  <si>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</si>
  <si>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</si>
  <si>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</si>
  <si>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</si>
  <si>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</si>
  <si>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</si>
  <si>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</si>
  <si>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</si>
  <si>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</si>
  <si>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</si>
  <si>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</si>
  <si>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</si>
  <si>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</si>
  <si>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</si>
  <si>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</si>
  <si>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</si>
  <si>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</si>
  <si>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</si>
  <si>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</si>
  <si>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</si>
  <si>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</si>
  <si>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</si>
  <si>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</si>
  <si>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</si>
  <si>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</si>
  <si>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</si>
  <si>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</si>
  <si>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</si>
  <si>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</si>
  <si>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</si>
  <si>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</si>
  <si>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</si>
  <si>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</si>
  <si>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</si>
  <si>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</si>
  <si>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</si>
  <si>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</si>
  <si>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</si>
  <si>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</si>
  <si>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</si>
  <si>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</si>
  <si>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</si>
  <si>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</si>
  <si>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</si>
  <si>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</si>
  <si>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</si>
  <si>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</si>
  <si>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</si>
  <si>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</si>
  <si>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</si>
  <si>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</si>
  <si>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</si>
  <si>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</si>
  <si>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</si>
  <si>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</si>
  <si>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</si>
  <si>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</si>
  <si>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</si>
  <si>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</si>
  <si>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</si>
  <si>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</si>
  <si>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</si>
  <si>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</si>
  <si>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</si>
  <si>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</si>
  <si>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</si>
  <si>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</si>
  <si>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</si>
  <si>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</si>
  <si>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</si>
  <si>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</si>
  <si>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</si>
  <si>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</si>
  <si>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</si>
  <si>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</si>
  <si>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</si>
  <si>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</si>
  <si>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</si>
  <si>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</si>
  <si>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</si>
  <si>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</si>
  <si>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</si>
  <si>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</si>
  <si>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</si>
  <si>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</si>
  <si>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</si>
  <si>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</si>
  <si>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</si>
  <si>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</si>
  <si>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</si>
  <si>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</si>
  <si>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</si>
  <si>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</si>
  <si>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</si>
  <si>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</si>
  <si>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</si>
  <si>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</si>
  <si>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</si>
  <si>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</si>
  <si>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</si>
  <si>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</si>
  <si>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</si>
  <si>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</si>
  <si>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</si>
  <si>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</si>
  <si>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</si>
  <si>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</si>
  <si>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</si>
  <si>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</si>
  <si>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</si>
  <si>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</si>
  <si>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</si>
  <si>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</si>
  <si>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</si>
  <si>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</si>
  <si>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</si>
  <si>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</si>
  <si>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</si>
  <si>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</si>
  <si>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</si>
  <si>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</si>
  <si>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</si>
  <si>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</si>
  <si>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</si>
  <si>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</si>
  <si>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</si>
  <si>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</si>
  <si>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</si>
  <si>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</si>
  <si>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</si>
  <si>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</si>
  <si>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</si>
  <si>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</si>
  <si>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</si>
  <si>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</si>
  <si>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</si>
  <si>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</si>
  <si>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</si>
  <si>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</si>
  <si>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</si>
  <si>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</si>
  <si>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</si>
  <si>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</si>
  <si>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</si>
  <si>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</si>
  <si>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</si>
  <si>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</si>
  <si>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</si>
  <si>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</si>
  <si>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</si>
  <si>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</si>
  <si>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</si>
  <si>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</si>
  <si>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</si>
  <si>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</si>
  <si>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</si>
  <si>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</si>
  <si>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</si>
  <si>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</si>
  <si>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</si>
  <si>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</si>
  <si>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</si>
  <si>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</si>
  <si>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</si>
  <si>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</si>
  <si>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</si>
  <si>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</si>
  <si>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</si>
  <si>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</si>
  <si>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</si>
  <si>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</si>
  <si>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</si>
  <si>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</si>
  <si>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</si>
  <si>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</si>
  <si>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</si>
  <si>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</si>
  <si>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</si>
  <si>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</si>
  <si>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</si>
  <si>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</si>
  <si>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</si>
  <si>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</si>
  <si>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</si>
  <si>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</si>
  <si>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</si>
  <si>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</si>
  <si>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</si>
  <si>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</si>
  <si>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</si>
  <si>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</si>
  <si>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</si>
  <si>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</si>
  <si>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</si>
  <si>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</si>
  <si>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</si>
  <si>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</si>
  <si>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</si>
  <si>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</si>
  <si>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</si>
  <si>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</si>
  <si>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</si>
  <si>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</si>
  <si>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</si>
  <si>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</si>
  <si>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</si>
  <si>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</si>
  <si>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</si>
  <si>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</si>
  <si>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</si>
  <si>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</si>
  <si>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</si>
  <si>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</si>
  <si>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</si>
  <si>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</si>
  <si>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</si>
  <si>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</si>
  <si>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</si>
  <si>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</si>
  <si>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</si>
  <si>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</si>
  <si>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</si>
  <si>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</si>
  <si>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</si>
  <si>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</si>
  <si>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</si>
  <si>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</si>
  <si>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</si>
  <si>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</si>
  <si>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</si>
  <si>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</si>
  <si>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</si>
  <si>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</si>
  <si>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</si>
  <si>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</si>
  <si>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</si>
  <si>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</si>
  <si>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</si>
  <si>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</si>
  <si>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</si>
  <si>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</si>
  <si>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</si>
  <si>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</si>
  <si>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</si>
  <si>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</si>
  <si>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</si>
  <si>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Chelan</t>
  </si>
  <si>
    <t>168</t>
  </si>
  <si>
    <t>Confluence Health:Central Washington Hospital</t>
  </si>
  <si>
    <t>1201 S Miller</t>
  </si>
  <si>
    <t>PO Box 1887</t>
  </si>
  <si>
    <t>Wenatchee, WA  98801</t>
  </si>
  <si>
    <t>Peter Rutherford, M.D.</t>
  </si>
  <si>
    <t>John Doyle</t>
  </si>
  <si>
    <t>Frank Kunz</t>
  </si>
  <si>
    <t>(509) 662-1511</t>
  </si>
  <si>
    <t>(509) 665-6017</t>
  </si>
  <si>
    <t>1/1/2018 thru 10/31/2018 Licensed and available beds were 198</t>
  </si>
  <si>
    <t>11/1/2018 to present Licensed and available beds are 176</t>
  </si>
  <si>
    <t>11/1/2018  22 TCU Beds were banked.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</si>
</sst>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9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</cellStyleXfs>
  <cellXfs count="298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0" borderId="1" xfId="1" quotePrefix="1" applyNumberFormat="1" applyFont="1" applyFill="1" applyBorder="1" applyProtection="1">
      <protection locked="0"/>
    </xf>
    <xf numFmtId="37" fontId="11" fillId="9" borderId="1" xfId="1" quotePrefix="1" applyNumberFormat="1" applyFont="1" applyFill="1" applyBorder="1" applyProtection="1">
      <protection locked="0"/>
    </xf>
    <xf numFmtId="38" fontId="17" fillId="10" borderId="14" xfId="0" applyNumberFormat="1" applyFont="1" applyFill="1" applyBorder="1" applyProtection="1">
      <protection locked="0"/>
    </xf>
    <xf numFmtId="38" fontId="17" fillId="10" borderId="14" xfId="0" quotePrefix="1" applyNumberFormat="1" applyFont="1" applyFill="1" applyBorder="1" applyProtection="1">
      <protection locked="0"/>
    </xf>
    <xf numFmtId="38" fontId="17" fillId="10" borderId="14" xfId="0" quotePrefix="1" applyNumberFormat="1" applyFont="1" applyFill="1" applyBorder="1" applyAlignment="1" applyProtection="1">
      <alignment horizontal="left"/>
      <protection locked="0"/>
    </xf>
    <xf numFmtId="38" fontId="17" fillId="10" borderId="1" xfId="0" quotePrefix="1" applyNumberFormat="1" applyFont="1" applyFill="1" applyBorder="1" applyAlignment="1" applyProtection="1">
      <alignment horizontal="left"/>
      <protection locked="0"/>
    </xf>
    <xf numFmtId="49" fontId="17" fillId="10" borderId="1" xfId="0" applyNumberFormat="1" applyFont="1" applyFill="1" applyBorder="1" applyAlignment="1" applyProtection="1">
      <alignment horizontal="left"/>
      <protection locked="0"/>
    </xf>
    <xf numFmtId="165" fontId="11" fillId="4" borderId="1" xfId="1" applyNumberFormat="1" applyFont="1" applyFill="1" applyBorder="1" applyProtection="1">
      <protection locked="0"/>
    </xf>
    <xf numFmtId="43" fontId="11" fillId="0" borderId="1" xfId="1" applyFont="1" applyFill="1" applyBorder="1" applyProtection="1">
      <protection locked="0"/>
    </xf>
    <xf numFmtId="43" fontId="11" fillId="0" borderId="14" xfId="1" applyFont="1" applyFill="1" applyBorder="1" applyProtection="1">
      <protection locked="0"/>
    </xf>
    <xf numFmtId="43" fontId="11" fillId="0" borderId="9" xfId="1" applyFont="1" applyFill="1" applyBorder="1" applyProtection="1">
      <protection locked="0"/>
    </xf>
    <xf numFmtId="43" fontId="11" fillId="4" borderId="1" xfId="1" applyFont="1" applyFill="1" applyBorder="1" applyProtection="1">
      <protection locked="0"/>
    </xf>
    <xf numFmtId="37" fontId="11" fillId="0" borderId="1" xfId="1" applyNumberFormat="1" applyFont="1" applyFill="1" applyBorder="1" applyProtection="1">
      <protection locked="0"/>
    </xf>
    <xf numFmtId="3" fontId="11" fillId="4" borderId="1" xfId="0" applyNumberFormat="1" applyFont="1" applyFill="1" applyBorder="1" applyProtection="1">
      <protection locked="0"/>
    </xf>
    <xf numFmtId="41" fontId="11" fillId="4" borderId="1" xfId="0" applyNumberFormat="1" applyFont="1" applyFill="1" applyBorder="1" applyProtection="1">
      <protection locked="0"/>
    </xf>
    <xf numFmtId="37" fontId="20" fillId="0" borderId="8" xfId="0" applyFont="1" applyFill="1" applyBorder="1" applyAlignment="1">
      <alignment horizontal="center"/>
    </xf>
    <xf numFmtId="37" fontId="11" fillId="3" borderId="0" xfId="0" applyFont="1" applyFill="1" applyAlignment="1" applyProtection="1">
      <alignment horizontal="center" vertical="center"/>
    </xf>
  </cellXfs>
  <cellStyles count="29">
    <cellStyle name="Comma" xfId="1" builtinId="3"/>
    <cellStyle name="Comma 2" xfId="26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 3 2" xfId="27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817"/>
  <sheetViews>
    <sheetView showGridLines="0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4">
        <f>SUM(C47:CC47)</f>
        <v>31070523.410000004</v>
      </c>
      <c r="C47" s="184">
        <v>1482302.3599999996</v>
      </c>
      <c r="D47" s="184">
        <v>2020101.37</v>
      </c>
      <c r="E47" s="184">
        <v>4955180.5300000021</v>
      </c>
      <c r="F47" s="184"/>
      <c r="G47" s="184"/>
      <c r="H47" s="184"/>
      <c r="I47" s="184"/>
      <c r="J47" s="184"/>
      <c r="K47" s="184">
        <v>527018.2699999999</v>
      </c>
      <c r="L47" s="184"/>
      <c r="M47" s="184"/>
      <c r="N47" s="184"/>
      <c r="O47" s="184">
        <v>691005.55</v>
      </c>
      <c r="P47" s="184">
        <v>1633834.0899999999</v>
      </c>
      <c r="Q47" s="184">
        <v>324815.91000000003</v>
      </c>
      <c r="R47" s="184">
        <v>113876.01999999999</v>
      </c>
      <c r="S47" s="184">
        <v>298463.09999999998</v>
      </c>
      <c r="T47" s="184">
        <v>101454.22</v>
      </c>
      <c r="U47" s="184">
        <v>1370556.6700000002</v>
      </c>
      <c r="V47" s="184">
        <v>6255.36</v>
      </c>
      <c r="W47" s="184">
        <v>162014.38</v>
      </c>
      <c r="X47" s="184">
        <v>186888.81</v>
      </c>
      <c r="Y47" s="184">
        <v>1534182.2800000005</v>
      </c>
      <c r="Z47" s="184"/>
      <c r="AA47" s="184"/>
      <c r="AB47" s="184">
        <v>1868576.0000000007</v>
      </c>
      <c r="AC47" s="184">
        <v>468792.3</v>
      </c>
      <c r="AD47" s="184">
        <v>0</v>
      </c>
      <c r="AE47" s="184">
        <v>693481.75</v>
      </c>
      <c r="AF47" s="184"/>
      <c r="AG47" s="184">
        <v>1064728.77</v>
      </c>
      <c r="AH47" s="184"/>
      <c r="AI47" s="184">
        <v>546263.87000000011</v>
      </c>
      <c r="AJ47" s="184">
        <v>1332360.9300000006</v>
      </c>
      <c r="AK47" s="184">
        <v>214015.86</v>
      </c>
      <c r="AL47" s="184">
        <v>157181.84</v>
      </c>
      <c r="AM47" s="184"/>
      <c r="AN47" s="184"/>
      <c r="AO47" s="184"/>
      <c r="AP47" s="184">
        <v>886163.93</v>
      </c>
      <c r="AQ47" s="184"/>
      <c r="AR47" s="184">
        <v>1403748.67</v>
      </c>
      <c r="AS47" s="184"/>
      <c r="AT47" s="184"/>
      <c r="AU47" s="184"/>
      <c r="AV47" s="184"/>
      <c r="AW47" s="184"/>
      <c r="AX47" s="184"/>
      <c r="AY47" s="184">
        <v>806990.71000000008</v>
      </c>
      <c r="AZ47" s="184"/>
      <c r="BA47" s="184">
        <v>214204.43000000002</v>
      </c>
      <c r="BB47" s="184">
        <v>710071.35</v>
      </c>
      <c r="BC47" s="184"/>
      <c r="BD47" s="184"/>
      <c r="BE47" s="184">
        <v>290096.48</v>
      </c>
      <c r="BF47" s="184">
        <v>837442.58</v>
      </c>
      <c r="BG47" s="184">
        <v>44584.93</v>
      </c>
      <c r="BH47" s="184"/>
      <c r="BI47" s="184"/>
      <c r="BJ47" s="184"/>
      <c r="BK47" s="184"/>
      <c r="BL47" s="184">
        <v>453400.97000000003</v>
      </c>
      <c r="BM47" s="184"/>
      <c r="BN47" s="184">
        <v>1971135.1499999994</v>
      </c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>
        <v>83150.459999999992</v>
      </c>
      <c r="BZ47" s="264"/>
      <c r="CA47" s="184">
        <v>1616183.5099999998</v>
      </c>
      <c r="CB47" s="184"/>
      <c r="CC47" s="184"/>
      <c r="CD47" s="195"/>
      <c r="CE47" s="195">
        <f>SUM(C47:CC47)</f>
        <v>31070523.410000004</v>
      </c>
    </row>
    <row r="48" spans="1:83" ht="12.6" customHeight="1" x14ac:dyDescent="0.25">
      <c r="A48" s="175" t="s">
        <v>205</v>
      </c>
      <c r="B48" s="183"/>
      <c r="C48" s="242">
        <f>ROUND(((B48/CE61)*C61),0)</f>
        <v>0</v>
      </c>
      <c r="D48" s="242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31070523.410000004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SUM(C51:CC51)</f>
        <v>11177141.15</v>
      </c>
      <c r="C51" s="184">
        <v>139626.57999999999</v>
      </c>
      <c r="D51" s="184">
        <v>96283.92</v>
      </c>
      <c r="E51" s="184">
        <v>223171.41999999998</v>
      </c>
      <c r="F51" s="184"/>
      <c r="G51" s="184"/>
      <c r="H51" s="184"/>
      <c r="I51" s="184"/>
      <c r="J51" s="184"/>
      <c r="K51" s="184">
        <v>41133.57</v>
      </c>
      <c r="L51" s="184"/>
      <c r="M51" s="184"/>
      <c r="N51" s="184"/>
      <c r="O51" s="184">
        <v>40713.15</v>
      </c>
      <c r="P51" s="184">
        <v>823349.63</v>
      </c>
      <c r="Q51" s="184">
        <v>1908.92</v>
      </c>
      <c r="R51" s="184">
        <v>12074.11</v>
      </c>
      <c r="S51" s="184">
        <v>139019.63999999998</v>
      </c>
      <c r="T51" s="184">
        <v>0</v>
      </c>
      <c r="U51" s="184">
        <v>284476.98000000004</v>
      </c>
      <c r="V51" s="184">
        <v>2838.64</v>
      </c>
      <c r="W51" s="184">
        <v>60125.89</v>
      </c>
      <c r="X51" s="184">
        <v>114399.55000000002</v>
      </c>
      <c r="Y51" s="184">
        <v>1225195.45</v>
      </c>
      <c r="Z51" s="184"/>
      <c r="AA51" s="184"/>
      <c r="AB51" s="184">
        <v>254392.83000000002</v>
      </c>
      <c r="AC51" s="184">
        <v>26196.98</v>
      </c>
      <c r="AD51" s="184">
        <v>0</v>
      </c>
      <c r="AE51" s="184">
        <v>7254.15</v>
      </c>
      <c r="AF51" s="184"/>
      <c r="AG51" s="184">
        <v>41477.159999999996</v>
      </c>
      <c r="AH51" s="184"/>
      <c r="AI51" s="184">
        <v>13908.470000000001</v>
      </c>
      <c r="AJ51" s="184">
        <v>300391.86</v>
      </c>
      <c r="AK51" s="184">
        <v>11396.93</v>
      </c>
      <c r="AL51" s="184">
        <v>76363.05</v>
      </c>
      <c r="AM51" s="184"/>
      <c r="AN51" s="184"/>
      <c r="AO51" s="184"/>
      <c r="AP51" s="184">
        <v>101234.49</v>
      </c>
      <c r="AQ51" s="184"/>
      <c r="AR51" s="184">
        <v>22735.579999999998</v>
      </c>
      <c r="AS51" s="184"/>
      <c r="AT51" s="184"/>
      <c r="AU51" s="184"/>
      <c r="AV51" s="184"/>
      <c r="AW51" s="184"/>
      <c r="AX51" s="184"/>
      <c r="AY51" s="184">
        <v>21597.15</v>
      </c>
      <c r="AZ51" s="184"/>
      <c r="BA51" s="184">
        <v>15442.789999999999</v>
      </c>
      <c r="BB51" s="184">
        <v>0</v>
      </c>
      <c r="BC51" s="184"/>
      <c r="BD51" s="184"/>
      <c r="BE51" s="184">
        <v>235907.96999999997</v>
      </c>
      <c r="BF51" s="184">
        <v>4137.99</v>
      </c>
      <c r="BG51" s="184">
        <v>116534.71</v>
      </c>
      <c r="BH51" s="184">
        <f>1523847.33+3337</f>
        <v>1527184.33</v>
      </c>
      <c r="BI51" s="184"/>
      <c r="BJ51" s="184"/>
      <c r="BK51" s="184"/>
      <c r="BL51" s="184"/>
      <c r="BM51" s="184"/>
      <c r="BN51" s="184">
        <f>5104269.25+60796.92</f>
        <v>5165066.17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25725.27</v>
      </c>
      <c r="BZ51" s="184"/>
      <c r="CA51" s="184">
        <v>5875.82</v>
      </c>
      <c r="CB51" s="184"/>
      <c r="CC51" s="184"/>
      <c r="CD51" s="195"/>
      <c r="CE51" s="195">
        <f>SUM(C51:CD51)</f>
        <v>11177141.15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11177141.15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>
        <v>4754</v>
      </c>
      <c r="D59" s="184">
        <v>12059</v>
      </c>
      <c r="E59" s="184">
        <v>28917</v>
      </c>
      <c r="F59" s="184"/>
      <c r="G59" s="184"/>
      <c r="H59" s="184"/>
      <c r="I59" s="184"/>
      <c r="J59" s="184"/>
      <c r="K59" s="184">
        <v>3974</v>
      </c>
      <c r="L59" s="184"/>
      <c r="M59" s="184"/>
      <c r="N59" s="184"/>
      <c r="O59" s="184">
        <v>1282</v>
      </c>
      <c r="P59" s="185">
        <v>827514</v>
      </c>
      <c r="Q59" s="185">
        <v>410659</v>
      </c>
      <c r="R59" s="185">
        <v>826140</v>
      </c>
      <c r="S59" s="245"/>
      <c r="T59" s="245"/>
      <c r="U59" s="293">
        <v>484938</v>
      </c>
      <c r="V59" s="281">
        <v>2824</v>
      </c>
      <c r="W59" s="281">
        <v>4477</v>
      </c>
      <c r="X59" s="185">
        <v>14169</v>
      </c>
      <c r="Y59" s="185">
        <v>120995</v>
      </c>
      <c r="Z59" s="185"/>
      <c r="AA59" s="185"/>
      <c r="AB59" s="245"/>
      <c r="AC59" s="185">
        <v>15041</v>
      </c>
      <c r="AD59" s="185">
        <v>0</v>
      </c>
      <c r="AE59" s="185">
        <v>38602</v>
      </c>
      <c r="AF59" s="185"/>
      <c r="AG59" s="185">
        <v>37235</v>
      </c>
      <c r="AH59" s="185"/>
      <c r="AI59" s="185">
        <v>5758</v>
      </c>
      <c r="AJ59" s="185">
        <v>43734</v>
      </c>
      <c r="AK59" s="185">
        <v>9605</v>
      </c>
      <c r="AL59" s="185">
        <v>7613</v>
      </c>
      <c r="AM59" s="185"/>
      <c r="AN59" s="185"/>
      <c r="AO59" s="185"/>
      <c r="AP59" s="185">
        <v>0</v>
      </c>
      <c r="AQ59" s="185"/>
      <c r="AR59" s="185">
        <v>35707</v>
      </c>
      <c r="AS59" s="185"/>
      <c r="AT59" s="185"/>
      <c r="AU59" s="185"/>
      <c r="AV59" s="245"/>
      <c r="AW59" s="245"/>
      <c r="AX59" s="245"/>
      <c r="AY59" s="185">
        <v>1024722</v>
      </c>
      <c r="AZ59" s="185"/>
      <c r="BA59" s="245"/>
      <c r="BB59" s="245"/>
      <c r="BC59" s="245"/>
      <c r="BD59" s="245"/>
      <c r="BE59" s="185">
        <v>506566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62.43</v>
      </c>
      <c r="D60" s="187">
        <v>95.89</v>
      </c>
      <c r="E60" s="187">
        <v>214.32</v>
      </c>
      <c r="F60" s="223"/>
      <c r="G60" s="187"/>
      <c r="H60" s="187"/>
      <c r="I60" s="187"/>
      <c r="J60" s="223"/>
      <c r="K60" s="187">
        <v>25.55</v>
      </c>
      <c r="L60" s="187"/>
      <c r="M60" s="187"/>
      <c r="N60" s="187"/>
      <c r="O60" s="187">
        <v>27.11</v>
      </c>
      <c r="P60" s="221">
        <v>72.989999999999995</v>
      </c>
      <c r="Q60" s="221">
        <v>12.33</v>
      </c>
      <c r="R60" s="221">
        <v>5.38</v>
      </c>
      <c r="S60" s="221">
        <v>18.89</v>
      </c>
      <c r="T60" s="221">
        <v>4.28</v>
      </c>
      <c r="U60" s="221">
        <v>77.930000000000007</v>
      </c>
      <c r="V60" s="221">
        <v>0.31</v>
      </c>
      <c r="W60" s="221">
        <v>6.1</v>
      </c>
      <c r="X60" s="221">
        <v>10.36</v>
      </c>
      <c r="Y60" s="221">
        <v>73.12</v>
      </c>
      <c r="Z60" s="221"/>
      <c r="AA60" s="221"/>
      <c r="AB60" s="221">
        <v>93.98</v>
      </c>
      <c r="AC60" s="221">
        <v>22.07</v>
      </c>
      <c r="AD60" s="221">
        <v>0</v>
      </c>
      <c r="AE60" s="221">
        <v>34.15</v>
      </c>
      <c r="AF60" s="221"/>
      <c r="AG60" s="221">
        <v>54.32</v>
      </c>
      <c r="AH60" s="221"/>
      <c r="AI60" s="221">
        <v>23.77</v>
      </c>
      <c r="AJ60" s="221">
        <v>67.400000000000006</v>
      </c>
      <c r="AK60" s="221">
        <v>8.98</v>
      </c>
      <c r="AL60" s="221">
        <v>6.25</v>
      </c>
      <c r="AM60" s="221"/>
      <c r="AN60" s="221"/>
      <c r="AO60" s="221"/>
      <c r="AP60" s="221">
        <v>55.41</v>
      </c>
      <c r="AQ60" s="221"/>
      <c r="AR60" s="221">
        <v>63.88</v>
      </c>
      <c r="AS60" s="221"/>
      <c r="AT60" s="221"/>
      <c r="AU60" s="221"/>
      <c r="AV60" s="221"/>
      <c r="AW60" s="221"/>
      <c r="AX60" s="221"/>
      <c r="AY60" s="221">
        <v>62.45</v>
      </c>
      <c r="AZ60" s="221"/>
      <c r="BA60" s="221">
        <v>15.57</v>
      </c>
      <c r="BB60" s="221">
        <v>32.76</v>
      </c>
      <c r="BC60" s="221"/>
      <c r="BD60" s="221">
        <v>0</v>
      </c>
      <c r="BE60" s="221">
        <v>17.079999999999998</v>
      </c>
      <c r="BF60" s="221">
        <v>61.51</v>
      </c>
      <c r="BG60" s="221">
        <v>0</v>
      </c>
      <c r="BH60" s="221">
        <v>0</v>
      </c>
      <c r="BI60" s="221">
        <v>0</v>
      </c>
      <c r="BJ60" s="221"/>
      <c r="BK60" s="221">
        <v>0</v>
      </c>
      <c r="BL60" s="221">
        <v>32.700000000000003</v>
      </c>
      <c r="BM60" s="221"/>
      <c r="BN60" s="221">
        <v>0</v>
      </c>
      <c r="BO60" s="221"/>
      <c r="BP60" s="221"/>
      <c r="BQ60" s="221"/>
      <c r="BR60" s="221">
        <v>0</v>
      </c>
      <c r="BS60" s="221"/>
      <c r="BT60" s="221"/>
      <c r="BU60" s="221"/>
      <c r="BV60" s="221"/>
      <c r="BW60" s="221">
        <v>0</v>
      </c>
      <c r="BX60" s="221"/>
      <c r="BY60" s="221">
        <v>4.0199999999999996</v>
      </c>
      <c r="BZ60" s="221"/>
      <c r="CA60" s="221">
        <v>73.569999999999993</v>
      </c>
      <c r="CB60" s="221"/>
      <c r="CC60" s="221"/>
      <c r="CD60" s="246" t="s">
        <v>221</v>
      </c>
      <c r="CE60" s="248">
        <f t="shared" ref="CE60:CE70" si="0">SUM(C60:CD60)</f>
        <v>1436.86</v>
      </c>
    </row>
    <row r="61" spans="1:84" ht="12.6" customHeight="1" x14ac:dyDescent="0.25">
      <c r="A61" s="171" t="s">
        <v>235</v>
      </c>
      <c r="B61" s="175"/>
      <c r="C61" s="184">
        <v>5507678.160000002</v>
      </c>
      <c r="D61" s="184">
        <v>7178478.0399999982</v>
      </c>
      <c r="E61" s="184">
        <v>16852518.229999997</v>
      </c>
      <c r="F61" s="185"/>
      <c r="G61" s="184"/>
      <c r="H61" s="184"/>
      <c r="I61" s="185"/>
      <c r="J61" s="185"/>
      <c r="K61" s="185">
        <v>1852701.6</v>
      </c>
      <c r="L61" s="185"/>
      <c r="M61" s="184"/>
      <c r="N61" s="184"/>
      <c r="O61" s="184">
        <v>2578175.0099999998</v>
      </c>
      <c r="P61" s="185">
        <v>5908498.8700000001</v>
      </c>
      <c r="Q61" s="185">
        <v>1476073.27</v>
      </c>
      <c r="R61" s="185">
        <v>448062.93</v>
      </c>
      <c r="S61" s="185">
        <v>807599.35000000009</v>
      </c>
      <c r="T61" s="185">
        <v>409237.63</v>
      </c>
      <c r="U61" s="185">
        <v>4705958.3499999996</v>
      </c>
      <c r="V61" s="185">
        <v>19817.46</v>
      </c>
      <c r="W61" s="185">
        <v>613304.21</v>
      </c>
      <c r="X61" s="185">
        <v>819936.68</v>
      </c>
      <c r="Y61" s="185">
        <v>5532653.3499999996</v>
      </c>
      <c r="Z61" s="185"/>
      <c r="AA61" s="185"/>
      <c r="AB61" s="185">
        <v>7160753.6500000004</v>
      </c>
      <c r="AC61" s="185">
        <v>1775317.0199999998</v>
      </c>
      <c r="AD61" s="185">
        <v>0</v>
      </c>
      <c r="AE61" s="185">
        <v>2334128.1800000006</v>
      </c>
      <c r="AF61" s="185"/>
      <c r="AG61" s="185">
        <v>4392280.1300000008</v>
      </c>
      <c r="AH61" s="185"/>
      <c r="AI61" s="185">
        <v>1983736.7799999996</v>
      </c>
      <c r="AJ61" s="185">
        <v>5056932.9099999992</v>
      </c>
      <c r="AK61" s="185">
        <v>829642.75999999978</v>
      </c>
      <c r="AL61" s="185">
        <v>558634.16000000015</v>
      </c>
      <c r="AM61" s="185"/>
      <c r="AN61" s="185"/>
      <c r="AO61" s="185"/>
      <c r="AP61" s="185">
        <v>2327301.9300000011</v>
      </c>
      <c r="AQ61" s="185"/>
      <c r="AR61" s="185">
        <v>5454422.9600000009</v>
      </c>
      <c r="AS61" s="185"/>
      <c r="AT61" s="185"/>
      <c r="AU61" s="185"/>
      <c r="AV61" s="185"/>
      <c r="AW61" s="185"/>
      <c r="AX61" s="185"/>
      <c r="AY61" s="185">
        <v>2521205.0199999996</v>
      </c>
      <c r="AZ61" s="185"/>
      <c r="BA61" s="185">
        <v>592244.35</v>
      </c>
      <c r="BB61" s="185">
        <v>2460709.3699999996</v>
      </c>
      <c r="BC61" s="185"/>
      <c r="BD61" s="185">
        <v>0</v>
      </c>
      <c r="BE61" s="185">
        <v>925749.09</v>
      </c>
      <c r="BF61" s="185">
        <v>2088216.4600000002</v>
      </c>
      <c r="BG61" s="185">
        <v>146490.66999999998</v>
      </c>
      <c r="BH61" s="185">
        <v>0</v>
      </c>
      <c r="BI61" s="185">
        <v>0</v>
      </c>
      <c r="BJ61" s="185"/>
      <c r="BK61" s="185">
        <v>0</v>
      </c>
      <c r="BL61" s="185">
        <v>1291063.0400000003</v>
      </c>
      <c r="BM61" s="185"/>
      <c r="BN61" s="185">
        <v>518047.38</v>
      </c>
      <c r="BO61" s="185"/>
      <c r="BP61" s="185"/>
      <c r="BQ61" s="185"/>
      <c r="BR61" s="185">
        <v>0</v>
      </c>
      <c r="BS61" s="185"/>
      <c r="BT61" s="185"/>
      <c r="BU61" s="185"/>
      <c r="BV61" s="185"/>
      <c r="BW61" s="185">
        <v>0</v>
      </c>
      <c r="BX61" s="185"/>
      <c r="BY61" s="185">
        <v>309237.83999999997</v>
      </c>
      <c r="BZ61" s="185"/>
      <c r="CA61" s="185">
        <v>5820093.8099999977</v>
      </c>
      <c r="CB61" s="185"/>
      <c r="CC61" s="185"/>
      <c r="CD61" s="246" t="s">
        <v>221</v>
      </c>
      <c r="CE61" s="195">
        <f t="shared" si="0"/>
        <v>103256900.65000001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1482302</v>
      </c>
      <c r="D62" s="195">
        <f t="shared" si="1"/>
        <v>2020101</v>
      </c>
      <c r="E62" s="195">
        <f t="shared" si="1"/>
        <v>4955181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527018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691006</v>
      </c>
      <c r="P62" s="195">
        <f t="shared" si="1"/>
        <v>1633834</v>
      </c>
      <c r="Q62" s="195">
        <f t="shared" si="1"/>
        <v>324816</v>
      </c>
      <c r="R62" s="195">
        <f t="shared" si="1"/>
        <v>113876</v>
      </c>
      <c r="S62" s="195">
        <f t="shared" si="1"/>
        <v>298463</v>
      </c>
      <c r="T62" s="195">
        <f t="shared" si="1"/>
        <v>101454</v>
      </c>
      <c r="U62" s="195">
        <f t="shared" si="1"/>
        <v>1370557</v>
      </c>
      <c r="V62" s="195">
        <f t="shared" si="1"/>
        <v>6255</v>
      </c>
      <c r="W62" s="195">
        <f t="shared" si="1"/>
        <v>162014</v>
      </c>
      <c r="X62" s="195">
        <f t="shared" si="1"/>
        <v>186889</v>
      </c>
      <c r="Y62" s="195">
        <f t="shared" si="1"/>
        <v>1534182</v>
      </c>
      <c r="Z62" s="195">
        <f t="shared" si="1"/>
        <v>0</v>
      </c>
      <c r="AA62" s="195">
        <f t="shared" si="1"/>
        <v>0</v>
      </c>
      <c r="AB62" s="195">
        <f t="shared" si="1"/>
        <v>1868576</v>
      </c>
      <c r="AC62" s="195">
        <f t="shared" si="1"/>
        <v>468792</v>
      </c>
      <c r="AD62" s="195">
        <f t="shared" si="1"/>
        <v>0</v>
      </c>
      <c r="AE62" s="195">
        <f t="shared" si="1"/>
        <v>693482</v>
      </c>
      <c r="AF62" s="195">
        <f t="shared" si="1"/>
        <v>0</v>
      </c>
      <c r="AG62" s="195">
        <f t="shared" si="1"/>
        <v>1064729</v>
      </c>
      <c r="AH62" s="195">
        <f t="shared" si="1"/>
        <v>0</v>
      </c>
      <c r="AI62" s="195">
        <f t="shared" si="1"/>
        <v>546264</v>
      </c>
      <c r="AJ62" s="195">
        <f t="shared" si="1"/>
        <v>1332361</v>
      </c>
      <c r="AK62" s="195">
        <f t="shared" si="1"/>
        <v>214016</v>
      </c>
      <c r="AL62" s="195">
        <f t="shared" si="1"/>
        <v>157182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886164</v>
      </c>
      <c r="AQ62" s="195">
        <f t="shared" si="1"/>
        <v>0</v>
      </c>
      <c r="AR62" s="195">
        <f t="shared" si="1"/>
        <v>1403749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806991</v>
      </c>
      <c r="AZ62" s="195">
        <f>ROUND(AZ47+AZ48,0)</f>
        <v>0</v>
      </c>
      <c r="BA62" s="195">
        <f>ROUND(BA47+BA48,0)</f>
        <v>214204</v>
      </c>
      <c r="BB62" s="195">
        <f t="shared" si="1"/>
        <v>710071</v>
      </c>
      <c r="BC62" s="195">
        <f t="shared" si="1"/>
        <v>0</v>
      </c>
      <c r="BD62" s="195">
        <f t="shared" si="1"/>
        <v>0</v>
      </c>
      <c r="BE62" s="195">
        <f t="shared" si="1"/>
        <v>290096</v>
      </c>
      <c r="BF62" s="195">
        <f t="shared" si="1"/>
        <v>837443</v>
      </c>
      <c r="BG62" s="195">
        <f t="shared" si="1"/>
        <v>44585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453401</v>
      </c>
      <c r="BM62" s="195">
        <f t="shared" si="1"/>
        <v>0</v>
      </c>
      <c r="BN62" s="195">
        <f t="shared" si="1"/>
        <v>1971135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83150</v>
      </c>
      <c r="BZ62" s="195">
        <f t="shared" si="2"/>
        <v>0</v>
      </c>
      <c r="CA62" s="195">
        <f t="shared" si="2"/>
        <v>1616184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31070523</v>
      </c>
      <c r="CF62" s="249"/>
    </row>
    <row r="63" spans="1:84" ht="12.6" customHeight="1" x14ac:dyDescent="0.25">
      <c r="A63" s="171" t="s">
        <v>236</v>
      </c>
      <c r="B63" s="175"/>
      <c r="C63" s="184">
        <v>132387.34</v>
      </c>
      <c r="D63" s="184">
        <v>3234.8</v>
      </c>
      <c r="E63" s="184">
        <v>661544.22</v>
      </c>
      <c r="F63" s="185"/>
      <c r="G63" s="184"/>
      <c r="H63" s="184"/>
      <c r="I63" s="185"/>
      <c r="J63" s="185"/>
      <c r="K63" s="185">
        <v>0</v>
      </c>
      <c r="L63" s="185"/>
      <c r="M63" s="184"/>
      <c r="N63" s="184"/>
      <c r="O63" s="184">
        <v>106334.08</v>
      </c>
      <c r="P63" s="185">
        <v>1016562.9</v>
      </c>
      <c r="Q63" s="185">
        <v>0</v>
      </c>
      <c r="R63" s="185">
        <v>1689367.46</v>
      </c>
      <c r="S63" s="185">
        <v>28578.75</v>
      </c>
      <c r="T63" s="185">
        <v>0</v>
      </c>
      <c r="U63" s="185">
        <v>14113.5</v>
      </c>
      <c r="V63" s="185">
        <v>0</v>
      </c>
      <c r="W63" s="185">
        <v>0</v>
      </c>
      <c r="X63" s="185">
        <v>0</v>
      </c>
      <c r="Y63" s="185">
        <v>585599.30000000005</v>
      </c>
      <c r="Z63" s="185"/>
      <c r="AA63" s="185"/>
      <c r="AB63" s="185">
        <v>112629.3</v>
      </c>
      <c r="AC63" s="185">
        <v>188081.86</v>
      </c>
      <c r="AD63" s="185">
        <v>749671.61</v>
      </c>
      <c r="AE63" s="185">
        <v>58905.7</v>
      </c>
      <c r="AF63" s="185"/>
      <c r="AG63" s="185">
        <v>6435816.2800000012</v>
      </c>
      <c r="AH63" s="185"/>
      <c r="AI63" s="185">
        <v>0</v>
      </c>
      <c r="AJ63" s="185">
        <v>107144.39000000001</v>
      </c>
      <c r="AK63" s="185">
        <v>86056.7</v>
      </c>
      <c r="AL63" s="185">
        <v>0</v>
      </c>
      <c r="AM63" s="185"/>
      <c r="AN63" s="185"/>
      <c r="AO63" s="185"/>
      <c r="AP63" s="185">
        <v>8018654.7700000005</v>
      </c>
      <c r="AQ63" s="185"/>
      <c r="AR63" s="185">
        <v>518948.06</v>
      </c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>
        <v>120388.25</v>
      </c>
      <c r="BC63" s="185"/>
      <c r="BD63" s="185"/>
      <c r="BE63" s="185">
        <v>0</v>
      </c>
      <c r="BF63" s="185">
        <v>0</v>
      </c>
      <c r="BG63" s="185">
        <v>0</v>
      </c>
      <c r="BH63" s="185"/>
      <c r="BI63" s="185"/>
      <c r="BJ63" s="185"/>
      <c r="BK63" s="185">
        <v>0</v>
      </c>
      <c r="BL63" s="185">
        <v>0</v>
      </c>
      <c r="BM63" s="185"/>
      <c r="BN63" s="185">
        <v>76737505.940000013</v>
      </c>
      <c r="BO63" s="185"/>
      <c r="BP63" s="185"/>
      <c r="BQ63" s="185"/>
      <c r="BR63" s="185">
        <v>30232.54</v>
      </c>
      <c r="BS63" s="185"/>
      <c r="BT63" s="185"/>
      <c r="BU63" s="185"/>
      <c r="BV63" s="185"/>
      <c r="BW63" s="185">
        <v>0</v>
      </c>
      <c r="BX63" s="185"/>
      <c r="BY63" s="185">
        <v>0</v>
      </c>
      <c r="BZ63" s="185"/>
      <c r="CA63" s="185">
        <v>0</v>
      </c>
      <c r="CB63" s="185"/>
      <c r="CC63" s="185"/>
      <c r="CD63" s="246" t="s">
        <v>221</v>
      </c>
      <c r="CE63" s="195">
        <f t="shared" si="0"/>
        <v>97401757.750000015</v>
      </c>
      <c r="CF63" s="249"/>
    </row>
    <row r="64" spans="1:84" ht="12.6" customHeight="1" x14ac:dyDescent="0.25">
      <c r="A64" s="171" t="s">
        <v>237</v>
      </c>
      <c r="B64" s="175"/>
      <c r="C64" s="184">
        <v>665562.29</v>
      </c>
      <c r="D64" s="184">
        <v>721149.87</v>
      </c>
      <c r="E64" s="185">
        <v>1200085.8500000001</v>
      </c>
      <c r="F64" s="185"/>
      <c r="G64" s="184"/>
      <c r="H64" s="184"/>
      <c r="I64" s="185"/>
      <c r="J64" s="185"/>
      <c r="K64" s="185">
        <v>101375.06999999999</v>
      </c>
      <c r="L64" s="185"/>
      <c r="M64" s="184"/>
      <c r="N64" s="184"/>
      <c r="O64" s="184">
        <v>302439.8</v>
      </c>
      <c r="P64" s="185">
        <v>5159487.58</v>
      </c>
      <c r="Q64" s="185">
        <v>67087.83</v>
      </c>
      <c r="R64" s="185">
        <v>420187.30000000005</v>
      </c>
      <c r="S64" s="185">
        <v>28949205.84</v>
      </c>
      <c r="T64" s="185">
        <v>526181.07999999996</v>
      </c>
      <c r="U64" s="185">
        <v>5367820.8400000008</v>
      </c>
      <c r="V64" s="185">
        <v>813.16</v>
      </c>
      <c r="W64" s="185">
        <v>104422.82</v>
      </c>
      <c r="X64" s="185">
        <v>220017.97000000003</v>
      </c>
      <c r="Y64" s="185">
        <v>876622.07000000007</v>
      </c>
      <c r="Z64" s="185"/>
      <c r="AA64" s="185"/>
      <c r="AB64" s="185">
        <v>9848457.450000003</v>
      </c>
      <c r="AC64" s="185">
        <v>210031.41</v>
      </c>
      <c r="AD64" s="185">
        <v>17114.89</v>
      </c>
      <c r="AE64" s="185">
        <v>509843.49000000005</v>
      </c>
      <c r="AF64" s="185"/>
      <c r="AG64" s="185">
        <v>693288.03</v>
      </c>
      <c r="AH64" s="185"/>
      <c r="AI64" s="185">
        <v>245447.14</v>
      </c>
      <c r="AJ64" s="185">
        <v>29036795.91</v>
      </c>
      <c r="AK64" s="185">
        <v>6368.08</v>
      </c>
      <c r="AL64" s="185">
        <v>5176.21</v>
      </c>
      <c r="AM64" s="185"/>
      <c r="AN64" s="185"/>
      <c r="AO64" s="185"/>
      <c r="AP64" s="185">
        <v>494070.21000000008</v>
      </c>
      <c r="AQ64" s="185"/>
      <c r="AR64" s="185">
        <v>309224.03999999992</v>
      </c>
      <c r="AS64" s="185"/>
      <c r="AT64" s="185"/>
      <c r="AU64" s="185"/>
      <c r="AV64" s="185"/>
      <c r="AW64" s="185"/>
      <c r="AX64" s="185"/>
      <c r="AY64" s="185">
        <v>1478078.3900000006</v>
      </c>
      <c r="AZ64" s="185"/>
      <c r="BA64" s="185">
        <v>267342.66000000003</v>
      </c>
      <c r="BB64" s="185">
        <v>13189.36</v>
      </c>
      <c r="BC64" s="185"/>
      <c r="BD64" s="185">
        <v>249568.6</v>
      </c>
      <c r="BE64" s="185">
        <v>77930.670000000013</v>
      </c>
      <c r="BF64" s="185">
        <v>383170.57999999996</v>
      </c>
      <c r="BG64" s="185">
        <v>1154.01</v>
      </c>
      <c r="BH64" s="185">
        <f>7292.83+805</f>
        <v>8097.83</v>
      </c>
      <c r="BI64" s="185"/>
      <c r="BJ64" s="185"/>
      <c r="BK64" s="185">
        <v>41.04</v>
      </c>
      <c r="BL64" s="185">
        <v>17705.099999999999</v>
      </c>
      <c r="BM64" s="185"/>
      <c r="BN64" s="185">
        <v>388160.70999999996</v>
      </c>
      <c r="BO64" s="185"/>
      <c r="BP64" s="185"/>
      <c r="BQ64" s="185"/>
      <c r="BR64" s="185">
        <v>88996.58</v>
      </c>
      <c r="BS64" s="185"/>
      <c r="BT64" s="185"/>
      <c r="BU64" s="185"/>
      <c r="BV64" s="185"/>
      <c r="BW64" s="185">
        <v>21.95</v>
      </c>
      <c r="BX64" s="185"/>
      <c r="BY64" s="185">
        <v>3555.8999999999996</v>
      </c>
      <c r="BZ64" s="185"/>
      <c r="CA64" s="185">
        <v>27946.859999999997</v>
      </c>
      <c r="CB64" s="185"/>
      <c r="CC64" s="185"/>
      <c r="CD64" s="246" t="s">
        <v>221</v>
      </c>
      <c r="CE64" s="195">
        <f t="shared" si="0"/>
        <v>89063236.469999984</v>
      </c>
      <c r="CF64" s="249"/>
    </row>
    <row r="65" spans="1:84" ht="12.6" customHeight="1" x14ac:dyDescent="0.25">
      <c r="A65" s="171" t="s">
        <v>238</v>
      </c>
      <c r="B65" s="175"/>
      <c r="C65" s="184">
        <v>9143.3100000000013</v>
      </c>
      <c r="D65" s="184">
        <v>13741.54</v>
      </c>
      <c r="E65" s="184">
        <v>46557.14</v>
      </c>
      <c r="F65" s="184"/>
      <c r="G65" s="184"/>
      <c r="H65" s="184"/>
      <c r="I65" s="185"/>
      <c r="J65" s="184"/>
      <c r="K65" s="185">
        <v>6806.25</v>
      </c>
      <c r="L65" s="185"/>
      <c r="M65" s="184"/>
      <c r="N65" s="184"/>
      <c r="O65" s="184">
        <v>0</v>
      </c>
      <c r="P65" s="185">
        <v>7770.81</v>
      </c>
      <c r="Q65" s="185">
        <v>2167.9</v>
      </c>
      <c r="R65" s="185">
        <v>0</v>
      </c>
      <c r="S65" s="185">
        <v>3056.93</v>
      </c>
      <c r="T65" s="185">
        <v>760</v>
      </c>
      <c r="U65" s="185">
        <v>3618.04</v>
      </c>
      <c r="V65" s="185">
        <v>0</v>
      </c>
      <c r="W65" s="185">
        <v>634.14</v>
      </c>
      <c r="X65" s="185">
        <v>790.05</v>
      </c>
      <c r="Y65" s="185">
        <v>6310.41</v>
      </c>
      <c r="Z65" s="185"/>
      <c r="AA65" s="185"/>
      <c r="AB65" s="185">
        <v>5532.91</v>
      </c>
      <c r="AC65" s="185">
        <v>2282.0100000000002</v>
      </c>
      <c r="AD65" s="185">
        <v>0</v>
      </c>
      <c r="AE65" s="185">
        <v>7253.77</v>
      </c>
      <c r="AF65" s="185"/>
      <c r="AG65" s="185">
        <v>7216.7900000000009</v>
      </c>
      <c r="AH65" s="185"/>
      <c r="AI65" s="185">
        <v>7022.65</v>
      </c>
      <c r="AJ65" s="185">
        <v>26862.23</v>
      </c>
      <c r="AK65" s="185">
        <v>0</v>
      </c>
      <c r="AL65" s="185">
        <v>0</v>
      </c>
      <c r="AM65" s="185"/>
      <c r="AN65" s="185"/>
      <c r="AO65" s="185"/>
      <c r="AP65" s="185">
        <v>10780.759999999998</v>
      </c>
      <c r="AQ65" s="185"/>
      <c r="AR65" s="185">
        <v>4095.37</v>
      </c>
      <c r="AS65" s="185"/>
      <c r="AT65" s="185"/>
      <c r="AU65" s="185"/>
      <c r="AV65" s="185"/>
      <c r="AW65" s="185"/>
      <c r="AX65" s="185"/>
      <c r="AY65" s="185">
        <v>9861.7200000000012</v>
      </c>
      <c r="AZ65" s="185"/>
      <c r="BA65" s="185">
        <v>3903.85</v>
      </c>
      <c r="BB65" s="185">
        <v>2377.6800000000003</v>
      </c>
      <c r="BC65" s="185"/>
      <c r="BD65" s="185">
        <v>3006.41</v>
      </c>
      <c r="BE65" s="185">
        <v>946398.76</v>
      </c>
      <c r="BF65" s="185">
        <v>273701.74</v>
      </c>
      <c r="BG65" s="185">
        <v>179.99</v>
      </c>
      <c r="BH65" s="185">
        <v>2404.38</v>
      </c>
      <c r="BI65" s="185"/>
      <c r="BJ65" s="185"/>
      <c r="BK65" s="185">
        <v>0</v>
      </c>
      <c r="BL65" s="185">
        <v>1440</v>
      </c>
      <c r="BM65" s="185"/>
      <c r="BN65" s="185">
        <v>13001.94</v>
      </c>
      <c r="BO65" s="185"/>
      <c r="BP65" s="185"/>
      <c r="BQ65" s="185"/>
      <c r="BR65" s="185">
        <v>404.91</v>
      </c>
      <c r="BS65" s="185"/>
      <c r="BT65" s="185"/>
      <c r="BU65" s="185"/>
      <c r="BV65" s="185"/>
      <c r="BW65" s="185">
        <v>0</v>
      </c>
      <c r="BX65" s="185"/>
      <c r="BY65" s="185">
        <v>880</v>
      </c>
      <c r="BZ65" s="185"/>
      <c r="CA65" s="185">
        <v>2652.28</v>
      </c>
      <c r="CB65" s="185"/>
      <c r="CC65" s="185"/>
      <c r="CD65" s="246" t="s">
        <v>221</v>
      </c>
      <c r="CE65" s="195">
        <f t="shared" si="0"/>
        <v>1432616.6699999997</v>
      </c>
      <c r="CF65" s="249"/>
    </row>
    <row r="66" spans="1:84" ht="12.6" customHeight="1" x14ac:dyDescent="0.25">
      <c r="A66" s="171" t="s">
        <v>239</v>
      </c>
      <c r="B66" s="175"/>
      <c r="C66" s="184">
        <v>46539.42</v>
      </c>
      <c r="D66" s="184">
        <v>40654.01</v>
      </c>
      <c r="E66" s="184">
        <v>510354.9000000002</v>
      </c>
      <c r="F66" s="184"/>
      <c r="G66" s="184"/>
      <c r="H66" s="184"/>
      <c r="I66" s="184"/>
      <c r="J66" s="184"/>
      <c r="K66" s="185">
        <v>18909.8</v>
      </c>
      <c r="L66" s="185"/>
      <c r="M66" s="184"/>
      <c r="N66" s="184"/>
      <c r="O66" s="185">
        <v>76533.33</v>
      </c>
      <c r="P66" s="185">
        <v>602273.37999999989</v>
      </c>
      <c r="Q66" s="185">
        <v>1239.1200000000001</v>
      </c>
      <c r="R66" s="185">
        <v>17427.48</v>
      </c>
      <c r="S66" s="184">
        <v>209739.05</v>
      </c>
      <c r="T66" s="184">
        <v>68040.52</v>
      </c>
      <c r="U66" s="185">
        <v>7102234.8400000008</v>
      </c>
      <c r="V66" s="185">
        <v>0</v>
      </c>
      <c r="W66" s="185">
        <v>172899.80000000002</v>
      </c>
      <c r="X66" s="185">
        <v>258415.55</v>
      </c>
      <c r="Y66" s="185">
        <v>842937.76</v>
      </c>
      <c r="Z66" s="185"/>
      <c r="AA66" s="185"/>
      <c r="AB66" s="185">
        <v>436593.89999999997</v>
      </c>
      <c r="AC66" s="185">
        <v>8835.3599999999988</v>
      </c>
      <c r="AD66" s="185">
        <v>844.16000000000008</v>
      </c>
      <c r="AE66" s="185">
        <v>26911.63</v>
      </c>
      <c r="AF66" s="185"/>
      <c r="AG66" s="185">
        <v>103932.71999999999</v>
      </c>
      <c r="AH66" s="185"/>
      <c r="AI66" s="185">
        <v>17160.900000000001</v>
      </c>
      <c r="AJ66" s="185">
        <v>161663.21000000002</v>
      </c>
      <c r="AK66" s="185">
        <v>1932.82</v>
      </c>
      <c r="AL66" s="185">
        <v>478.79</v>
      </c>
      <c r="AM66" s="185"/>
      <c r="AN66" s="185"/>
      <c r="AO66" s="185"/>
      <c r="AP66" s="185">
        <v>453587.74000000005</v>
      </c>
      <c r="AQ66" s="185"/>
      <c r="AR66" s="185">
        <v>556637.1</v>
      </c>
      <c r="AS66" s="185"/>
      <c r="AT66" s="185"/>
      <c r="AU66" s="185"/>
      <c r="AV66" s="185"/>
      <c r="AW66" s="185"/>
      <c r="AX66" s="185"/>
      <c r="AY66" s="185">
        <v>94542.189999999988</v>
      </c>
      <c r="AZ66" s="185"/>
      <c r="BA66" s="185">
        <v>77772.17</v>
      </c>
      <c r="BB66" s="185">
        <v>261278.14</v>
      </c>
      <c r="BC66" s="185"/>
      <c r="BD66" s="185">
        <v>111402.41000000002</v>
      </c>
      <c r="BE66" s="185">
        <v>691935.33</v>
      </c>
      <c r="BF66" s="185">
        <v>53365.32</v>
      </c>
      <c r="BG66" s="185">
        <v>0</v>
      </c>
      <c r="BH66" s="185">
        <v>99494.82</v>
      </c>
      <c r="BI66" s="185">
        <v>119.33</v>
      </c>
      <c r="BJ66" s="185"/>
      <c r="BK66" s="185">
        <v>0</v>
      </c>
      <c r="BL66" s="185">
        <v>384.12</v>
      </c>
      <c r="BM66" s="185"/>
      <c r="BN66" s="185">
        <v>138980.93</v>
      </c>
      <c r="BO66" s="185"/>
      <c r="BP66" s="185"/>
      <c r="BQ66" s="185"/>
      <c r="BR66" s="185">
        <v>17.260000000000002</v>
      </c>
      <c r="BS66" s="185"/>
      <c r="BT66" s="185"/>
      <c r="BU66" s="185"/>
      <c r="BV66" s="185"/>
      <c r="BW66" s="185">
        <v>497.29</v>
      </c>
      <c r="BX66" s="185"/>
      <c r="BY66" s="185">
        <v>23499.08</v>
      </c>
      <c r="BZ66" s="185"/>
      <c r="CA66" s="185">
        <v>2699.54</v>
      </c>
      <c r="CB66" s="185"/>
      <c r="CC66" s="185"/>
      <c r="CD66" s="246" t="s">
        <v>221</v>
      </c>
      <c r="CE66" s="195">
        <f t="shared" si="0"/>
        <v>13292765.220000003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139627</v>
      </c>
      <c r="D67" s="195">
        <f>ROUND(D51+D52,0)</f>
        <v>96284</v>
      </c>
      <c r="E67" s="195">
        <f t="shared" ref="E67:BP67" si="3">ROUND(E51+E52,0)</f>
        <v>223171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41134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40713</v>
      </c>
      <c r="P67" s="195">
        <f t="shared" si="3"/>
        <v>823350</v>
      </c>
      <c r="Q67" s="195">
        <f t="shared" si="3"/>
        <v>1909</v>
      </c>
      <c r="R67" s="195">
        <f t="shared" si="3"/>
        <v>12074</v>
      </c>
      <c r="S67" s="195">
        <f t="shared" si="3"/>
        <v>139020</v>
      </c>
      <c r="T67" s="195">
        <f t="shared" si="3"/>
        <v>0</v>
      </c>
      <c r="U67" s="195">
        <f t="shared" si="3"/>
        <v>284477</v>
      </c>
      <c r="V67" s="195">
        <f t="shared" si="3"/>
        <v>2839</v>
      </c>
      <c r="W67" s="195">
        <f t="shared" si="3"/>
        <v>60126</v>
      </c>
      <c r="X67" s="195">
        <f t="shared" si="3"/>
        <v>114400</v>
      </c>
      <c r="Y67" s="195">
        <f t="shared" si="3"/>
        <v>1225195</v>
      </c>
      <c r="Z67" s="195">
        <f t="shared" si="3"/>
        <v>0</v>
      </c>
      <c r="AA67" s="195">
        <f t="shared" si="3"/>
        <v>0</v>
      </c>
      <c r="AB67" s="195">
        <f t="shared" si="3"/>
        <v>254393</v>
      </c>
      <c r="AC67" s="195">
        <f t="shared" si="3"/>
        <v>26197</v>
      </c>
      <c r="AD67" s="195">
        <f t="shared" si="3"/>
        <v>0</v>
      </c>
      <c r="AE67" s="195">
        <f t="shared" si="3"/>
        <v>7254</v>
      </c>
      <c r="AF67" s="195">
        <f t="shared" si="3"/>
        <v>0</v>
      </c>
      <c r="AG67" s="195">
        <f t="shared" si="3"/>
        <v>41477</v>
      </c>
      <c r="AH67" s="195">
        <f t="shared" si="3"/>
        <v>0</v>
      </c>
      <c r="AI67" s="195">
        <f t="shared" si="3"/>
        <v>13908</v>
      </c>
      <c r="AJ67" s="195">
        <f t="shared" si="3"/>
        <v>300392</v>
      </c>
      <c r="AK67" s="195">
        <f t="shared" si="3"/>
        <v>11397</v>
      </c>
      <c r="AL67" s="195">
        <f t="shared" si="3"/>
        <v>76363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101234</v>
      </c>
      <c r="AQ67" s="195">
        <f t="shared" si="3"/>
        <v>0</v>
      </c>
      <c r="AR67" s="195">
        <f t="shared" si="3"/>
        <v>22736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21597</v>
      </c>
      <c r="AZ67" s="195">
        <f>ROUND(AZ51+AZ52,0)</f>
        <v>0</v>
      </c>
      <c r="BA67" s="195">
        <f>ROUND(BA51+BA52,0)</f>
        <v>15443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235908</v>
      </c>
      <c r="BF67" s="195">
        <f t="shared" si="3"/>
        <v>4138</v>
      </c>
      <c r="BG67" s="195">
        <f t="shared" si="3"/>
        <v>116535</v>
      </c>
      <c r="BH67" s="195">
        <f t="shared" si="3"/>
        <v>1527184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5165066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25725</v>
      </c>
      <c r="BZ67" s="195">
        <f t="shared" si="4"/>
        <v>0</v>
      </c>
      <c r="CA67" s="195">
        <f t="shared" si="4"/>
        <v>5876</v>
      </c>
      <c r="CB67" s="195">
        <f t="shared" si="4"/>
        <v>0</v>
      </c>
      <c r="CC67" s="195">
        <f t="shared" si="4"/>
        <v>0</v>
      </c>
      <c r="CD67" s="246" t="s">
        <v>221</v>
      </c>
      <c r="CE67" s="195">
        <f t="shared" si="0"/>
        <v>11177142</v>
      </c>
      <c r="CF67" s="249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/>
      <c r="G68" s="184"/>
      <c r="H68" s="184"/>
      <c r="I68" s="184"/>
      <c r="J68" s="184"/>
      <c r="K68" s="185">
        <v>324.60000000000002</v>
      </c>
      <c r="L68" s="185"/>
      <c r="M68" s="184"/>
      <c r="N68" s="184"/>
      <c r="O68" s="184">
        <v>0</v>
      </c>
      <c r="P68" s="185">
        <v>44776.4</v>
      </c>
      <c r="Q68" s="185">
        <v>0</v>
      </c>
      <c r="R68" s="185">
        <v>885.6</v>
      </c>
      <c r="S68" s="185">
        <v>138318.62</v>
      </c>
      <c r="T68" s="185">
        <v>0</v>
      </c>
      <c r="U68" s="185">
        <v>1127.5</v>
      </c>
      <c r="V68" s="185">
        <v>0</v>
      </c>
      <c r="W68" s="185">
        <v>0</v>
      </c>
      <c r="X68" s="185">
        <v>0</v>
      </c>
      <c r="Y68" s="185">
        <v>0</v>
      </c>
      <c r="Z68" s="185"/>
      <c r="AA68" s="185"/>
      <c r="AB68" s="185">
        <v>53336.299999999996</v>
      </c>
      <c r="AC68" s="185">
        <v>2301.4499999999998</v>
      </c>
      <c r="AD68" s="185">
        <v>0</v>
      </c>
      <c r="AE68" s="185">
        <v>3638.02</v>
      </c>
      <c r="AF68" s="185"/>
      <c r="AG68" s="185">
        <v>0</v>
      </c>
      <c r="AH68" s="185"/>
      <c r="AI68" s="185">
        <v>0</v>
      </c>
      <c r="AJ68" s="185">
        <v>317403</v>
      </c>
      <c r="AK68" s="185">
        <v>0</v>
      </c>
      <c r="AL68" s="185">
        <v>0</v>
      </c>
      <c r="AM68" s="185"/>
      <c r="AN68" s="185"/>
      <c r="AO68" s="185"/>
      <c r="AP68" s="185">
        <v>226707.84</v>
      </c>
      <c r="AQ68" s="185"/>
      <c r="AR68" s="185">
        <v>374569.13</v>
      </c>
      <c r="AS68" s="185"/>
      <c r="AT68" s="185"/>
      <c r="AU68" s="185"/>
      <c r="AV68" s="185"/>
      <c r="AW68" s="185"/>
      <c r="AX68" s="185"/>
      <c r="AY68" s="185">
        <v>0</v>
      </c>
      <c r="AZ68" s="185"/>
      <c r="BA68" s="185">
        <v>0</v>
      </c>
      <c r="BB68" s="185">
        <v>0</v>
      </c>
      <c r="BC68" s="185"/>
      <c r="BD68" s="185">
        <v>0</v>
      </c>
      <c r="BE68" s="185">
        <v>16505.79</v>
      </c>
      <c r="BF68" s="185">
        <v>0</v>
      </c>
      <c r="BG68" s="185">
        <v>0</v>
      </c>
      <c r="BH68" s="185">
        <v>0</v>
      </c>
      <c r="BI68" s="185">
        <v>0</v>
      </c>
      <c r="BJ68" s="185"/>
      <c r="BK68" s="185">
        <v>0</v>
      </c>
      <c r="BL68" s="185">
        <v>0</v>
      </c>
      <c r="BM68" s="185"/>
      <c r="BN68" s="185">
        <v>295914.53999999998</v>
      </c>
      <c r="BO68" s="185"/>
      <c r="BP68" s="185"/>
      <c r="BQ68" s="185"/>
      <c r="BR68" s="185">
        <v>0</v>
      </c>
      <c r="BS68" s="185"/>
      <c r="BT68" s="185"/>
      <c r="BU68" s="185"/>
      <c r="BV68" s="185"/>
      <c r="BW68" s="185">
        <v>0</v>
      </c>
      <c r="BX68" s="185"/>
      <c r="BY68" s="185">
        <v>889.68</v>
      </c>
      <c r="BZ68" s="185"/>
      <c r="CA68" s="185">
        <v>0</v>
      </c>
      <c r="CB68" s="185"/>
      <c r="CC68" s="185"/>
      <c r="CD68" s="246" t="s">
        <v>221</v>
      </c>
      <c r="CE68" s="195">
        <f t="shared" si="0"/>
        <v>1476698.47</v>
      </c>
      <c r="CF68" s="249"/>
    </row>
    <row r="69" spans="1:84" ht="12.6" customHeight="1" x14ac:dyDescent="0.25">
      <c r="A69" s="171" t="s">
        <v>241</v>
      </c>
      <c r="B69" s="175"/>
      <c r="C69" s="184">
        <v>32473.86</v>
      </c>
      <c r="D69" s="184">
        <v>7852.5100000000011</v>
      </c>
      <c r="E69" s="185">
        <v>21964.28</v>
      </c>
      <c r="F69" s="185"/>
      <c r="G69" s="184"/>
      <c r="H69" s="184"/>
      <c r="I69" s="185"/>
      <c r="J69" s="185"/>
      <c r="K69" s="185">
        <v>5154.4800000000005</v>
      </c>
      <c r="L69" s="185"/>
      <c r="M69" s="184"/>
      <c r="N69" s="184"/>
      <c r="O69" s="184">
        <v>30275.980000000003</v>
      </c>
      <c r="P69" s="185">
        <v>98804.63</v>
      </c>
      <c r="Q69" s="185">
        <v>1542.82</v>
      </c>
      <c r="R69" s="224">
        <v>4090.1499999999996</v>
      </c>
      <c r="S69" s="185">
        <v>4239.63</v>
      </c>
      <c r="T69" s="184">
        <v>1322.4299999999998</v>
      </c>
      <c r="U69" s="185">
        <v>59894.619999999995</v>
      </c>
      <c r="V69" s="185">
        <v>0</v>
      </c>
      <c r="W69" s="184">
        <v>7656.92</v>
      </c>
      <c r="X69" s="185">
        <v>795.04</v>
      </c>
      <c r="Y69" s="185">
        <v>92594.070000000036</v>
      </c>
      <c r="Z69" s="185"/>
      <c r="AA69" s="185"/>
      <c r="AB69" s="185">
        <v>180890.09000000005</v>
      </c>
      <c r="AC69" s="185">
        <v>8714.64</v>
      </c>
      <c r="AD69" s="185">
        <v>0</v>
      </c>
      <c r="AE69" s="185">
        <v>29285.84</v>
      </c>
      <c r="AF69" s="185"/>
      <c r="AG69" s="185">
        <v>58977.11</v>
      </c>
      <c r="AH69" s="185"/>
      <c r="AI69" s="185">
        <v>3568.2299999999996</v>
      </c>
      <c r="AJ69" s="185">
        <v>207829.82999999996</v>
      </c>
      <c r="AK69" s="185">
        <v>26000.87</v>
      </c>
      <c r="AL69" s="185">
        <v>4599.5700000000006</v>
      </c>
      <c r="AM69" s="185"/>
      <c r="AN69" s="185"/>
      <c r="AO69" s="184"/>
      <c r="AP69" s="185">
        <v>151246.97999999998</v>
      </c>
      <c r="AQ69" s="184"/>
      <c r="AR69" s="184">
        <v>235250.12000000002</v>
      </c>
      <c r="AS69" s="184"/>
      <c r="AT69" s="184"/>
      <c r="AU69" s="185"/>
      <c r="AV69" s="185"/>
      <c r="AW69" s="185"/>
      <c r="AX69" s="185"/>
      <c r="AY69" s="185">
        <v>53742.33</v>
      </c>
      <c r="AZ69" s="185"/>
      <c r="BA69" s="185">
        <v>657.18000000000006</v>
      </c>
      <c r="BB69" s="185">
        <v>18061.89</v>
      </c>
      <c r="BC69" s="185"/>
      <c r="BD69" s="185">
        <v>0</v>
      </c>
      <c r="BE69" s="185">
        <v>16768.849999999999</v>
      </c>
      <c r="BF69" s="185">
        <v>6987.99</v>
      </c>
      <c r="BG69" s="185">
        <v>110</v>
      </c>
      <c r="BH69" s="224">
        <v>203</v>
      </c>
      <c r="BI69" s="185">
        <v>0</v>
      </c>
      <c r="BJ69" s="185"/>
      <c r="BK69" s="185">
        <v>0</v>
      </c>
      <c r="BL69" s="185">
        <v>3358.86</v>
      </c>
      <c r="BM69" s="185"/>
      <c r="BN69" s="185">
        <v>16260050.359999999</v>
      </c>
      <c r="BO69" s="185"/>
      <c r="BP69" s="185"/>
      <c r="BQ69" s="185"/>
      <c r="BR69" s="185">
        <v>50</v>
      </c>
      <c r="BS69" s="185"/>
      <c r="BT69" s="185"/>
      <c r="BU69" s="185"/>
      <c r="BV69" s="185"/>
      <c r="BW69" s="185">
        <v>0</v>
      </c>
      <c r="BX69" s="185"/>
      <c r="BY69" s="185">
        <v>148220.33000000002</v>
      </c>
      <c r="BZ69" s="185"/>
      <c r="CA69" s="185">
        <v>6207.05</v>
      </c>
      <c r="CB69" s="185"/>
      <c r="CC69" s="185"/>
      <c r="CD69" s="188"/>
      <c r="CE69" s="195">
        <f t="shared" si="0"/>
        <v>17789442.539999999</v>
      </c>
      <c r="CF69" s="249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8015713.3800000018</v>
      </c>
      <c r="D71" s="195">
        <f t="shared" ref="D71:AI71" si="5">SUM(D61:D69)-D70</f>
        <v>10081495.769999998</v>
      </c>
      <c r="E71" s="195">
        <f t="shared" si="5"/>
        <v>24471376.619999997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2553423.7999999998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3825477.1999999997</v>
      </c>
      <c r="P71" s="195">
        <f t="shared" si="5"/>
        <v>15295358.57</v>
      </c>
      <c r="Q71" s="195">
        <f t="shared" si="5"/>
        <v>1874835.9400000002</v>
      </c>
      <c r="R71" s="195">
        <f t="shared" si="5"/>
        <v>2705970.9199999995</v>
      </c>
      <c r="S71" s="195">
        <f t="shared" si="5"/>
        <v>30578221.170000002</v>
      </c>
      <c r="T71" s="195">
        <f t="shared" si="5"/>
        <v>1106995.6599999999</v>
      </c>
      <c r="U71" s="195">
        <f t="shared" si="5"/>
        <v>18909801.690000001</v>
      </c>
      <c r="V71" s="195">
        <f t="shared" si="5"/>
        <v>29724.62</v>
      </c>
      <c r="W71" s="195">
        <f t="shared" si="5"/>
        <v>1121057.8899999999</v>
      </c>
      <c r="X71" s="195">
        <f t="shared" si="5"/>
        <v>1601244.2900000003</v>
      </c>
      <c r="Y71" s="195">
        <f t="shared" si="5"/>
        <v>10696093.959999999</v>
      </c>
      <c r="Z71" s="195">
        <f t="shared" si="5"/>
        <v>0</v>
      </c>
      <c r="AA71" s="195">
        <f t="shared" si="5"/>
        <v>0</v>
      </c>
      <c r="AB71" s="195">
        <f t="shared" si="5"/>
        <v>19921162.600000005</v>
      </c>
      <c r="AC71" s="195">
        <f t="shared" si="5"/>
        <v>2690552.7499999995</v>
      </c>
      <c r="AD71" s="195">
        <f t="shared" si="5"/>
        <v>767630.66</v>
      </c>
      <c r="AE71" s="195">
        <f t="shared" si="5"/>
        <v>3670702.6300000008</v>
      </c>
      <c r="AF71" s="195">
        <f t="shared" si="5"/>
        <v>0</v>
      </c>
      <c r="AG71" s="195">
        <f t="shared" si="5"/>
        <v>12797717.060000001</v>
      </c>
      <c r="AH71" s="195">
        <f t="shared" si="5"/>
        <v>0</v>
      </c>
      <c r="AI71" s="195">
        <f t="shared" si="5"/>
        <v>2817107.6999999993</v>
      </c>
      <c r="AJ71" s="195">
        <f t="shared" ref="AJ71:BO71" si="6">SUM(AJ61:AJ69)-AJ70</f>
        <v>36547384.479999997</v>
      </c>
      <c r="AK71" s="195">
        <f t="shared" si="6"/>
        <v>1175414.23</v>
      </c>
      <c r="AL71" s="195">
        <f t="shared" si="6"/>
        <v>802433.7300000001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12669748.230000002</v>
      </c>
      <c r="AQ71" s="195">
        <f t="shared" si="6"/>
        <v>0</v>
      </c>
      <c r="AR71" s="195">
        <f t="shared" si="6"/>
        <v>8879631.7799999993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4986017.6500000004</v>
      </c>
      <c r="AZ71" s="195">
        <f t="shared" si="6"/>
        <v>0</v>
      </c>
      <c r="BA71" s="195">
        <f t="shared" si="6"/>
        <v>1171567.21</v>
      </c>
      <c r="BB71" s="195">
        <f t="shared" si="6"/>
        <v>3586075.69</v>
      </c>
      <c r="BC71" s="195">
        <f t="shared" si="6"/>
        <v>0</v>
      </c>
      <c r="BD71" s="195">
        <f t="shared" si="6"/>
        <v>363977.42000000004</v>
      </c>
      <c r="BE71" s="195">
        <f t="shared" si="6"/>
        <v>3201292.4899999998</v>
      </c>
      <c r="BF71" s="195">
        <f t="shared" si="6"/>
        <v>3647023.0900000003</v>
      </c>
      <c r="BG71" s="195">
        <f t="shared" si="6"/>
        <v>309054.67</v>
      </c>
      <c r="BH71" s="195">
        <f t="shared" si="6"/>
        <v>1637384.03</v>
      </c>
      <c r="BI71" s="195">
        <f t="shared" si="6"/>
        <v>119.33</v>
      </c>
      <c r="BJ71" s="195">
        <f t="shared" si="6"/>
        <v>0</v>
      </c>
      <c r="BK71" s="195">
        <f t="shared" si="6"/>
        <v>41.04</v>
      </c>
      <c r="BL71" s="195">
        <f t="shared" si="6"/>
        <v>1767352.1200000006</v>
      </c>
      <c r="BM71" s="195">
        <f t="shared" si="6"/>
        <v>0</v>
      </c>
      <c r="BN71" s="195">
        <f t="shared" si="6"/>
        <v>101487862.80000001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119701.29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519.24</v>
      </c>
      <c r="BX71" s="195">
        <f t="shared" si="7"/>
        <v>0</v>
      </c>
      <c r="BY71" s="195">
        <f t="shared" si="7"/>
        <v>595157.83000000007</v>
      </c>
      <c r="BZ71" s="195">
        <f t="shared" si="7"/>
        <v>0</v>
      </c>
      <c r="CA71" s="195">
        <f t="shared" si="7"/>
        <v>7481659.5399999982</v>
      </c>
      <c r="CB71" s="195">
        <f t="shared" si="7"/>
        <v>0</v>
      </c>
      <c r="CC71" s="195">
        <f t="shared" si="7"/>
        <v>0</v>
      </c>
      <c r="CD71" s="242">
        <f>CD69-CD70</f>
        <v>0</v>
      </c>
      <c r="CE71" s="195">
        <f>SUM(CE61:CE69)-CE70</f>
        <v>365961082.7700001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0</v>
      </c>
      <c r="CF72" s="249"/>
    </row>
    <row r="73" spans="1:84" ht="12.6" customHeight="1" x14ac:dyDescent="0.25">
      <c r="A73" s="171" t="s">
        <v>245</v>
      </c>
      <c r="B73" s="175"/>
      <c r="C73" s="184">
        <f>33828603</f>
        <v>33828603</v>
      </c>
      <c r="D73" s="184">
        <v>51556348.789999999</v>
      </c>
      <c r="E73" s="185">
        <f>99045691.13-155.62</f>
        <v>99045535.50999999</v>
      </c>
      <c r="F73" s="185"/>
      <c r="G73" s="184"/>
      <c r="H73" s="184"/>
      <c r="I73" s="185"/>
      <c r="J73" s="185">
        <v>4464990</v>
      </c>
      <c r="K73" s="185">
        <v>3801302.3</v>
      </c>
      <c r="L73" s="185"/>
      <c r="M73" s="184"/>
      <c r="N73" s="184"/>
      <c r="O73" s="184">
        <v>11387262.4</v>
      </c>
      <c r="P73" s="185">
        <v>84836461.549999997</v>
      </c>
      <c r="Q73" s="185">
        <v>3676241</v>
      </c>
      <c r="R73" s="185">
        <v>2300624</v>
      </c>
      <c r="S73" s="185">
        <v>52991059.960000001</v>
      </c>
      <c r="T73" s="185">
        <v>0</v>
      </c>
      <c r="U73" s="185">
        <v>18225986.670000002</v>
      </c>
      <c r="V73" s="185">
        <v>1138582.3899999999</v>
      </c>
      <c r="W73" s="185">
        <v>2796514.58</v>
      </c>
      <c r="X73" s="185">
        <v>10594375.67</v>
      </c>
      <c r="Y73" s="185">
        <v>24148750.59</v>
      </c>
      <c r="Z73" s="185"/>
      <c r="AA73" s="185"/>
      <c r="AB73" s="185">
        <v>21942358.989999998</v>
      </c>
      <c r="AC73" s="185">
        <v>9178155.5199999996</v>
      </c>
      <c r="AD73" s="185">
        <v>1448011</v>
      </c>
      <c r="AE73" s="185">
        <v>4519979.95</v>
      </c>
      <c r="AF73" s="185"/>
      <c r="AG73" s="185">
        <v>11746493.65</v>
      </c>
      <c r="AH73" s="185"/>
      <c r="AI73" s="185">
        <v>42390</v>
      </c>
      <c r="AJ73" s="185">
        <v>2253127.16</v>
      </c>
      <c r="AK73" s="185">
        <v>3068450.22</v>
      </c>
      <c r="AL73" s="185">
        <v>1165245.54</v>
      </c>
      <c r="AM73" s="185"/>
      <c r="AN73" s="185"/>
      <c r="AO73" s="185"/>
      <c r="AP73" s="185">
        <v>11990.94</v>
      </c>
      <c r="AQ73" s="185"/>
      <c r="AR73" s="185"/>
      <c r="AS73" s="185"/>
      <c r="AT73" s="185"/>
      <c r="AU73" s="185"/>
      <c r="AV73" s="185"/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460168841.38</v>
      </c>
      <c r="CF73" s="249"/>
    </row>
    <row r="74" spans="1:84" ht="12.6" customHeight="1" x14ac:dyDescent="0.25">
      <c r="A74" s="171" t="s">
        <v>246</v>
      </c>
      <c r="B74" s="175"/>
      <c r="C74" s="184">
        <v>149848.04</v>
      </c>
      <c r="D74" s="184">
        <v>2144347.0499999998</v>
      </c>
      <c r="E74" s="185">
        <v>6454181.3700000001</v>
      </c>
      <c r="F74" s="185"/>
      <c r="G74" s="184"/>
      <c r="H74" s="184"/>
      <c r="I74" s="184"/>
      <c r="J74" s="185"/>
      <c r="K74" s="185">
        <v>56840</v>
      </c>
      <c r="L74" s="185"/>
      <c r="M74" s="184"/>
      <c r="N74" s="184"/>
      <c r="O74" s="184">
        <v>1069426.05</v>
      </c>
      <c r="P74" s="185">
        <v>56280757.770000003</v>
      </c>
      <c r="Q74" s="185">
        <v>2735987</v>
      </c>
      <c r="R74" s="185">
        <v>2886708</v>
      </c>
      <c r="S74" s="185">
        <v>24208537.729999997</v>
      </c>
      <c r="T74" s="185">
        <v>2099768.23</v>
      </c>
      <c r="U74" s="185">
        <v>24809021.250000004</v>
      </c>
      <c r="V74" s="185">
        <v>198091.3</v>
      </c>
      <c r="W74" s="185">
        <v>4418902.8600000003</v>
      </c>
      <c r="X74" s="185">
        <v>14370565.170000002</v>
      </c>
      <c r="Y74" s="185">
        <v>26607410.260000005</v>
      </c>
      <c r="Z74" s="185"/>
      <c r="AA74" s="185"/>
      <c r="AB74" s="185">
        <v>9601938.6699999999</v>
      </c>
      <c r="AC74" s="185">
        <v>1314571.3400000001</v>
      </c>
      <c r="AD74" s="185">
        <v>212459</v>
      </c>
      <c r="AE74" s="185">
        <v>3255879.3699999996</v>
      </c>
      <c r="AF74" s="185"/>
      <c r="AG74" s="185">
        <v>47913030.469999999</v>
      </c>
      <c r="AH74" s="185"/>
      <c r="AI74" s="185">
        <v>3211965.93</v>
      </c>
      <c r="AJ74" s="185">
        <v>163238916.23000002</v>
      </c>
      <c r="AK74" s="185">
        <v>562082.32000000007</v>
      </c>
      <c r="AL74" s="185">
        <v>1053912.98</v>
      </c>
      <c r="AM74" s="185"/>
      <c r="AN74" s="185"/>
      <c r="AO74" s="185"/>
      <c r="AP74" s="185">
        <v>6165207.4700000016</v>
      </c>
      <c r="AQ74" s="185"/>
      <c r="AR74" s="185">
        <v>10564395.959999999</v>
      </c>
      <c r="AS74" s="185"/>
      <c r="AT74" s="185"/>
      <c r="AU74" s="185"/>
      <c r="AV74" s="185"/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415584751.82000005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33978451.039999999</v>
      </c>
      <c r="D75" s="195">
        <f t="shared" si="9"/>
        <v>53700695.839999996</v>
      </c>
      <c r="E75" s="195">
        <f t="shared" si="9"/>
        <v>105499716.88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4464990</v>
      </c>
      <c r="K75" s="195">
        <f t="shared" si="9"/>
        <v>3858142.3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12456688.450000001</v>
      </c>
      <c r="P75" s="195">
        <f t="shared" si="9"/>
        <v>141117219.31999999</v>
      </c>
      <c r="Q75" s="195">
        <f t="shared" si="9"/>
        <v>6412228</v>
      </c>
      <c r="R75" s="195">
        <f t="shared" si="9"/>
        <v>5187332</v>
      </c>
      <c r="S75" s="195">
        <f t="shared" si="9"/>
        <v>77199597.689999998</v>
      </c>
      <c r="T75" s="195">
        <f t="shared" si="9"/>
        <v>2099768.23</v>
      </c>
      <c r="U75" s="195">
        <f t="shared" si="9"/>
        <v>43035007.920000002</v>
      </c>
      <c r="V75" s="195">
        <f t="shared" si="9"/>
        <v>1336673.69</v>
      </c>
      <c r="W75" s="195">
        <f t="shared" si="9"/>
        <v>7215417.4400000004</v>
      </c>
      <c r="X75" s="195">
        <f t="shared" si="9"/>
        <v>24964940.840000004</v>
      </c>
      <c r="Y75" s="195">
        <f t="shared" si="9"/>
        <v>50756160.850000009</v>
      </c>
      <c r="Z75" s="195">
        <f t="shared" si="9"/>
        <v>0</v>
      </c>
      <c r="AA75" s="195">
        <f t="shared" si="9"/>
        <v>0</v>
      </c>
      <c r="AB75" s="195">
        <f t="shared" si="9"/>
        <v>31544297.659999996</v>
      </c>
      <c r="AC75" s="195">
        <f t="shared" si="9"/>
        <v>10492726.859999999</v>
      </c>
      <c r="AD75" s="195">
        <f t="shared" si="9"/>
        <v>1660470</v>
      </c>
      <c r="AE75" s="195">
        <f t="shared" si="9"/>
        <v>7775859.3200000003</v>
      </c>
      <c r="AF75" s="195">
        <f t="shared" si="9"/>
        <v>0</v>
      </c>
      <c r="AG75" s="195">
        <f t="shared" si="9"/>
        <v>59659524.119999997</v>
      </c>
      <c r="AH75" s="195">
        <f t="shared" si="9"/>
        <v>0</v>
      </c>
      <c r="AI75" s="195">
        <f t="shared" si="9"/>
        <v>3254355.93</v>
      </c>
      <c r="AJ75" s="195">
        <f t="shared" si="9"/>
        <v>165492043.39000002</v>
      </c>
      <c r="AK75" s="195">
        <f t="shared" si="9"/>
        <v>3630532.54</v>
      </c>
      <c r="AL75" s="195">
        <f t="shared" si="9"/>
        <v>2219158.52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6177198.410000002</v>
      </c>
      <c r="AQ75" s="195">
        <f t="shared" si="9"/>
        <v>0</v>
      </c>
      <c r="AR75" s="195">
        <f t="shared" si="9"/>
        <v>10564395.959999999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875753593.19999993</v>
      </c>
      <c r="CF75" s="249"/>
    </row>
    <row r="76" spans="1:84" ht="12.6" customHeight="1" x14ac:dyDescent="0.25">
      <c r="A76" s="171" t="s">
        <v>248</v>
      </c>
      <c r="B76" s="175"/>
      <c r="C76" s="184">
        <v>16056</v>
      </c>
      <c r="D76" s="184">
        <v>23415</v>
      </c>
      <c r="E76" s="185">
        <v>83230</v>
      </c>
      <c r="F76" s="185"/>
      <c r="G76" s="184"/>
      <c r="H76" s="184"/>
      <c r="I76" s="185"/>
      <c r="J76" s="185">
        <v>0</v>
      </c>
      <c r="K76" s="185">
        <v>0</v>
      </c>
      <c r="L76" s="185"/>
      <c r="M76" s="185"/>
      <c r="N76" s="185"/>
      <c r="O76" s="185">
        <v>3417</v>
      </c>
      <c r="P76" s="185">
        <v>12690</v>
      </c>
      <c r="Q76" s="185">
        <v>4116</v>
      </c>
      <c r="R76" s="264"/>
      <c r="S76" s="185">
        <v>5728</v>
      </c>
      <c r="T76" s="264"/>
      <c r="U76" s="185">
        <v>13833</v>
      </c>
      <c r="V76" s="185">
        <v>866</v>
      </c>
      <c r="W76" s="185">
        <v>729</v>
      </c>
      <c r="X76" s="185">
        <v>1500</v>
      </c>
      <c r="Y76" s="185">
        <v>9572</v>
      </c>
      <c r="Z76" s="185"/>
      <c r="AA76" s="185"/>
      <c r="AB76" s="185">
        <v>8764</v>
      </c>
      <c r="AC76" s="185">
        <v>2510</v>
      </c>
      <c r="AD76" s="185">
        <v>2170</v>
      </c>
      <c r="AE76" s="185">
        <v>9987</v>
      </c>
      <c r="AF76" s="185"/>
      <c r="AG76" s="185">
        <v>10892</v>
      </c>
      <c r="AH76" s="185"/>
      <c r="AI76" s="185">
        <v>9614</v>
      </c>
      <c r="AJ76" s="185">
        <v>5870</v>
      </c>
      <c r="AK76" s="185"/>
      <c r="AL76" s="185"/>
      <c r="AM76" s="185"/>
      <c r="AN76" s="185"/>
      <c r="AO76" s="185"/>
      <c r="AP76" s="185">
        <v>26878</v>
      </c>
      <c r="AQ76" s="185"/>
      <c r="AR76" s="185">
        <v>6442</v>
      </c>
      <c r="AS76" s="185"/>
      <c r="AT76" s="185"/>
      <c r="AU76" s="185"/>
      <c r="AV76" s="185"/>
      <c r="AW76" s="185"/>
      <c r="AX76" s="185"/>
      <c r="AY76" s="185">
        <v>11488</v>
      </c>
      <c r="AZ76" s="185"/>
      <c r="BA76" s="185">
        <v>13960</v>
      </c>
      <c r="BB76" s="185">
        <v>1320</v>
      </c>
      <c r="BC76" s="185"/>
      <c r="BD76" s="185">
        <v>5708</v>
      </c>
      <c r="BE76" s="185">
        <f>57833+133501</f>
        <v>191334</v>
      </c>
      <c r="BF76" s="185">
        <v>3089</v>
      </c>
      <c r="BG76" s="185">
        <v>206</v>
      </c>
      <c r="BH76" s="185">
        <v>2317</v>
      </c>
      <c r="BI76" s="185"/>
      <c r="BJ76" s="185"/>
      <c r="BK76" s="185"/>
      <c r="BL76" s="185">
        <v>2374</v>
      </c>
      <c r="BM76" s="185"/>
      <c r="BN76" s="185">
        <f>9569+794</f>
        <v>10363</v>
      </c>
      <c r="BO76" s="185"/>
      <c r="BP76" s="185"/>
      <c r="BQ76" s="185"/>
      <c r="BR76" s="185">
        <v>1507</v>
      </c>
      <c r="BS76" s="185"/>
      <c r="BT76" s="185"/>
      <c r="BU76" s="185"/>
      <c r="BV76" s="185">
        <v>2565</v>
      </c>
      <c r="BW76" s="185"/>
      <c r="BX76" s="185">
        <v>586</v>
      </c>
      <c r="BY76" s="185"/>
      <c r="BZ76" s="185"/>
      <c r="CA76" s="185">
        <v>1470</v>
      </c>
      <c r="CB76" s="185"/>
      <c r="CC76" s="185"/>
      <c r="CD76" s="246" t="s">
        <v>221</v>
      </c>
      <c r="CE76" s="195">
        <f t="shared" si="8"/>
        <v>506566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60527.966535026047</v>
      </c>
      <c r="D77" s="184">
        <v>182616.80005789429</v>
      </c>
      <c r="E77" s="184">
        <v>469000.36868331814</v>
      </c>
      <c r="F77" s="184"/>
      <c r="G77" s="184"/>
      <c r="H77" s="184"/>
      <c r="I77" s="184"/>
      <c r="J77" s="184"/>
      <c r="K77" s="184">
        <v>95090.404763873958</v>
      </c>
      <c r="L77" s="184"/>
      <c r="M77" s="184"/>
      <c r="N77" s="184"/>
      <c r="O77" s="184">
        <v>21468.438642378631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196018.02131750892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1024721.9999999999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/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0</v>
      </c>
      <c r="CF78" s="195"/>
    </row>
    <row r="79" spans="1:84" ht="12.6" customHeight="1" x14ac:dyDescent="0.25">
      <c r="A79" s="171" t="s">
        <v>251</v>
      </c>
      <c r="B79" s="175"/>
      <c r="C79" s="225">
        <v>212795</v>
      </c>
      <c r="D79" s="225">
        <v>171915</v>
      </c>
      <c r="E79" s="184">
        <v>573415</v>
      </c>
      <c r="F79" s="184"/>
      <c r="G79" s="184"/>
      <c r="H79" s="184"/>
      <c r="I79" s="184"/>
      <c r="J79" s="184"/>
      <c r="K79" s="184">
        <v>45904</v>
      </c>
      <c r="L79" s="184"/>
      <c r="M79" s="184"/>
      <c r="N79" s="184"/>
      <c r="O79" s="184">
        <v>102565</v>
      </c>
      <c r="P79" s="184">
        <v>330690</v>
      </c>
      <c r="Q79" s="184">
        <v>52925</v>
      </c>
      <c r="R79" s="184"/>
      <c r="S79" s="184">
        <v>14600</v>
      </c>
      <c r="T79" s="184"/>
      <c r="U79" s="184"/>
      <c r="V79" s="184"/>
      <c r="W79" s="184"/>
      <c r="X79" s="184"/>
      <c r="Y79" s="184">
        <v>51100</v>
      </c>
      <c r="Z79" s="184"/>
      <c r="AA79" s="184"/>
      <c r="AB79" s="184"/>
      <c r="AC79" s="184"/>
      <c r="AD79" s="184"/>
      <c r="AE79" s="184">
        <v>10220</v>
      </c>
      <c r="AF79" s="184"/>
      <c r="AG79" s="184">
        <v>212795</v>
      </c>
      <c r="AH79" s="184"/>
      <c r="AI79" s="184">
        <v>197830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1976754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45.65</v>
      </c>
      <c r="D80" s="187">
        <v>61.535066810263309</v>
      </c>
      <c r="E80" s="187">
        <v>142.8379339873174</v>
      </c>
      <c r="F80" s="187"/>
      <c r="G80" s="187"/>
      <c r="H80" s="187"/>
      <c r="I80" s="187"/>
      <c r="J80" s="187"/>
      <c r="K80" s="187">
        <v>10.935717379672072</v>
      </c>
      <c r="L80" s="187"/>
      <c r="M80" s="187"/>
      <c r="N80" s="187"/>
      <c r="O80" s="187">
        <v>20.246053706877383</v>
      </c>
      <c r="P80" s="187">
        <v>35.218692778002385</v>
      </c>
      <c r="Q80" s="187">
        <v>12.330092603127181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10.79541438824587</v>
      </c>
      <c r="Z80" s="187"/>
      <c r="AA80" s="187"/>
      <c r="AB80" s="187">
        <v>0</v>
      </c>
      <c r="AC80" s="187">
        <v>0</v>
      </c>
      <c r="AD80" s="187"/>
      <c r="AE80" s="187">
        <v>0</v>
      </c>
      <c r="AF80" s="187"/>
      <c r="AG80" s="187">
        <v>31.582247031439532</v>
      </c>
      <c r="AH80" s="187"/>
      <c r="AI80" s="187">
        <v>15.962446240400199</v>
      </c>
      <c r="AJ80" s="187">
        <v>24.378330436033096</v>
      </c>
      <c r="AK80" s="187">
        <v>0</v>
      </c>
      <c r="AL80" s="187">
        <v>0</v>
      </c>
      <c r="AM80" s="187"/>
      <c r="AN80" s="187"/>
      <c r="AO80" s="187"/>
      <c r="AP80" s="187">
        <v>1.213542343920071</v>
      </c>
      <c r="AQ80" s="187"/>
      <c r="AR80" s="187">
        <v>24.210211344447412</v>
      </c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436.89574904974597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1267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1269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3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84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5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3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3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3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3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3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6" t="s">
        <v>1277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7" t="s">
        <v>1278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11387</v>
      </c>
      <c r="D111" s="288">
        <v>45730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191</v>
      </c>
      <c r="D112" s="288">
        <v>3974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22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22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198</v>
      </c>
    </row>
    <row r="128" spans="1:5" ht="12.6" customHeight="1" x14ac:dyDescent="0.25">
      <c r="A128" s="173" t="s">
        <v>292</v>
      </c>
      <c r="B128" s="172" t="s">
        <v>256</v>
      </c>
      <c r="C128" s="189">
        <v>176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2318507.71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89">
        <v>5566</v>
      </c>
      <c r="C138" s="189">
        <v>2497</v>
      </c>
      <c r="D138" s="174">
        <v>3324</v>
      </c>
      <c r="E138" s="175">
        <f>SUM(B138:D138)</f>
        <v>11387</v>
      </c>
    </row>
    <row r="139" spans="1:6" ht="12.6" customHeight="1" x14ac:dyDescent="0.25">
      <c r="A139" s="173" t="s">
        <v>215</v>
      </c>
      <c r="B139" s="189">
        <v>26733</v>
      </c>
      <c r="C139" s="189">
        <v>9453</v>
      </c>
      <c r="D139" s="174">
        <v>9544</v>
      </c>
      <c r="E139" s="175">
        <f>SUM(B139:D139)</f>
        <v>45730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288">
        <v>257541818.66999999</v>
      </c>
      <c r="C141" s="288">
        <v>87520755.849999979</v>
      </c>
      <c r="D141" s="288">
        <v>108995977.89999999</v>
      </c>
      <c r="E141" s="175">
        <f>SUM(B141:D141)</f>
        <v>454058552.41999996</v>
      </c>
      <c r="F141" s="199"/>
    </row>
    <row r="142" spans="1:6" ht="12.6" customHeight="1" x14ac:dyDescent="0.25">
      <c r="A142" s="173" t="s">
        <v>246</v>
      </c>
      <c r="B142" s="294">
        <v>202261247.64999998</v>
      </c>
      <c r="C142" s="189">
        <v>79260333.700000018</v>
      </c>
      <c r="D142" s="295">
        <v>134063170.47</v>
      </c>
      <c r="E142" s="175">
        <f>SUM(B142:D142)</f>
        <v>415584751.82000005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89">
        <v>151</v>
      </c>
      <c r="C144" s="189">
        <v>23</v>
      </c>
      <c r="D144" s="189">
        <v>17</v>
      </c>
      <c r="E144" s="175">
        <f>SUM(B144:D144)</f>
        <v>191</v>
      </c>
    </row>
    <row r="145" spans="1:5" ht="12.6" customHeight="1" x14ac:dyDescent="0.25">
      <c r="A145" s="173" t="s">
        <v>215</v>
      </c>
      <c r="B145" s="189">
        <v>3356</v>
      </c>
      <c r="C145" s="189">
        <v>373</v>
      </c>
      <c r="D145" s="189">
        <v>245</v>
      </c>
      <c r="E145" s="175">
        <f>SUM(B145:D145)</f>
        <v>3974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288">
        <v>5099112.42</v>
      </c>
      <c r="C147" s="288">
        <v>471867.51</v>
      </c>
      <c r="D147" s="288">
        <v>539309.58000000007</v>
      </c>
      <c r="E147" s="175">
        <f>SUM(B147:D147)</f>
        <v>6110289.5099999998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288">
        <v>5725294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7606648.3000000035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97321.540000000008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933020.51000000013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17107262.91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88869.95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4861105.8899999997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376294.31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31070523.410000004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1476698.47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1476698.47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2131772.42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263045.19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2394817.61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193085.15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2640011.38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6064436.5199999996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8897533.0499999989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>
        <v>5081962.8600000003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45881.68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5127844.54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88">
        <v>8276004</v>
      </c>
      <c r="C195" s="288">
        <v>0</v>
      </c>
      <c r="D195" s="288">
        <v>0</v>
      </c>
      <c r="E195" s="175">
        <f t="shared" ref="E195:E203" si="10">SUM(B195:C195)-D195</f>
        <v>8276004</v>
      </c>
    </row>
    <row r="196" spans="1:8" ht="12.6" customHeight="1" x14ac:dyDescent="0.25">
      <c r="A196" s="173" t="s">
        <v>333</v>
      </c>
      <c r="B196" s="288">
        <v>4067025</v>
      </c>
      <c r="C196" s="288">
        <v>1062882</v>
      </c>
      <c r="D196" s="288"/>
      <c r="E196" s="175">
        <f t="shared" si="10"/>
        <v>5129907</v>
      </c>
    </row>
    <row r="197" spans="1:8" ht="12.6" customHeight="1" x14ac:dyDescent="0.25">
      <c r="A197" s="173" t="s">
        <v>334</v>
      </c>
      <c r="B197" s="288">
        <v>119518185</v>
      </c>
      <c r="C197" s="288">
        <v>4063844</v>
      </c>
      <c r="D197" s="288">
        <v>3923</v>
      </c>
      <c r="E197" s="175">
        <f t="shared" si="10"/>
        <v>123578106</v>
      </c>
    </row>
    <row r="198" spans="1:8" ht="12.6" customHeight="1" x14ac:dyDescent="0.25">
      <c r="A198" s="173" t="s">
        <v>335</v>
      </c>
      <c r="B198" s="288">
        <v>75073031</v>
      </c>
      <c r="C198" s="288">
        <v>3400501</v>
      </c>
      <c r="D198" s="288">
        <v>403407</v>
      </c>
      <c r="E198" s="175">
        <f t="shared" si="10"/>
        <v>78070125</v>
      </c>
    </row>
    <row r="199" spans="1:8" ht="12.6" customHeight="1" x14ac:dyDescent="0.25">
      <c r="A199" s="173" t="s">
        <v>336</v>
      </c>
      <c r="B199" s="288"/>
      <c r="C199" s="288"/>
      <c r="D199" s="288"/>
      <c r="E199" s="175">
        <f t="shared" si="10"/>
        <v>0</v>
      </c>
    </row>
    <row r="200" spans="1:8" ht="12.6" customHeight="1" x14ac:dyDescent="0.25">
      <c r="A200" s="173" t="s">
        <v>337</v>
      </c>
      <c r="B200" s="288">
        <v>108396823</v>
      </c>
      <c r="C200" s="288">
        <v>8951264</v>
      </c>
      <c r="D200" s="288">
        <v>7806291</v>
      </c>
      <c r="E200" s="175">
        <f t="shared" si="10"/>
        <v>109541796</v>
      </c>
    </row>
    <row r="201" spans="1:8" ht="12.6" customHeight="1" x14ac:dyDescent="0.25">
      <c r="A201" s="173" t="s">
        <v>338</v>
      </c>
      <c r="B201" s="288"/>
      <c r="C201" s="288"/>
      <c r="D201" s="288"/>
      <c r="E201" s="175">
        <f t="shared" si="10"/>
        <v>0</v>
      </c>
    </row>
    <row r="202" spans="1:8" ht="12.6" customHeight="1" x14ac:dyDescent="0.25">
      <c r="A202" s="173" t="s">
        <v>339</v>
      </c>
      <c r="B202" s="288"/>
      <c r="C202" s="288"/>
      <c r="D202" s="288"/>
      <c r="E202" s="175">
        <f t="shared" si="10"/>
        <v>0</v>
      </c>
    </row>
    <row r="203" spans="1:8" ht="12.6" customHeight="1" x14ac:dyDescent="0.25">
      <c r="A203" s="173" t="s">
        <v>340</v>
      </c>
      <c r="B203" s="288">
        <v>7375821</v>
      </c>
      <c r="C203" s="288">
        <v>-4124250</v>
      </c>
      <c r="D203" s="288">
        <v>-142880</v>
      </c>
      <c r="E203" s="175">
        <f t="shared" si="10"/>
        <v>3394451</v>
      </c>
    </row>
    <row r="204" spans="1:8" ht="12.6" customHeight="1" x14ac:dyDescent="0.25">
      <c r="A204" s="173" t="s">
        <v>203</v>
      </c>
      <c r="B204" s="175">
        <f>SUM(B195:B203)</f>
        <v>322706889</v>
      </c>
      <c r="C204" s="191">
        <f>SUM(C195:C203)</f>
        <v>13354241</v>
      </c>
      <c r="D204" s="175">
        <f>SUM(D195:D203)</f>
        <v>8070741</v>
      </c>
      <c r="E204" s="175">
        <f>SUM(E195:E203)</f>
        <v>327990389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288">
        <v>3201617</v>
      </c>
      <c r="C209" s="288">
        <v>233120</v>
      </c>
      <c r="D209" s="288">
        <v>0</v>
      </c>
      <c r="E209" s="175">
        <f t="shared" ref="E209:E216" si="11">SUM(B209:C209)-D209</f>
        <v>3434737</v>
      </c>
      <c r="H209" s="256"/>
    </row>
    <row r="210" spans="1:8" ht="12.6" customHeight="1" x14ac:dyDescent="0.25">
      <c r="A210" s="173" t="s">
        <v>334</v>
      </c>
      <c r="B210" s="288">
        <v>47354356</v>
      </c>
      <c r="C210" s="288">
        <v>3980899</v>
      </c>
      <c r="D210" s="288">
        <v>4070</v>
      </c>
      <c r="E210" s="175">
        <f t="shared" si="11"/>
        <v>51331185</v>
      </c>
      <c r="H210" s="256"/>
    </row>
    <row r="211" spans="1:8" ht="12.6" customHeight="1" x14ac:dyDescent="0.25">
      <c r="A211" s="173" t="s">
        <v>335</v>
      </c>
      <c r="B211" s="288">
        <v>42427632</v>
      </c>
      <c r="C211" s="288">
        <v>3004122</v>
      </c>
      <c r="D211" s="288">
        <v>245656</v>
      </c>
      <c r="E211" s="175">
        <f t="shared" si="11"/>
        <v>45186098</v>
      </c>
      <c r="H211" s="256"/>
    </row>
    <row r="212" spans="1:8" ht="12.6" customHeight="1" x14ac:dyDescent="0.25">
      <c r="A212" s="173" t="s">
        <v>336</v>
      </c>
      <c r="B212" s="288"/>
      <c r="C212" s="288"/>
      <c r="D212" s="288"/>
      <c r="E212" s="175">
        <f t="shared" si="11"/>
        <v>0</v>
      </c>
      <c r="H212" s="256"/>
    </row>
    <row r="213" spans="1:8" ht="12.6" customHeight="1" x14ac:dyDescent="0.25">
      <c r="A213" s="173" t="s">
        <v>337</v>
      </c>
      <c r="B213" s="288">
        <v>90175646</v>
      </c>
      <c r="C213" s="288">
        <v>6753352</v>
      </c>
      <c r="D213" s="288">
        <v>7604435</v>
      </c>
      <c r="E213" s="175">
        <f t="shared" si="11"/>
        <v>89324563</v>
      </c>
      <c r="H213" s="256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183159251</v>
      </c>
      <c r="C217" s="191">
        <f>SUM(C208:C216)</f>
        <v>13971493</v>
      </c>
      <c r="D217" s="175">
        <f>SUM(D208:D216)</f>
        <v>7854161</v>
      </c>
      <c r="E217" s="175">
        <f>SUM(E208:E216)</f>
        <v>189276583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7" t="s">
        <v>1255</v>
      </c>
      <c r="C220" s="297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18448591.690000001</v>
      </c>
      <c r="D221" s="172">
        <f>C221</f>
        <v>18448591.690000001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111627254.02999999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308644038.39999992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4304355.79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49330081.349999964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473905729.56999987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7039240.2399999965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7039240.2399999965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10546159.370000001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10546159.370000001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509939720.86999989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52909577.780000009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149719797.15000004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88062550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5768532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4163094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5324278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1183139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131005867.93000004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123807815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f>2315000+1545175+2990949</f>
        <v>6851124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130658939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8276003.7400000002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5129906.5599999996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94359485.730000004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29218621.859999999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78070125.090000004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109541795.10999998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3394449.8200000003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327990387.90999997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189276581.75000003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138713806.15999994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630664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17953310.169999998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18583974.169999998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418962587.25999999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5888997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5716870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8132520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2623094+307120+2892177+1010000</f>
        <v>6832391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3094516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29665294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111346100+C313</f>
        <v>114440616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4463493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118904109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3094516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115809593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273487700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418962587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418962587.25999999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v>460168841.92999995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415584751.82000005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875753593.75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18448591.690000001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v>473905729.57000041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7039240.2399999965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10546159.370000001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509939720.87000042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365813872.87999958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13021191.719999969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13021191.719999969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378835064.59999955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189">
        <v>103256900.64999999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31070523.410000004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97401757.75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89063236.470000029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1432616.6699999997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13292765.220000001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11177141.169999996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1476698.47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2394817.61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8897533.0499999989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5127844.54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1397035.9799999997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365988870.99000019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12846193.609999359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-2751093.5499999989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10095100.05999936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10095100.05999936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Confluence Health:Central Washington Hospital   H-0     FYE 12/31/2018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11387</v>
      </c>
      <c r="C414" s="194">
        <f>E138</f>
        <v>11387</v>
      </c>
      <c r="D414" s="179"/>
    </row>
    <row r="415" spans="1:5" ht="12.6" customHeight="1" x14ac:dyDescent="0.25">
      <c r="A415" s="179" t="s">
        <v>464</v>
      </c>
      <c r="B415" s="179">
        <f>D111</f>
        <v>45730</v>
      </c>
      <c r="C415" s="179">
        <f>E139</f>
        <v>45730</v>
      </c>
      <c r="D415" s="194">
        <f>SUM(C59:H59)+N59</f>
        <v>45730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191</v>
      </c>
      <c r="C417" s="194">
        <f>E144</f>
        <v>191</v>
      </c>
      <c r="D417" s="179"/>
    </row>
    <row r="418" spans="1:7" ht="12.6" customHeight="1" x14ac:dyDescent="0.25">
      <c r="A418" s="179" t="s">
        <v>466</v>
      </c>
      <c r="B418" s="179">
        <f>D112</f>
        <v>3974</v>
      </c>
      <c r="C418" s="179">
        <f>E145</f>
        <v>3974</v>
      </c>
      <c r="D418" s="179">
        <f>K59+L59</f>
        <v>3974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103256900.64999999</v>
      </c>
      <c r="C427" s="179">
        <f t="shared" ref="C427:C434" si="13">CE61</f>
        <v>103256900.65000001</v>
      </c>
      <c r="D427" s="179"/>
    </row>
    <row r="428" spans="1:7" ht="12.6" customHeight="1" x14ac:dyDescent="0.25">
      <c r="A428" s="179" t="s">
        <v>3</v>
      </c>
      <c r="B428" s="179">
        <f t="shared" si="12"/>
        <v>31070523.410000004</v>
      </c>
      <c r="C428" s="179">
        <f t="shared" si="13"/>
        <v>31070523</v>
      </c>
      <c r="D428" s="179">
        <f>D173</f>
        <v>31070523.410000004</v>
      </c>
    </row>
    <row r="429" spans="1:7" ht="12.6" customHeight="1" x14ac:dyDescent="0.25">
      <c r="A429" s="179" t="s">
        <v>236</v>
      </c>
      <c r="B429" s="179">
        <f t="shared" si="12"/>
        <v>97401757.75</v>
      </c>
      <c r="C429" s="179">
        <f t="shared" si="13"/>
        <v>97401757.750000015</v>
      </c>
      <c r="D429" s="179"/>
    </row>
    <row r="430" spans="1:7" ht="12.6" customHeight="1" x14ac:dyDescent="0.25">
      <c r="A430" s="179" t="s">
        <v>237</v>
      </c>
      <c r="B430" s="179">
        <f t="shared" si="12"/>
        <v>89063236.470000029</v>
      </c>
      <c r="C430" s="179">
        <f t="shared" si="13"/>
        <v>89063236.469999984</v>
      </c>
      <c r="D430" s="179"/>
    </row>
    <row r="431" spans="1:7" ht="12.6" customHeight="1" x14ac:dyDescent="0.25">
      <c r="A431" s="179" t="s">
        <v>444</v>
      </c>
      <c r="B431" s="179">
        <f t="shared" si="12"/>
        <v>1432616.6699999997</v>
      </c>
      <c r="C431" s="179">
        <f t="shared" si="13"/>
        <v>1432616.6699999997</v>
      </c>
      <c r="D431" s="179"/>
    </row>
    <row r="432" spans="1:7" ht="12.6" customHeight="1" x14ac:dyDescent="0.25">
      <c r="A432" s="179" t="s">
        <v>445</v>
      </c>
      <c r="B432" s="179">
        <f t="shared" si="12"/>
        <v>13292765.220000001</v>
      </c>
      <c r="C432" s="179">
        <f t="shared" si="13"/>
        <v>13292765.220000003</v>
      </c>
      <c r="D432" s="179"/>
    </row>
    <row r="433" spans="1:7" ht="12.6" customHeight="1" x14ac:dyDescent="0.25">
      <c r="A433" s="179" t="s">
        <v>6</v>
      </c>
      <c r="B433" s="179">
        <f t="shared" si="12"/>
        <v>11177141.169999996</v>
      </c>
      <c r="C433" s="179">
        <f t="shared" si="13"/>
        <v>11177142</v>
      </c>
      <c r="D433" s="179">
        <f>C217</f>
        <v>13971493</v>
      </c>
    </row>
    <row r="434" spans="1:7" ht="12.6" customHeight="1" x14ac:dyDescent="0.25">
      <c r="A434" s="179" t="s">
        <v>474</v>
      </c>
      <c r="B434" s="179">
        <f t="shared" si="12"/>
        <v>1476698.47</v>
      </c>
      <c r="C434" s="179">
        <f t="shared" si="13"/>
        <v>1476698.47</v>
      </c>
      <c r="D434" s="179">
        <f>D177</f>
        <v>1476698.47</v>
      </c>
    </row>
    <row r="435" spans="1:7" ht="12.6" customHeight="1" x14ac:dyDescent="0.25">
      <c r="A435" s="179" t="s">
        <v>447</v>
      </c>
      <c r="B435" s="179">
        <f t="shared" si="12"/>
        <v>2394817.61</v>
      </c>
      <c r="C435" s="179"/>
      <c r="D435" s="179">
        <f>D181</f>
        <v>2394817.61</v>
      </c>
    </row>
    <row r="436" spans="1:7" ht="12.6" customHeight="1" x14ac:dyDescent="0.25">
      <c r="A436" s="179" t="s">
        <v>475</v>
      </c>
      <c r="B436" s="179">
        <f t="shared" si="12"/>
        <v>8897533.0499999989</v>
      </c>
      <c r="C436" s="179"/>
      <c r="D436" s="179">
        <f>D186</f>
        <v>8897533.0499999989</v>
      </c>
    </row>
    <row r="437" spans="1:7" ht="12.6" customHeight="1" x14ac:dyDescent="0.25">
      <c r="A437" s="194" t="s">
        <v>449</v>
      </c>
      <c r="B437" s="194">
        <f t="shared" si="12"/>
        <v>5127844.54</v>
      </c>
      <c r="C437" s="194"/>
      <c r="D437" s="194">
        <f>D190</f>
        <v>5127844.54</v>
      </c>
    </row>
    <row r="438" spans="1:7" ht="12.6" customHeight="1" x14ac:dyDescent="0.25">
      <c r="A438" s="194" t="s">
        <v>476</v>
      </c>
      <c r="B438" s="194">
        <f>C386+C387+C388</f>
        <v>16420195.199999999</v>
      </c>
      <c r="C438" s="194">
        <f>CD69</f>
        <v>0</v>
      </c>
      <c r="D438" s="194">
        <f>D181+D186+D190</f>
        <v>16420195.199999999</v>
      </c>
    </row>
    <row r="439" spans="1:7" ht="12.6" customHeight="1" x14ac:dyDescent="0.25">
      <c r="A439" s="179" t="s">
        <v>451</v>
      </c>
      <c r="B439" s="194">
        <f>C389</f>
        <v>1397035.9799999997</v>
      </c>
      <c r="C439" s="194">
        <f>SUM(C69:CC69)</f>
        <v>17789442.539999999</v>
      </c>
      <c r="D439" s="179"/>
    </row>
    <row r="440" spans="1:7" ht="12.6" customHeight="1" x14ac:dyDescent="0.25">
      <c r="A440" s="179" t="s">
        <v>477</v>
      </c>
      <c r="B440" s="194">
        <f>B438+B439</f>
        <v>17817231.18</v>
      </c>
      <c r="C440" s="194">
        <f>CE69</f>
        <v>17789442.539999999</v>
      </c>
      <c r="D440" s="179"/>
    </row>
    <row r="441" spans="1:7" ht="12.6" customHeight="1" x14ac:dyDescent="0.25">
      <c r="A441" s="179" t="s">
        <v>478</v>
      </c>
      <c r="B441" s="179">
        <f>D390</f>
        <v>365988870.99000019</v>
      </c>
      <c r="C441" s="179">
        <f>SUM(C427:C437)+C440</f>
        <v>365961082.7700001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18448591.690000001</v>
      </c>
      <c r="C444" s="179">
        <f>C363</f>
        <v>18448591.690000001</v>
      </c>
      <c r="D444" s="179"/>
    </row>
    <row r="445" spans="1:7" ht="12.6" customHeight="1" x14ac:dyDescent="0.25">
      <c r="A445" s="179" t="s">
        <v>343</v>
      </c>
      <c r="B445" s="179">
        <f>D229</f>
        <v>473905729.56999987</v>
      </c>
      <c r="C445" s="179">
        <f>C364</f>
        <v>473905729.57000041</v>
      </c>
      <c r="D445" s="179"/>
    </row>
    <row r="446" spans="1:7" ht="12.6" customHeight="1" x14ac:dyDescent="0.25">
      <c r="A446" s="179" t="s">
        <v>351</v>
      </c>
      <c r="B446" s="179">
        <f>D236</f>
        <v>7039240.2399999965</v>
      </c>
      <c r="C446" s="179">
        <f>C365</f>
        <v>7039240.2399999965</v>
      </c>
      <c r="D446" s="179"/>
    </row>
    <row r="447" spans="1:7" ht="12.6" customHeight="1" x14ac:dyDescent="0.25">
      <c r="A447" s="179" t="s">
        <v>356</v>
      </c>
      <c r="B447" s="179">
        <f>D240</f>
        <v>10546159.370000001</v>
      </c>
      <c r="C447" s="179">
        <f>C366</f>
        <v>10546159.370000001</v>
      </c>
      <c r="D447" s="179"/>
    </row>
    <row r="448" spans="1:7" ht="12.6" customHeight="1" x14ac:dyDescent="0.25">
      <c r="A448" s="179" t="s">
        <v>358</v>
      </c>
      <c r="B448" s="179">
        <f>D242</f>
        <v>509939720.86999989</v>
      </c>
      <c r="C448" s="179">
        <f>D367</f>
        <v>509939720.87000042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7039240.2399999965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13021191.719999969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460168841.92999995</v>
      </c>
      <c r="C463" s="194">
        <f>CE73</f>
        <v>460168841.38</v>
      </c>
      <c r="D463" s="194">
        <f>E141+E147+E153</f>
        <v>460168841.92999995</v>
      </c>
    </row>
    <row r="464" spans="1:7" ht="12.6" customHeight="1" x14ac:dyDescent="0.25">
      <c r="A464" s="179" t="s">
        <v>246</v>
      </c>
      <c r="B464" s="194">
        <f>C360</f>
        <v>415584751.82000005</v>
      </c>
      <c r="C464" s="194">
        <f>CE74</f>
        <v>415584751.82000005</v>
      </c>
      <c r="D464" s="194">
        <f>E142+E148+E154</f>
        <v>415584751.82000005</v>
      </c>
    </row>
    <row r="465" spans="1:7" ht="12.6" customHeight="1" x14ac:dyDescent="0.25">
      <c r="A465" s="179" t="s">
        <v>247</v>
      </c>
      <c r="B465" s="194">
        <f>D361</f>
        <v>875753593.75</v>
      </c>
      <c r="C465" s="194">
        <f>CE75</f>
        <v>875753593.19999993</v>
      </c>
      <c r="D465" s="194">
        <f>D463+D464</f>
        <v>875753593.75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8276003.7400000002</v>
      </c>
      <c r="C468" s="179">
        <f>E195</f>
        <v>8276004</v>
      </c>
      <c r="D468" s="179"/>
    </row>
    <row r="469" spans="1:7" ht="12.6" customHeight="1" x14ac:dyDescent="0.25">
      <c r="A469" s="179" t="s">
        <v>333</v>
      </c>
      <c r="B469" s="179">
        <f t="shared" si="14"/>
        <v>5129906.5599999996</v>
      </c>
      <c r="C469" s="179">
        <f>E196</f>
        <v>5129907</v>
      </c>
      <c r="D469" s="179"/>
    </row>
    <row r="470" spans="1:7" ht="12.6" customHeight="1" x14ac:dyDescent="0.25">
      <c r="A470" s="179" t="s">
        <v>334</v>
      </c>
      <c r="B470" s="179">
        <f t="shared" si="14"/>
        <v>94359485.730000004</v>
      </c>
      <c r="C470" s="179">
        <f>E197</f>
        <v>123578106</v>
      </c>
      <c r="D470" s="179"/>
    </row>
    <row r="471" spans="1:7" ht="12.6" customHeight="1" x14ac:dyDescent="0.25">
      <c r="A471" s="179" t="s">
        <v>494</v>
      </c>
      <c r="B471" s="179">
        <f t="shared" si="14"/>
        <v>29218621.859999999</v>
      </c>
      <c r="C471" s="179">
        <f>E198</f>
        <v>78070125</v>
      </c>
      <c r="D471" s="179"/>
    </row>
    <row r="472" spans="1:7" ht="12.6" customHeight="1" x14ac:dyDescent="0.25">
      <c r="A472" s="179" t="s">
        <v>377</v>
      </c>
      <c r="B472" s="179">
        <f t="shared" si="14"/>
        <v>78070125.090000004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109541795.10999998</v>
      </c>
      <c r="C473" s="179">
        <f>SUM(E200:E201)</f>
        <v>109541796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3394449.8200000003</v>
      </c>
      <c r="C475" s="179">
        <f>E203</f>
        <v>3394451</v>
      </c>
      <c r="D475" s="179"/>
    </row>
    <row r="476" spans="1:7" ht="12.6" customHeight="1" x14ac:dyDescent="0.25">
      <c r="A476" s="179" t="s">
        <v>203</v>
      </c>
      <c r="B476" s="179">
        <f>D275</f>
        <v>327990387.90999997</v>
      </c>
      <c r="C476" s="179">
        <f>E204</f>
        <v>327990389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189276581.75000003</v>
      </c>
      <c r="C478" s="179">
        <f>E217</f>
        <v>189276583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418962587.25999999</v>
      </c>
    </row>
    <row r="482" spans="1:12" ht="12.6" customHeight="1" x14ac:dyDescent="0.25">
      <c r="A482" s="180" t="s">
        <v>499</v>
      </c>
      <c r="C482" s="180">
        <f>D339</f>
        <v>418962587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168</v>
      </c>
      <c r="B493" s="258" t="str">
        <f>RIGHT('Prior Year'!C82,4)</f>
        <v>2017</v>
      </c>
      <c r="C493" s="258" t="str">
        <f>RIGHT(C82,4)</f>
        <v>2018</v>
      </c>
      <c r="D493" s="258" t="str">
        <f>RIGHT('Prior Year'!C82,4)</f>
        <v>2017</v>
      </c>
      <c r="E493" s="258" t="str">
        <f>RIGHT(C82,4)</f>
        <v>2018</v>
      </c>
      <c r="F493" s="258" t="str">
        <f>RIGHT('Prior Year'!C82,4)</f>
        <v>2017</v>
      </c>
      <c r="G493" s="258" t="str">
        <f>RIGHT(C82,4)</f>
        <v>2018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f>'Prior Year'!C71</f>
        <v>8073596.7799999993</v>
      </c>
      <c r="C496" s="237">
        <f>C71</f>
        <v>8015713.3800000018</v>
      </c>
      <c r="D496" s="237">
        <f>'Prior Year'!C59</f>
        <v>4889</v>
      </c>
      <c r="E496" s="180">
        <f>C59</f>
        <v>4754</v>
      </c>
      <c r="F496" s="260">
        <f t="shared" ref="F496:G511" si="15">IF(B496=0,"",IF(D496=0,"",B496/D496))</f>
        <v>1651.3799918183677</v>
      </c>
      <c r="G496" s="261">
        <f t="shared" si="15"/>
        <v>1686.098733697939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f>'Prior Year'!D71</f>
        <v>9261270.9600000009</v>
      </c>
      <c r="C497" s="237">
        <f>D71</f>
        <v>10081495.769999998</v>
      </c>
      <c r="D497" s="237">
        <f>'Prior Year'!D59</f>
        <v>11492</v>
      </c>
      <c r="E497" s="180">
        <f>D59</f>
        <v>12059</v>
      </c>
      <c r="F497" s="260">
        <f t="shared" si="15"/>
        <v>805.88852767142373</v>
      </c>
      <c r="G497" s="260">
        <f t="shared" si="15"/>
        <v>836.01424413301254</v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f>'Prior Year'!E71</f>
        <v>22903877.770000003</v>
      </c>
      <c r="C498" s="237">
        <f>E71</f>
        <v>24471376.619999997</v>
      </c>
      <c r="D498" s="237">
        <f>'Prior Year'!E59</f>
        <v>29514</v>
      </c>
      <c r="E498" s="180">
        <f>E59</f>
        <v>28917</v>
      </c>
      <c r="F498" s="260">
        <f t="shared" si="15"/>
        <v>776.03434878362827</v>
      </c>
      <c r="G498" s="260">
        <f t="shared" si="15"/>
        <v>846.26263512812523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f>'Prior Year'!J71</f>
        <v>140.26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f>'Prior Year'!K71</f>
        <v>3335141.83</v>
      </c>
      <c r="C504" s="237">
        <f>K71</f>
        <v>2553423.7999999998</v>
      </c>
      <c r="D504" s="237">
        <f>'Prior Year'!K59</f>
        <v>5984</v>
      </c>
      <c r="E504" s="180">
        <f>K59</f>
        <v>3974</v>
      </c>
      <c r="F504" s="260">
        <f t="shared" si="15"/>
        <v>557.3432202540107</v>
      </c>
      <c r="G504" s="260">
        <f t="shared" si="15"/>
        <v>642.53241066935072</v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f>'Prior Year'!O71</f>
        <v>3621911.58</v>
      </c>
      <c r="C508" s="237">
        <f>O71</f>
        <v>3825477.1999999997</v>
      </c>
      <c r="D508" s="237">
        <f>'Prior Year'!O59</f>
        <v>1351</v>
      </c>
      <c r="E508" s="180">
        <f>O59</f>
        <v>1282</v>
      </c>
      <c r="F508" s="260">
        <f t="shared" si="15"/>
        <v>2680.9116062176167</v>
      </c>
      <c r="G508" s="260">
        <f t="shared" si="15"/>
        <v>2983.9915756630262</v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f>'Prior Year'!P71</f>
        <v>14461160.470000003</v>
      </c>
      <c r="C509" s="237">
        <f>P71</f>
        <v>15295358.57</v>
      </c>
      <c r="D509" s="237">
        <f>'Prior Year'!P59</f>
        <v>831174</v>
      </c>
      <c r="E509" s="180">
        <f>P59</f>
        <v>827514</v>
      </c>
      <c r="F509" s="260">
        <f t="shared" si="15"/>
        <v>17.398475493699276</v>
      </c>
      <c r="G509" s="260">
        <f t="shared" si="15"/>
        <v>18.483504291166071</v>
      </c>
      <c r="H509" s="262" t="str">
        <f t="shared" si="16"/>
        <v/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f>'Prior Year'!Q71</f>
        <v>1788837.5100000002</v>
      </c>
      <c r="C510" s="237">
        <f>Q71</f>
        <v>1874835.9400000002</v>
      </c>
      <c r="D510" s="237">
        <f>'Prior Year'!Q59</f>
        <v>831174</v>
      </c>
      <c r="E510" s="180">
        <f>Q59</f>
        <v>410659</v>
      </c>
      <c r="F510" s="260">
        <f t="shared" si="15"/>
        <v>2.1521817453385212</v>
      </c>
      <c r="G510" s="260">
        <f t="shared" si="15"/>
        <v>4.565432487781834</v>
      </c>
      <c r="H510" s="262">
        <f t="shared" si="16"/>
        <v>1.1213043450769198</v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f>'Prior Year'!R71</f>
        <v>2909967.8500000006</v>
      </c>
      <c r="C511" s="237">
        <f>R71</f>
        <v>2705970.9199999995</v>
      </c>
      <c r="D511" s="237">
        <f>'Prior Year'!R59</f>
        <v>831174</v>
      </c>
      <c r="E511" s="180">
        <f>R59</f>
        <v>826140</v>
      </c>
      <c r="F511" s="260">
        <f t="shared" si="15"/>
        <v>3.5010332974804319</v>
      </c>
      <c r="G511" s="260">
        <f t="shared" si="15"/>
        <v>3.275438690778802</v>
      </c>
      <c r="H511" s="262" t="str">
        <f t="shared" si="16"/>
        <v/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f>'Prior Year'!S71</f>
        <v>32902274.809999999</v>
      </c>
      <c r="C512" s="237">
        <f>S71</f>
        <v>30578221.170000002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f>'Prior Year'!T71</f>
        <v>1251058.8700000001</v>
      </c>
      <c r="C513" s="237">
        <f>T71</f>
        <v>1106995.6599999999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f>'Prior Year'!U71</f>
        <v>10462837.950000001</v>
      </c>
      <c r="C514" s="237">
        <f>U71</f>
        <v>18909801.690000001</v>
      </c>
      <c r="D514" s="237">
        <f>'Prior Year'!U59</f>
        <v>1618554</v>
      </c>
      <c r="E514" s="180">
        <f>U59</f>
        <v>484938</v>
      </c>
      <c r="F514" s="260">
        <f t="shared" si="17"/>
        <v>6.4643119413995462</v>
      </c>
      <c r="G514" s="260">
        <f t="shared" si="17"/>
        <v>38.994266669141211</v>
      </c>
      <c r="H514" s="262">
        <f t="shared" si="16"/>
        <v>5.0322377729653338</v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f>'Prior Year'!V71</f>
        <v>39327.71</v>
      </c>
      <c r="C515" s="237">
        <f>V71</f>
        <v>29724.62</v>
      </c>
      <c r="D515" s="237">
        <f>'Prior Year'!V59</f>
        <v>129896</v>
      </c>
      <c r="E515" s="180">
        <f>V59</f>
        <v>2824</v>
      </c>
      <c r="F515" s="260">
        <f t="shared" si="17"/>
        <v>0.30276305659912545</v>
      </c>
      <c r="G515" s="260">
        <f t="shared" si="17"/>
        <v>10.525715297450425</v>
      </c>
      <c r="H515" s="262">
        <f t="shared" si="16"/>
        <v>33.76552065395164</v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f>'Prior Year'!W71</f>
        <v>1091167.0699999998</v>
      </c>
      <c r="C516" s="237">
        <f>W71</f>
        <v>1121057.8899999999</v>
      </c>
      <c r="D516" s="237">
        <f>'Prior Year'!W59</f>
        <v>28311</v>
      </c>
      <c r="E516" s="180">
        <f>W59</f>
        <v>4477</v>
      </c>
      <c r="F516" s="260">
        <f t="shared" si="17"/>
        <v>38.542159231394152</v>
      </c>
      <c r="G516" s="260">
        <f t="shared" si="17"/>
        <v>250.40381728836272</v>
      </c>
      <c r="H516" s="262">
        <f t="shared" si="16"/>
        <v>5.4968808775092874</v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f>'Prior Year'!X71</f>
        <v>1483553.29</v>
      </c>
      <c r="C517" s="237">
        <f>X71</f>
        <v>1601244.2900000003</v>
      </c>
      <c r="D517" s="237">
        <f>'Prior Year'!X59</f>
        <v>47317</v>
      </c>
      <c r="E517" s="180">
        <f>X59</f>
        <v>14169</v>
      </c>
      <c r="F517" s="260">
        <f t="shared" si="17"/>
        <v>31.353494304372635</v>
      </c>
      <c r="G517" s="260">
        <f t="shared" si="17"/>
        <v>113.01039522902113</v>
      </c>
      <c r="H517" s="262">
        <f t="shared" si="16"/>
        <v>2.6043955462170105</v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f>'Prior Year'!Y71</f>
        <v>9743839.7699999977</v>
      </c>
      <c r="C518" s="237">
        <f>Y71</f>
        <v>10696093.959999999</v>
      </c>
      <c r="D518" s="237">
        <f>'Prior Year'!Y59</f>
        <v>56206</v>
      </c>
      <c r="E518" s="180">
        <f>Y59</f>
        <v>120995</v>
      </c>
      <c r="F518" s="260">
        <f t="shared" si="17"/>
        <v>173.35942372700418</v>
      </c>
      <c r="G518" s="260">
        <f t="shared" si="17"/>
        <v>88.401123682796808</v>
      </c>
      <c r="H518" s="262">
        <f t="shared" si="16"/>
        <v>-0.49007027260308911</v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f>'Prior Year'!AA71</f>
        <v>0</v>
      </c>
      <c r="C520" s="237">
        <f>AA71</f>
        <v>0</v>
      </c>
      <c r="D520" s="237">
        <f>'Prior Year'!AA59</f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f>'Prior Year'!AB71</f>
        <v>18713189.32</v>
      </c>
      <c r="C521" s="237">
        <f>AB71</f>
        <v>19921162.600000005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f>'Prior Year'!AC71</f>
        <v>2827320.54</v>
      </c>
      <c r="C522" s="237">
        <f>AC71</f>
        <v>2690552.7499999995</v>
      </c>
      <c r="D522" s="237">
        <f>'Prior Year'!AC59</f>
        <v>29898</v>
      </c>
      <c r="E522" s="180">
        <f>AC59</f>
        <v>15041</v>
      </c>
      <c r="F522" s="260">
        <f t="shared" si="17"/>
        <v>94.565540838852101</v>
      </c>
      <c r="G522" s="260">
        <f t="shared" si="17"/>
        <v>178.88124127385143</v>
      </c>
      <c r="H522" s="262">
        <f t="shared" si="16"/>
        <v>0.89161125381475492</v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f>'Prior Year'!AD71</f>
        <v>797640.22</v>
      </c>
      <c r="C523" s="237">
        <f>AD71</f>
        <v>767630.66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f>'Prior Year'!AE71</f>
        <v>3573344.6999999997</v>
      </c>
      <c r="C524" s="237">
        <f>AE71</f>
        <v>3670702.6300000008</v>
      </c>
      <c r="D524" s="237">
        <f>'Prior Year'!AE59</f>
        <v>25139</v>
      </c>
      <c r="E524" s="180">
        <f>AE59</f>
        <v>38602</v>
      </c>
      <c r="F524" s="260">
        <f t="shared" si="17"/>
        <v>142.14347030510362</v>
      </c>
      <c r="G524" s="260">
        <f t="shared" si="17"/>
        <v>95.090996062380214</v>
      </c>
      <c r="H524" s="262">
        <f t="shared" si="16"/>
        <v>-0.33102100393164524</v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f>'Prior Year'!AG71</f>
        <v>12179371.920000002</v>
      </c>
      <c r="C526" s="237">
        <f>AG71</f>
        <v>12797717.060000001</v>
      </c>
      <c r="D526" s="237">
        <f>'Prior Year'!AG59</f>
        <v>37006</v>
      </c>
      <c r="E526" s="180">
        <f>AG59</f>
        <v>37235</v>
      </c>
      <c r="F526" s="260">
        <f t="shared" si="17"/>
        <v>329.11884343079504</v>
      </c>
      <c r="G526" s="260">
        <f t="shared" si="17"/>
        <v>343.70127729286963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f>'Prior Year'!AI71</f>
        <v>2663874.41</v>
      </c>
      <c r="C528" s="237">
        <f>AI71</f>
        <v>2817107.6999999993</v>
      </c>
      <c r="D528" s="237">
        <f>'Prior Year'!AI59</f>
        <v>6930</v>
      </c>
      <c r="E528" s="180">
        <f>AI59</f>
        <v>5758</v>
      </c>
      <c r="F528" s="260">
        <f t="shared" ref="F528:G540" si="18">IF(B528=0,"",IF(D528=0,"",B528/D528))</f>
        <v>384.39746176046179</v>
      </c>
      <c r="G528" s="260">
        <f t="shared" si="18"/>
        <v>489.25107676276474</v>
      </c>
      <c r="H528" s="262">
        <f t="shared" si="16"/>
        <v>0.27277395257006853</v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f>'Prior Year'!AJ71</f>
        <v>30626744.539999999</v>
      </c>
      <c r="C529" s="237">
        <f>AJ71</f>
        <v>36547384.479999997</v>
      </c>
      <c r="D529" s="237">
        <f>'Prior Year'!AJ59</f>
        <v>20957.816666666666</v>
      </c>
      <c r="E529" s="180">
        <f>AJ59</f>
        <v>43734</v>
      </c>
      <c r="F529" s="260">
        <f t="shared" si="18"/>
        <v>1461.3518682369108</v>
      </c>
      <c r="G529" s="260">
        <f t="shared" si="18"/>
        <v>835.67440618283251</v>
      </c>
      <c r="H529" s="262">
        <f t="shared" si="16"/>
        <v>-0.42814976711183494</v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f>'Prior Year'!AK71</f>
        <v>1149586.81</v>
      </c>
      <c r="C530" s="237">
        <f>AK71</f>
        <v>1175414.23</v>
      </c>
      <c r="D530" s="237">
        <f>'Prior Year'!AK59</f>
        <v>15228</v>
      </c>
      <c r="E530" s="180">
        <f>AK59</f>
        <v>9605</v>
      </c>
      <c r="F530" s="260">
        <f t="shared" si="18"/>
        <v>75.491647622800102</v>
      </c>
      <c r="G530" s="260">
        <f t="shared" si="18"/>
        <v>122.37524518479958</v>
      </c>
      <c r="H530" s="262">
        <f t="shared" si="16"/>
        <v>0.62104350664403341</v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f>'Prior Year'!AL71</f>
        <v>797878.76</v>
      </c>
      <c r="C531" s="237">
        <f>AL71</f>
        <v>802433.7300000001</v>
      </c>
      <c r="D531" s="237">
        <f>'Prior Year'!AL59</f>
        <v>15859</v>
      </c>
      <c r="E531" s="180">
        <f>AL59</f>
        <v>7613</v>
      </c>
      <c r="F531" s="260">
        <f t="shared" si="18"/>
        <v>50.310786304306703</v>
      </c>
      <c r="G531" s="260">
        <f t="shared" si="18"/>
        <v>105.40309076579537</v>
      </c>
      <c r="H531" s="262">
        <f t="shared" si="16"/>
        <v>1.0950396228804848</v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f>'Prior Year'!AP71</f>
        <v>7436089.6900000004</v>
      </c>
      <c r="C535" s="237">
        <f>AP71</f>
        <v>12669748.230000002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f>'Prior Year'!AR71</f>
        <v>7747664.0099999998</v>
      </c>
      <c r="C537" s="237">
        <f>AR71</f>
        <v>8879631.7799999993</v>
      </c>
      <c r="D537" s="237">
        <f>'Prior Year'!AR59</f>
        <v>30904</v>
      </c>
      <c r="E537" s="180">
        <f>AR59</f>
        <v>35707</v>
      </c>
      <c r="F537" s="260">
        <f t="shared" si="18"/>
        <v>250.70100990163084</v>
      </c>
      <c r="G537" s="260">
        <f t="shared" si="18"/>
        <v>248.68042064581172</v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f>'Prior Year'!AV71</f>
        <v>0</v>
      </c>
      <c r="C541" s="237">
        <f>AV71</f>
        <v>0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f>'Prior Year'!AY71</f>
        <v>2688408.0000000009</v>
      </c>
      <c r="C544" s="237">
        <f>AY71</f>
        <v>4986017.6500000004</v>
      </c>
      <c r="D544" s="237">
        <f>'Prior Year'!AY59</f>
        <v>645376</v>
      </c>
      <c r="E544" s="180">
        <f>AY59</f>
        <v>1024722</v>
      </c>
      <c r="F544" s="260">
        <f t="shared" ref="F544:G550" si="19">IF(B544=0,"",IF(D544=0,"",B544/D544))</f>
        <v>4.1656460729869114</v>
      </c>
      <c r="G544" s="260">
        <f t="shared" si="19"/>
        <v>4.8657271435569847</v>
      </c>
      <c r="H544" s="262" t="str">
        <f t="shared" si="16"/>
        <v/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f>'Prior Year'!AZ71</f>
        <v>0</v>
      </c>
      <c r="C545" s="237">
        <f>AZ71</f>
        <v>0</v>
      </c>
      <c r="D545" s="237">
        <f>'Prior Year'!AZ59</f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f>'Prior Year'!BA71</f>
        <v>1014573.63</v>
      </c>
      <c r="C546" s="237">
        <f>BA71</f>
        <v>1171567.21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f>'Prior Year'!BB71</f>
        <v>3233653.89</v>
      </c>
      <c r="C547" s="237">
        <f>BB71</f>
        <v>3586075.69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f>'Prior Year'!BD71</f>
        <v>-190299.25</v>
      </c>
      <c r="C549" s="237">
        <f>BD71</f>
        <v>363977.42000000004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f>'Prior Year'!BE71</f>
        <v>3076220.5300000003</v>
      </c>
      <c r="C550" s="237">
        <f>BE71</f>
        <v>3201292.4899999998</v>
      </c>
      <c r="D550" s="237">
        <f>'Prior Year'!BE59</f>
        <v>466442</v>
      </c>
      <c r="E550" s="180">
        <f>BE59</f>
        <v>506566</v>
      </c>
      <c r="F550" s="260">
        <f t="shared" si="19"/>
        <v>6.5950761938247418</v>
      </c>
      <c r="G550" s="260">
        <f t="shared" si="19"/>
        <v>6.319596044740468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f>'Prior Year'!BF71</f>
        <v>3383263.82</v>
      </c>
      <c r="C551" s="237">
        <f>BF71</f>
        <v>3647023.0900000003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f>'Prior Year'!BG71</f>
        <v>335340.40000000002</v>
      </c>
      <c r="C552" s="237">
        <f>BG71</f>
        <v>309054.67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f>'Prior Year'!BH71</f>
        <v>1630748.06</v>
      </c>
      <c r="C553" s="237">
        <f>BH71</f>
        <v>1637384.03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f>'Prior Year'!BI71</f>
        <v>1599.62</v>
      </c>
      <c r="C554" s="237">
        <f>BI71</f>
        <v>119.33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f>'Prior Year'!BJ71</f>
        <v>0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f>'Prior Year'!BK71</f>
        <v>2482.59</v>
      </c>
      <c r="C556" s="237">
        <f>BK71</f>
        <v>41.04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f>'Prior Year'!BL71</f>
        <v>1703708.14</v>
      </c>
      <c r="C557" s="237">
        <f>BL71</f>
        <v>1767352.1200000006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f>'Prior Year'!BM71</f>
        <v>1646466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f>'Prior Year'!BN71</f>
        <v>76975272.099999994</v>
      </c>
      <c r="C559" s="237">
        <f>BN71</f>
        <v>101487862.80000001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f>'Prior Year'!BO71</f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f>'Prior Year'!BP71</f>
        <v>2896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f>'Prior Year'!BR71</f>
        <v>90846.98</v>
      </c>
      <c r="C563" s="237">
        <f>BR71</f>
        <v>119701.29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f>'Prior Year'!BS71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f>'Prior Year'!BT71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f>'Prior Year'!BV71</f>
        <v>45520.81</v>
      </c>
      <c r="C567" s="237">
        <f>BV71</f>
        <v>0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f>'Prior Year'!BW71</f>
        <v>-1993.6</v>
      </c>
      <c r="C568" s="237">
        <f>BW71</f>
        <v>519.24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f>'Prior Year'!BX71</f>
        <v>224785.82</v>
      </c>
      <c r="C569" s="237">
        <f>BX71</f>
        <v>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f>'Prior Year'!BY71</f>
        <v>452931.02</v>
      </c>
      <c r="C570" s="237">
        <f>BY71</f>
        <v>595157.83000000007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f>'Prior Year'!BZ71</f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f>'Prior Year'!CA71</f>
        <v>7028928.8800000008</v>
      </c>
      <c r="C572" s="237">
        <f>CA71</f>
        <v>7481659.5399999982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f>'Prior Year'!CB71</f>
        <v>0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f>'Prior Year'!CC71</f>
        <v>27788</v>
      </c>
      <c r="C574" s="237">
        <f>CC71</f>
        <v>0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f>'Prior Year'!CD71</f>
        <v>0</v>
      </c>
      <c r="C575" s="237">
        <f>CD71</f>
        <v>0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315232</v>
      </c>
      <c r="E612" s="180">
        <f>SUM(C624:D647)+SUM(C668:D713)</f>
        <v>264056833.36565691</v>
      </c>
      <c r="F612" s="180">
        <f>CE64-(AX64+BD64+BE64+BG64+BJ64+BN64+BP64+BQ64+CB64+CC64+CD64)</f>
        <v>88346422.479999989</v>
      </c>
      <c r="G612" s="180">
        <f>CE77-(AX77+AY77+BD77+BE77+BG77+BJ77+BN77+BP77+BQ77+CB77+CC77+CD77)</f>
        <v>1024721.9999999999</v>
      </c>
      <c r="H612" s="197">
        <f>CE60-(AX60+AY60+AZ60+BD60+BE60+BG60+BJ60+BN60+BO60+BP60+BQ60+BR60+CB60+CC60+CD60)</f>
        <v>1357.33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1976754</v>
      </c>
      <c r="K612" s="180">
        <f>CE75-(AW75+AX75+AY75+AZ75+BA75+BB75+BC75+BD75+BE75+BF75+BG75+BH75+BI75+BJ75+BK75+BL75+BM75+BN75+BO75+BP75+BQ75+BR75+BS75+BT75+BU75+BV75+BW75+BX75+CB75+CC75+CD75)</f>
        <v>875753593.19999993</v>
      </c>
      <c r="L612" s="197">
        <f>CE80-(AW80+AX80+AY80+AZ80+BA80+BB80+BC80+BD80+BE80+BF80+BG80+BH80+BI80+BJ80+BK80+BL80+BM80+BN80+BO80+BP80+BQ80+BR80+BS80+BT80+BU80+BV80+BW80+BX80+BY80+BZ80+CA80+CB80+CC80+CD80)</f>
        <v>436.89574904974597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3201292.4899999998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0</v>
      </c>
      <c r="D615" s="263">
        <f>SUM(C614:C615)</f>
        <v>3201292.4899999998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309054.67</v>
      </c>
      <c r="D618" s="180">
        <f>(D615/D612)*BG76</f>
        <v>2092.0028834001623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101487862.80000001</v>
      </c>
      <c r="D619" s="180">
        <f>(D615/D612)*BN76</f>
        <v>105239.93145959165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101904249.40434301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363977.42000000004</v>
      </c>
      <c r="D624" s="180">
        <f>(D615/D612)*BD76</f>
        <v>57966.759507029739</v>
      </c>
      <c r="E624" s="180">
        <f>(E623/E612)*SUM(C624:D624)</f>
        <v>162835.79695759361</v>
      </c>
      <c r="F624" s="180">
        <f>SUM(C624:E624)</f>
        <v>584779.97646462335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4986017.6500000004</v>
      </c>
      <c r="D625" s="180">
        <f>(D615/D612)*AY76</f>
        <v>116664.70448786924</v>
      </c>
      <c r="E625" s="180">
        <f>(E623/E612)*SUM(C625:D625)</f>
        <v>1969216.2806588481</v>
      </c>
      <c r="F625" s="180">
        <f>(F624/F612)*AY64</f>
        <v>9783.6519222127172</v>
      </c>
      <c r="G625" s="180">
        <f>SUM(C625:F625)</f>
        <v>7081682.2870689314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119701.29</v>
      </c>
      <c r="D626" s="180">
        <f>(D615/D612)*BR76</f>
        <v>15304.118180990507</v>
      </c>
      <c r="E626" s="180">
        <f>(E623/E612)*SUM(C626:D626)</f>
        <v>52100.998905639739</v>
      </c>
      <c r="F626" s="180">
        <f>(F624/F612)*BR64</f>
        <v>589.08347952192003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187695.49056615215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3647023.0900000003</v>
      </c>
      <c r="D629" s="180">
        <f>(D615/D612)*BF76</f>
        <v>31369.887897199518</v>
      </c>
      <c r="E629" s="180">
        <f>(E623/E612)*SUM(C629:D629)</f>
        <v>1419557.5651236763</v>
      </c>
      <c r="F629" s="180">
        <f>(F624/F612)*BF64</f>
        <v>2536.271152406443</v>
      </c>
      <c r="G629" s="180">
        <f>(G625/G612)*BF77</f>
        <v>0</v>
      </c>
      <c r="H629" s="180">
        <f>(H628/H612)*BF60</f>
        <v>8505.7794528405175</v>
      </c>
      <c r="I629" s="180">
        <f>SUM(C629:H629)</f>
        <v>5108992.5936261229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1171567.21</v>
      </c>
      <c r="D630" s="180">
        <f>(D615/D612)*BA76</f>
        <v>141768.73908867119</v>
      </c>
      <c r="E630" s="180">
        <f>(E623/E612)*SUM(C630:D630)</f>
        <v>506839.80566521455</v>
      </c>
      <c r="F630" s="180">
        <f>(F624/F612)*BA64</f>
        <v>1769.5864759909387</v>
      </c>
      <c r="G630" s="180">
        <f>(G625/G612)*BA77</f>
        <v>0</v>
      </c>
      <c r="H630" s="180">
        <f>(H628/H612)*BA60</f>
        <v>2153.0643160579884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3586075.69</v>
      </c>
      <c r="D632" s="180">
        <f>(D615/D612)*BB76</f>
        <v>13405.067019845699</v>
      </c>
      <c r="E632" s="180">
        <f>(E623/E612)*SUM(C632:D632)</f>
        <v>1389103.9293103553</v>
      </c>
      <c r="F632" s="180">
        <f>(F624/F612)*BB64</f>
        <v>87.302614116938329</v>
      </c>
      <c r="G632" s="180">
        <f>(G625/G612)*BB77</f>
        <v>0</v>
      </c>
      <c r="H632" s="180">
        <f>(H628/H612)*BB60</f>
        <v>4530.1468846538019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119.33</v>
      </c>
      <c r="D634" s="180">
        <f>(D615/D612)*BI76</f>
        <v>0</v>
      </c>
      <c r="E634" s="180">
        <f>(E623/E612)*SUM(C634:D634)</f>
        <v>46.051578845457001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41.04</v>
      </c>
      <c r="D635" s="180">
        <f>(D615/D612)*BK76</f>
        <v>0</v>
      </c>
      <c r="E635" s="180">
        <f>(E623/E612)*SUM(C635:D635)</f>
        <v>15.838069184761212</v>
      </c>
      <c r="F635" s="180">
        <f>(F624/F612)*BK64</f>
        <v>0.27165073084358521</v>
      </c>
      <c r="G635" s="180">
        <f>(G625/G612)*BK77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1637384.03</v>
      </c>
      <c r="D636" s="180">
        <f>(D615/D612)*BH76</f>
        <v>23529.954761350367</v>
      </c>
      <c r="E636" s="180">
        <f>(E623/E612)*SUM(C636:D636)</f>
        <v>640976.37915662024</v>
      </c>
      <c r="F636" s="180">
        <f>(F624/F612)*BH64</f>
        <v>53.600912225806766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1767352.1200000006</v>
      </c>
      <c r="D637" s="180">
        <f>(D615/D612)*BL76</f>
        <v>24108.809928116432</v>
      </c>
      <c r="E637" s="180">
        <f>(E623/E612)*SUM(C637:D637)</f>
        <v>691356.77753406856</v>
      </c>
      <c r="F637" s="180">
        <f>(F624/F612)*BL64</f>
        <v>117.19306419733822</v>
      </c>
      <c r="G637" s="180">
        <f>(G625/G612)*BL77</f>
        <v>0</v>
      </c>
      <c r="H637" s="180">
        <f>(H628/H612)*BL60</f>
        <v>4521.8499123375868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26048.482504472893</v>
      </c>
      <c r="E642" s="180">
        <f>(E623/E612)*SUM(C642:D642)</f>
        <v>10052.574757891904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519.24</v>
      </c>
      <c r="D643" s="180">
        <f>(D615/D612)*BW76</f>
        <v>0</v>
      </c>
      <c r="E643" s="180">
        <f>(E623/E612)*SUM(C643:D643)</f>
        <v>200.3839922878999</v>
      </c>
      <c r="F643" s="180">
        <f>(F624/F612)*BW64</f>
        <v>0.14529077831424697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5951.0373285072574</v>
      </c>
      <c r="E644" s="180">
        <f>(E623/E612)*SUM(C644:D644)</f>
        <v>2296.61162110123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595157.83000000007</v>
      </c>
      <c r="D645" s="180">
        <f>(D615/D612)*BY76</f>
        <v>0</v>
      </c>
      <c r="E645" s="180">
        <f>(E623/E612)*SUM(C645:D645)</f>
        <v>229682.03916648036</v>
      </c>
      <c r="F645" s="180">
        <f>(F624/F612)*BY64</f>
        <v>23.537106086908008</v>
      </c>
      <c r="G645" s="180">
        <f>(G625/G612)*BY77</f>
        <v>0</v>
      </c>
      <c r="H645" s="180">
        <f>(H628/H612)*BY60</f>
        <v>555.89714518645553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7481659.5399999982</v>
      </c>
      <c r="D647" s="180">
        <f>(D615/D612)*CA76</f>
        <v>14928.370090282711</v>
      </c>
      <c r="E647" s="180">
        <f>(E623/E612)*SUM(C647:D647)</f>
        <v>2893067.2019896279</v>
      </c>
      <c r="F647" s="180">
        <f>(F624/F612)*CA64</f>
        <v>184.98501325008181</v>
      </c>
      <c r="G647" s="180">
        <f>(G625/G612)*CA77</f>
        <v>0</v>
      </c>
      <c r="H647" s="180">
        <f>(H628/H612)*CA60</f>
        <v>10173.470888399883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130354805.44000001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8015713.3800000018</v>
      </c>
      <c r="D668" s="180">
        <f>(D615/D612)*C76</f>
        <v>163054.36065957768</v>
      </c>
      <c r="E668" s="180">
        <f>(E623/E612)*SUM(C668:D668)</f>
        <v>3156332.5858347849</v>
      </c>
      <c r="F668" s="180">
        <f>(F624/F612)*C64</f>
        <v>4405.4698465017109</v>
      </c>
      <c r="G668" s="180">
        <f>(G625/G612)*C77</f>
        <v>418298.64927599393</v>
      </c>
      <c r="H668" s="180">
        <f>(H628/H612)*C60</f>
        <v>8632.9996950224922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10081495.769999998</v>
      </c>
      <c r="D669" s="180">
        <f>(D615/D612)*D76</f>
        <v>237787.60929521747</v>
      </c>
      <c r="E669" s="180">
        <f>(E623/E612)*SUM(C669:D669)</f>
        <v>3982395.8113653534</v>
      </c>
      <c r="F669" s="180">
        <f>(F624/F612)*D64</f>
        <v>4773.4134803425068</v>
      </c>
      <c r="G669" s="180">
        <f>(G625/G612)*D77</f>
        <v>1262034.1500340567</v>
      </c>
      <c r="H669" s="180">
        <f>(H628/H612)*D60</f>
        <v>13259.944590032144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24471376.619999997</v>
      </c>
      <c r="D670" s="180">
        <f>(D615/D612)*E76</f>
        <v>845230.09701648296</v>
      </c>
      <c r="E670" s="180">
        <f>(E623/E612)*SUM(C670:D670)</f>
        <v>9770130.81645949</v>
      </c>
      <c r="F670" s="180">
        <f>(F624/F612)*E64</f>
        <v>7943.572081567866</v>
      </c>
      <c r="G670" s="180">
        <f>(G625/G612)*E77</f>
        <v>3241183.075539954</v>
      </c>
      <c r="H670" s="180">
        <f>(H628/H612)*E60</f>
        <v>29636.785113522674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2553423.7999999998</v>
      </c>
      <c r="D676" s="180">
        <f>(D615/D612)*K76</f>
        <v>0</v>
      </c>
      <c r="E676" s="180">
        <f>(E623/E612)*SUM(C676:D676)</f>
        <v>985411.8616573069</v>
      </c>
      <c r="F676" s="180">
        <f>(F624/F612)*K64</f>
        <v>671.01880737864542</v>
      </c>
      <c r="G676" s="180">
        <f>(G625/G612)*K77</f>
        <v>657153.8769408107</v>
      </c>
      <c r="H676" s="180">
        <f>(H628/H612)*K60</f>
        <v>3533.1273779885423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3825477.1999999997</v>
      </c>
      <c r="D680" s="180">
        <f>(D615/D612)*O76</f>
        <v>34700.843944555119</v>
      </c>
      <c r="E680" s="180">
        <f>(E623/E612)*SUM(C680:D680)</f>
        <v>1489711.6697244169</v>
      </c>
      <c r="F680" s="180">
        <f>(F624/F612)*O64</f>
        <v>2001.9004070708513</v>
      </c>
      <c r="G680" s="180">
        <f>(G625/G612)*O77</f>
        <v>148364.78739088157</v>
      </c>
      <c r="H680" s="180">
        <f>(H628/H612)*O60</f>
        <v>3748.8486582101518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15295358.57</v>
      </c>
      <c r="D681" s="180">
        <f>(D615/D612)*P76</f>
        <v>128871.43975897116</v>
      </c>
      <c r="E681" s="180">
        <f>(E623/E612)*SUM(C681:D681)</f>
        <v>5952485.9165748712</v>
      </c>
      <c r="F681" s="180">
        <f>(F624/F612)*P64</f>
        <v>34151.524656077017</v>
      </c>
      <c r="G681" s="180">
        <f>(G625/G612)*P77</f>
        <v>0</v>
      </c>
      <c r="H681" s="180">
        <f>(H628/H612)*P60</f>
        <v>10093.266822676465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1874835.9400000002</v>
      </c>
      <c r="D682" s="180">
        <f>(D615/D612)*Q76</f>
        <v>41799.436252791587</v>
      </c>
      <c r="E682" s="180">
        <f>(E623/E612)*SUM(C682:D682)</f>
        <v>739663.83262798621</v>
      </c>
      <c r="F682" s="180">
        <f>(F624/F612)*Q64</f>
        <v>444.0657419641862</v>
      </c>
      <c r="G682" s="180">
        <f>(G625/G612)*Q77</f>
        <v>0</v>
      </c>
      <c r="H682" s="180">
        <f>(H628/H612)*Q60</f>
        <v>1705.0278109823375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2705970.9199999995</v>
      </c>
      <c r="D683" s="180">
        <f>(D615/D612)*R76</f>
        <v>0</v>
      </c>
      <c r="E683" s="180">
        <f>(E623/E612)*SUM(C683:D683)</f>
        <v>1044282.5205387899</v>
      </c>
      <c r="F683" s="180">
        <f>(F624/F612)*R64</f>
        <v>2781.291109556355</v>
      </c>
      <c r="G683" s="180">
        <f>(G625/G612)*R77</f>
        <v>0</v>
      </c>
      <c r="H683" s="180">
        <f>(H628/H612)*R60</f>
        <v>743.96185102067932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30578221.170000002</v>
      </c>
      <c r="D684" s="180">
        <f>(D615/D612)*S76</f>
        <v>58169.866583088005</v>
      </c>
      <c r="E684" s="180">
        <f>(E623/E612)*SUM(C684:D684)</f>
        <v>11823130.623996131</v>
      </c>
      <c r="F684" s="180">
        <f>(F624/F612)*S64</f>
        <v>191619.71061835735</v>
      </c>
      <c r="G684" s="180">
        <f>(G625/G612)*S77</f>
        <v>0</v>
      </c>
      <c r="H684" s="180">
        <f>(H628/H612)*S60</f>
        <v>2612.1634508885936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1106995.6599999999</v>
      </c>
      <c r="D685" s="180">
        <f>(D615/D612)*T76</f>
        <v>0</v>
      </c>
      <c r="E685" s="180">
        <f>(E623/E612)*SUM(C685:D685)</f>
        <v>427209.40181068226</v>
      </c>
      <c r="F685" s="180">
        <f>(F624/F612)*T64</f>
        <v>3482.8819429353548</v>
      </c>
      <c r="G685" s="180">
        <f>(G625/G612)*T77</f>
        <v>0</v>
      </c>
      <c r="H685" s="180">
        <f>(H628/H612)*T60</f>
        <v>591.85069189005719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18909801.690000001</v>
      </c>
      <c r="D686" s="180">
        <f>(D615/D612)*U76</f>
        <v>140479.00915570118</v>
      </c>
      <c r="E686" s="180">
        <f>(E623/E612)*SUM(C686:D686)</f>
        <v>7351843.6574646495</v>
      </c>
      <c r="F686" s="180">
        <f>(F624/F612)*U64</f>
        <v>35530.517890434399</v>
      </c>
      <c r="G686" s="180">
        <f>(G625/G612)*U77</f>
        <v>0</v>
      </c>
      <c r="H686" s="180">
        <f>(H628/H612)*U60</f>
        <v>10776.384210044896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29724.62</v>
      </c>
      <c r="D687" s="180">
        <f>(D615/D612)*V76</f>
        <v>8794.536393323011</v>
      </c>
      <c r="E687" s="180">
        <f>(E623/E612)*SUM(C687:D687)</f>
        <v>14865.230601756504</v>
      </c>
      <c r="F687" s="180">
        <f>(F624/F612)*V64</f>
        <v>5.3824441591805492</v>
      </c>
      <c r="G687" s="180">
        <f>(G625/G612)*V77</f>
        <v>0</v>
      </c>
      <c r="H687" s="180">
        <f>(H628/H612)*V60</f>
        <v>42.867690300448061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1121057.8899999999</v>
      </c>
      <c r="D688" s="180">
        <f>(D615/D612)*W76</f>
        <v>7403.2529223238744</v>
      </c>
      <c r="E688" s="180">
        <f>(E623/E612)*SUM(C688:D688)</f>
        <v>435493.31515395892</v>
      </c>
      <c r="F688" s="180">
        <f>(F624/F612)*W64</f>
        <v>691.19238230380483</v>
      </c>
      <c r="G688" s="180">
        <f>(G625/G612)*W77</f>
        <v>0</v>
      </c>
      <c r="H688" s="180">
        <f>(H628/H612)*W60</f>
        <v>843.52551881526836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1601244.2900000003</v>
      </c>
      <c r="D689" s="180">
        <f>(D615/D612)*X76</f>
        <v>15233.030704370112</v>
      </c>
      <c r="E689" s="180">
        <f>(E623/E612)*SUM(C689:D689)</f>
        <v>623827.47663043998</v>
      </c>
      <c r="F689" s="180">
        <f>(F624/F612)*X64</f>
        <v>1456.3363145521932</v>
      </c>
      <c r="G689" s="180">
        <f>(G625/G612)*X77</f>
        <v>0</v>
      </c>
      <c r="H689" s="180">
        <f>(H628/H612)*X60</f>
        <v>1432.6105532665867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10696093.959999999</v>
      </c>
      <c r="D690" s="180">
        <f>(D615/D612)*Y76</f>
        <v>97207.046601487149</v>
      </c>
      <c r="E690" s="180">
        <f>(E623/E612)*SUM(C690:D690)</f>
        <v>4165327.6821273677</v>
      </c>
      <c r="F690" s="180">
        <f>(F624/F612)*Y64</f>
        <v>5802.5103798517675</v>
      </c>
      <c r="G690" s="180">
        <f>(G625/G612)*Y77</f>
        <v>0</v>
      </c>
      <c r="H690" s="180">
        <f>(H628/H612)*Y60</f>
        <v>10111.243596028267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19921162.600000005</v>
      </c>
      <c r="D693" s="180">
        <f>(D615/D612)*AB76</f>
        <v>89001.520728733114</v>
      </c>
      <c r="E693" s="180">
        <f>(E623/E612)*SUM(C693:D693)</f>
        <v>7722279.8182877265</v>
      </c>
      <c r="F693" s="180">
        <f>(F624/F612)*AB64</f>
        <v>65188.612669942799</v>
      </c>
      <c r="G693" s="180">
        <f>(G625/G612)*AB77</f>
        <v>0</v>
      </c>
      <c r="H693" s="180">
        <f>(H628/H612)*AB60</f>
        <v>12995.82430463261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2690552.7499999995</v>
      </c>
      <c r="D694" s="180">
        <f>(D615/D612)*AC76</f>
        <v>25489.938045312654</v>
      </c>
      <c r="E694" s="180">
        <f>(E623/E612)*SUM(C694:D694)</f>
        <v>1048169.3957608789</v>
      </c>
      <c r="F694" s="180">
        <f>(F624/F612)*AC64</f>
        <v>1390.2335776464106</v>
      </c>
      <c r="G694" s="180">
        <f>(G625/G612)*AC77</f>
        <v>0</v>
      </c>
      <c r="H694" s="180">
        <f>(H628/H612)*AC60</f>
        <v>3051.9029836480286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767630.66</v>
      </c>
      <c r="D695" s="180">
        <f>(D615/D612)*AD76</f>
        <v>22037.117752322098</v>
      </c>
      <c r="E695" s="180">
        <f>(E623/E612)*SUM(C695:D695)</f>
        <v>304746.90294877969</v>
      </c>
      <c r="F695" s="180">
        <f>(F624/F612)*AD64</f>
        <v>113.28636395729941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3670702.6300000008</v>
      </c>
      <c r="D696" s="180">
        <f>(D615/D612)*AE76</f>
        <v>101421.51842969621</v>
      </c>
      <c r="E696" s="180">
        <f>(E623/E612)*SUM(C696:D696)</f>
        <v>1455730.0983513161</v>
      </c>
      <c r="F696" s="180">
        <f>(F624/F612)*AE64</f>
        <v>3374.7406597062413</v>
      </c>
      <c r="G696" s="180">
        <f>(G625/G612)*AE77</f>
        <v>0</v>
      </c>
      <c r="H696" s="180">
        <f>(H628/H612)*AE60</f>
        <v>4722.3600766461332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12797717.060000001</v>
      </c>
      <c r="D698" s="180">
        <f>(D615/D612)*AG76</f>
        <v>110612.11362133284</v>
      </c>
      <c r="E698" s="180">
        <f>(E623/E612)*SUM(C698:D698)</f>
        <v>4981554.8370245183</v>
      </c>
      <c r="F698" s="180">
        <f>(F624/F612)*AG64</f>
        <v>4588.9912289134854</v>
      </c>
      <c r="G698" s="180">
        <f>(G625/G612)*AG77</f>
        <v>1354647.7478872349</v>
      </c>
      <c r="H698" s="180">
        <f>(H628/H612)*AG60</f>
        <v>7511.5256036139963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2817107.6999999993</v>
      </c>
      <c r="D700" s="180">
        <f>(D615/D612)*AI76</f>
        <v>97633.571461209503</v>
      </c>
      <c r="E700" s="180">
        <f>(E623/E612)*SUM(C700:D700)</f>
        <v>1124850.7288762545</v>
      </c>
      <c r="F700" s="180">
        <f>(F624/F612)*AI64</f>
        <v>1624.6563100503845</v>
      </c>
      <c r="G700" s="180">
        <f>(G625/G612)*AI77</f>
        <v>0</v>
      </c>
      <c r="H700" s="180">
        <f>(H628/H612)*AI60</f>
        <v>3286.9838659408078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36547384.479999997</v>
      </c>
      <c r="D701" s="180">
        <f>(D615/D612)*AJ76</f>
        <v>59611.926823101705</v>
      </c>
      <c r="E701" s="180">
        <f>(E623/E612)*SUM(C701:D701)</f>
        <v>14127293.901987556</v>
      </c>
      <c r="F701" s="180">
        <f>(F624/F612)*AJ64</f>
        <v>192199.4841692867</v>
      </c>
      <c r="G701" s="180">
        <f>(G625/G612)*AJ77</f>
        <v>0</v>
      </c>
      <c r="H701" s="180">
        <f>(H628/H612)*AJ60</f>
        <v>9320.2655685490317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1175414.23</v>
      </c>
      <c r="D702" s="180">
        <f>(D615/D612)*AK76</f>
        <v>0</v>
      </c>
      <c r="E702" s="180">
        <f>(E623/E612)*SUM(C702:D702)</f>
        <v>453613.35028003965</v>
      </c>
      <c r="F702" s="180">
        <f>(F624/F612)*AK64</f>
        <v>42.151403169357167</v>
      </c>
      <c r="G702" s="180">
        <f>(G625/G612)*AK77</f>
        <v>0</v>
      </c>
      <c r="H702" s="180">
        <f>(H628/H612)*AK60</f>
        <v>1241.7801899936246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802433.7300000001</v>
      </c>
      <c r="D703" s="180">
        <f>(D615/D612)*AL76</f>
        <v>0</v>
      </c>
      <c r="E703" s="180">
        <f>(E623/E612)*SUM(C703:D703)</f>
        <v>309673.51198650099</v>
      </c>
      <c r="F703" s="180">
        <f>(F624/F612)*AL64</f>
        <v>34.262213194441379</v>
      </c>
      <c r="G703" s="180">
        <f>(G625/G612)*AL77</f>
        <v>0</v>
      </c>
      <c r="H703" s="180">
        <f>(H628/H612)*AL60</f>
        <v>864.26794960580776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12669748.230000002</v>
      </c>
      <c r="D707" s="180">
        <f>(D615/D612)*AP76</f>
        <v>272955.59951470658</v>
      </c>
      <c r="E707" s="180">
        <f>(E623/E612)*SUM(C707:D707)</f>
        <v>4994820.6308413213</v>
      </c>
      <c r="F707" s="180">
        <f>(F624/F612)*AP64</f>
        <v>3270.334640217925</v>
      </c>
      <c r="G707" s="180">
        <f>(G625/G612)*AP77</f>
        <v>0</v>
      </c>
      <c r="H707" s="180">
        <f>(H628/H612)*AP60</f>
        <v>7662.2539340252488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8879631.7799999993</v>
      </c>
      <c r="D709" s="180">
        <f>(D615/D612)*AR76</f>
        <v>65420.789198368177</v>
      </c>
      <c r="E709" s="180">
        <f>(E623/E612)*SUM(C709:D709)</f>
        <v>3452055.5909427335</v>
      </c>
      <c r="F709" s="180">
        <f>(F624/F612)*AR64</f>
        <v>2046.8064439670079</v>
      </c>
      <c r="G709" s="180">
        <f>(G625/G612)*AR77</f>
        <v>0</v>
      </c>
      <c r="H709" s="180">
        <f>(H628/H612)*AR60</f>
        <v>8833.5098593310395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5">
      <c r="C715" s="180">
        <f>SUM(C614:C647)+SUM(C668:C713)</f>
        <v>365961082.76999992</v>
      </c>
      <c r="D715" s="180">
        <f>SUM(D616:D647)+SUM(D668:D713)</f>
        <v>3201292.4899999993</v>
      </c>
      <c r="E715" s="180">
        <f>SUM(E624:E647)+SUM(E668:E713)</f>
        <v>101904249.40434304</v>
      </c>
      <c r="F715" s="180">
        <f>SUM(F625:F648)+SUM(F668:F713)</f>
        <v>584779.97646462359</v>
      </c>
      <c r="G715" s="180">
        <f>SUM(G626:G647)+SUM(G668:G713)</f>
        <v>7081682.2870689323</v>
      </c>
      <c r="H715" s="180">
        <f>SUM(H629:H647)+SUM(H668:H713)</f>
        <v>187695.49056615212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5">
      <c r="C716" s="180">
        <f>CE71</f>
        <v>365961082.7700001</v>
      </c>
      <c r="D716" s="180">
        <f>D615</f>
        <v>3201292.4899999998</v>
      </c>
      <c r="E716" s="180">
        <f>E623</f>
        <v>101904249.40434301</v>
      </c>
      <c r="F716" s="180">
        <f>F624</f>
        <v>584779.97646462335</v>
      </c>
      <c r="G716" s="180">
        <f>G625</f>
        <v>7081682.2870689314</v>
      </c>
      <c r="H716" s="180">
        <f>H628</f>
        <v>187695.49056615215</v>
      </c>
      <c r="I716" s="180">
        <f>I629</f>
        <v>5108992.5936261229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130354805.44000001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168*2018*A</v>
      </c>
      <c r="B722" s="271">
        <f>ROUND(C165,0)</f>
        <v>7606648</v>
      </c>
      <c r="C722" s="271">
        <f>ROUND(C166,0)</f>
        <v>97322</v>
      </c>
      <c r="D722" s="271">
        <f>ROUND(C167,0)</f>
        <v>933021</v>
      </c>
      <c r="E722" s="271">
        <f>ROUND(C168,0)</f>
        <v>17107263</v>
      </c>
      <c r="F722" s="271">
        <f>ROUND(C169,0)</f>
        <v>88870</v>
      </c>
      <c r="G722" s="271">
        <f>ROUND(C170,0)</f>
        <v>4861106</v>
      </c>
      <c r="H722" s="271">
        <f>ROUND(C171+C172,0)</f>
        <v>376294</v>
      </c>
      <c r="I722" s="271">
        <f>ROUND(C175,0)</f>
        <v>1476698</v>
      </c>
      <c r="J722" s="271">
        <f>ROUND(C176,0)</f>
        <v>0</v>
      </c>
      <c r="K722" s="271">
        <f>ROUND(C179,0)</f>
        <v>2131772</v>
      </c>
      <c r="L722" s="271">
        <f>ROUND(C180,0)</f>
        <v>263045</v>
      </c>
      <c r="M722" s="271">
        <f>ROUND(C183,0)</f>
        <v>193085</v>
      </c>
      <c r="N722" s="271">
        <f>ROUND(C184,0)</f>
        <v>2640011</v>
      </c>
      <c r="O722" s="271">
        <f>ROUND(C185,0)</f>
        <v>6064437</v>
      </c>
      <c r="P722" s="271">
        <f>ROUND(C188,0)</f>
        <v>5081963</v>
      </c>
      <c r="Q722" s="271">
        <f>ROUND(C189,0)</f>
        <v>45882</v>
      </c>
      <c r="R722" s="271">
        <f>ROUND(B195,0)</f>
        <v>8276004</v>
      </c>
      <c r="S722" s="271">
        <f>ROUND(C195,0)</f>
        <v>0</v>
      </c>
      <c r="T722" s="271">
        <f>ROUND(D195,0)</f>
        <v>0</v>
      </c>
      <c r="U722" s="271">
        <f>ROUND(B196,0)</f>
        <v>4067025</v>
      </c>
      <c r="V722" s="271">
        <f>ROUND(C196,0)</f>
        <v>1062882</v>
      </c>
      <c r="W722" s="271">
        <f>ROUND(D196,0)</f>
        <v>0</v>
      </c>
      <c r="X722" s="271">
        <f>ROUND(B197,0)</f>
        <v>119518185</v>
      </c>
      <c r="Y722" s="271">
        <f>ROUND(C197,0)</f>
        <v>4063844</v>
      </c>
      <c r="Z722" s="271">
        <f>ROUND(D197,0)</f>
        <v>3923</v>
      </c>
      <c r="AA722" s="271">
        <f>ROUND(B198,0)</f>
        <v>75073031</v>
      </c>
      <c r="AB722" s="271">
        <f>ROUND(C198,0)</f>
        <v>3400501</v>
      </c>
      <c r="AC722" s="271">
        <f>ROUND(D198,0)</f>
        <v>403407</v>
      </c>
      <c r="AD722" s="271">
        <f>ROUND(B199,0)</f>
        <v>0</v>
      </c>
      <c r="AE722" s="271">
        <f>ROUND(C199,0)</f>
        <v>0</v>
      </c>
      <c r="AF722" s="271">
        <f>ROUND(D199,0)</f>
        <v>0</v>
      </c>
      <c r="AG722" s="271">
        <f>ROUND(B200,0)</f>
        <v>108396823</v>
      </c>
      <c r="AH722" s="271">
        <f>ROUND(C200,0)</f>
        <v>8951264</v>
      </c>
      <c r="AI722" s="271">
        <f>ROUND(D200,0)</f>
        <v>7806291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0</v>
      </c>
      <c r="AN722" s="271">
        <f>ROUND(C202,0)</f>
        <v>0</v>
      </c>
      <c r="AO722" s="271">
        <f>ROUND(D202,0)</f>
        <v>0</v>
      </c>
      <c r="AP722" s="271">
        <f>ROUND(B203,0)</f>
        <v>7375821</v>
      </c>
      <c r="AQ722" s="271">
        <f>ROUND(C203,0)</f>
        <v>-4124250</v>
      </c>
      <c r="AR722" s="271">
        <f>ROUND(D203,0)</f>
        <v>-142880</v>
      </c>
      <c r="AS722" s="271"/>
      <c r="AT722" s="271"/>
      <c r="AU722" s="271"/>
      <c r="AV722" s="271">
        <f>ROUND(B209,0)</f>
        <v>3201617</v>
      </c>
      <c r="AW722" s="271">
        <f>ROUND(C209,0)</f>
        <v>233120</v>
      </c>
      <c r="AX722" s="271">
        <f>ROUND(D209,0)</f>
        <v>0</v>
      </c>
      <c r="AY722" s="271">
        <f>ROUND(B210,0)</f>
        <v>47354356</v>
      </c>
      <c r="AZ722" s="271">
        <f>ROUND(C210,0)</f>
        <v>3980899</v>
      </c>
      <c r="BA722" s="271">
        <f>ROUND(D210,0)</f>
        <v>4070</v>
      </c>
      <c r="BB722" s="271">
        <f>ROUND(B211,0)</f>
        <v>42427632</v>
      </c>
      <c r="BC722" s="271">
        <f>ROUND(C211,0)</f>
        <v>3004122</v>
      </c>
      <c r="BD722" s="271">
        <f>ROUND(D211,0)</f>
        <v>245656</v>
      </c>
      <c r="BE722" s="271">
        <f>ROUND(B212,0)</f>
        <v>0</v>
      </c>
      <c r="BF722" s="271">
        <f>ROUND(C212,0)</f>
        <v>0</v>
      </c>
      <c r="BG722" s="271">
        <f>ROUND(D212,0)</f>
        <v>0</v>
      </c>
      <c r="BH722" s="271">
        <f>ROUND(B213,0)</f>
        <v>90175646</v>
      </c>
      <c r="BI722" s="271">
        <f>ROUND(C213,0)</f>
        <v>6753352</v>
      </c>
      <c r="BJ722" s="271">
        <f>ROUND(D213,0)</f>
        <v>7604435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0</v>
      </c>
      <c r="BO722" s="271">
        <f>ROUND(C215,0)</f>
        <v>0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111627254</v>
      </c>
      <c r="BU722" s="271">
        <f>ROUND(C224,0)</f>
        <v>308644038</v>
      </c>
      <c r="BV722" s="271">
        <f>ROUND(C225,0)</f>
        <v>4304356</v>
      </c>
      <c r="BW722" s="271">
        <f>ROUND(C226,0)</f>
        <v>0</v>
      </c>
      <c r="BX722" s="271">
        <f>ROUND(C227,0)</f>
        <v>0</v>
      </c>
      <c r="BY722" s="271">
        <f>ROUND(C228,0)</f>
        <v>49330081</v>
      </c>
      <c r="BZ722" s="271">
        <f>ROUND(C231,0)</f>
        <v>0</v>
      </c>
      <c r="CA722" s="271">
        <f>ROUND(C233,0)</f>
        <v>0</v>
      </c>
      <c r="CB722" s="271">
        <f>ROUND(C234,0)</f>
        <v>7039240</v>
      </c>
      <c r="CC722" s="271">
        <f>ROUND(C238+C239,0)</f>
        <v>10546159</v>
      </c>
      <c r="CD722" s="271">
        <f>D221</f>
        <v>18448591.690000001</v>
      </c>
      <c r="CE722" s="271"/>
    </row>
    <row r="723" spans="1:84" ht="12.6" customHeight="1" x14ac:dyDescent="0.2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" customHeight="1" x14ac:dyDescent="0.2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168*2018*A</v>
      </c>
      <c r="B726" s="271">
        <f>ROUND(C111,0)</f>
        <v>11387</v>
      </c>
      <c r="C726" s="271">
        <f>ROUND(C112,0)</f>
        <v>191</v>
      </c>
      <c r="D726" s="271">
        <f>ROUND(C113,0)</f>
        <v>0</v>
      </c>
      <c r="E726" s="271">
        <f>ROUND(C114,0)</f>
        <v>0</v>
      </c>
      <c r="F726" s="271">
        <f>ROUND(D111,0)</f>
        <v>45730</v>
      </c>
      <c r="G726" s="271">
        <f>ROUND(D112,0)</f>
        <v>3974</v>
      </c>
      <c r="H726" s="271">
        <f>ROUND(D113,0)</f>
        <v>0</v>
      </c>
      <c r="I726" s="271">
        <f>ROUND(D114,0)</f>
        <v>0</v>
      </c>
      <c r="J726" s="271">
        <f>ROUND(C116,0)</f>
        <v>26</v>
      </c>
      <c r="K726" s="271">
        <f>ROUND(C117,0)</f>
        <v>22</v>
      </c>
      <c r="L726" s="271">
        <f>ROUND(C118,0)</f>
        <v>108</v>
      </c>
      <c r="M726" s="271">
        <f>ROUND(C119,0)</f>
        <v>0</v>
      </c>
      <c r="N726" s="271">
        <f>ROUND(C120,0)</f>
        <v>20</v>
      </c>
      <c r="O726" s="271">
        <f>ROUND(C121,0)</f>
        <v>0</v>
      </c>
      <c r="P726" s="271">
        <f>ROUND(C122,0)</f>
        <v>0</v>
      </c>
      <c r="Q726" s="271">
        <f>ROUND(C123,0)</f>
        <v>22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176</v>
      </c>
      <c r="W726" s="271">
        <f>ROUND(C129,0)</f>
        <v>0</v>
      </c>
      <c r="X726" s="271">
        <f>ROUND(B138,0)</f>
        <v>5566</v>
      </c>
      <c r="Y726" s="271">
        <f>ROUND(B139,0)</f>
        <v>26733</v>
      </c>
      <c r="Z726" s="271">
        <f>ROUND(B140,0)</f>
        <v>0</v>
      </c>
      <c r="AA726" s="271">
        <f>ROUND(B141,0)</f>
        <v>257541819</v>
      </c>
      <c r="AB726" s="271">
        <f>ROUND(B142,0)</f>
        <v>202261248</v>
      </c>
      <c r="AC726" s="271">
        <f>ROUND(C138,0)</f>
        <v>2497</v>
      </c>
      <c r="AD726" s="271">
        <f>ROUND(C139,0)</f>
        <v>9453</v>
      </c>
      <c r="AE726" s="271">
        <f>ROUND(C140,0)</f>
        <v>0</v>
      </c>
      <c r="AF726" s="271">
        <f>ROUND(C141,0)</f>
        <v>87520756</v>
      </c>
      <c r="AG726" s="271">
        <f>ROUND(C142,0)</f>
        <v>79260334</v>
      </c>
      <c r="AH726" s="271">
        <f>ROUND(D138,0)</f>
        <v>3324</v>
      </c>
      <c r="AI726" s="271">
        <f>ROUND(D139,0)</f>
        <v>9544</v>
      </c>
      <c r="AJ726" s="271">
        <f>ROUND(D140,0)</f>
        <v>0</v>
      </c>
      <c r="AK726" s="271">
        <f>ROUND(D141,0)</f>
        <v>108995978</v>
      </c>
      <c r="AL726" s="271">
        <f>ROUND(D142,0)</f>
        <v>134063170</v>
      </c>
      <c r="AM726" s="271">
        <f>ROUND(B144,0)</f>
        <v>151</v>
      </c>
      <c r="AN726" s="271">
        <f>ROUND(B145,0)</f>
        <v>3356</v>
      </c>
      <c r="AO726" s="271">
        <f>ROUND(B146,0)</f>
        <v>0</v>
      </c>
      <c r="AP726" s="271">
        <f>ROUND(B147,0)</f>
        <v>5099112</v>
      </c>
      <c r="AQ726" s="271">
        <f>ROUND(B148,0)</f>
        <v>0</v>
      </c>
      <c r="AR726" s="271">
        <f>ROUND(C144,0)</f>
        <v>23</v>
      </c>
      <c r="AS726" s="271">
        <f>ROUND(C145,0)</f>
        <v>373</v>
      </c>
      <c r="AT726" s="271">
        <f>ROUND(C146,0)</f>
        <v>0</v>
      </c>
      <c r="AU726" s="271">
        <f>ROUND(C147,0)</f>
        <v>471868</v>
      </c>
      <c r="AV726" s="271">
        <f>ROUND(C148,0)</f>
        <v>0</v>
      </c>
      <c r="AW726" s="271">
        <f>ROUND(D144,0)</f>
        <v>17</v>
      </c>
      <c r="AX726" s="271">
        <f>ROUND(D145,0)</f>
        <v>245</v>
      </c>
      <c r="AY726" s="271">
        <f>ROUND(D146,0)</f>
        <v>0</v>
      </c>
      <c r="AZ726" s="271">
        <f>ROUND(D147,0)</f>
        <v>539310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0</v>
      </c>
      <c r="BR726" s="271">
        <f>ROUND(C157,0)</f>
        <v>5725294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" customHeight="1" x14ac:dyDescent="0.2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" customHeight="1" x14ac:dyDescent="0.2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168*2018*A</v>
      </c>
      <c r="B730" s="271">
        <f>ROUND(C250,0)</f>
        <v>52909578</v>
      </c>
      <c r="C730" s="271">
        <f>ROUND(C251,0)</f>
        <v>0</v>
      </c>
      <c r="D730" s="271">
        <f>ROUND(C252,0)</f>
        <v>149719797</v>
      </c>
      <c r="E730" s="271">
        <f>ROUND(C253,0)</f>
        <v>88062550</v>
      </c>
      <c r="F730" s="271">
        <f>ROUND(C254,0)</f>
        <v>5768532</v>
      </c>
      <c r="G730" s="271">
        <f>ROUND(C255,0)</f>
        <v>0</v>
      </c>
      <c r="H730" s="271">
        <f>ROUND(C256,0)</f>
        <v>4163094</v>
      </c>
      <c r="I730" s="271">
        <f>ROUND(C257,0)</f>
        <v>5324278</v>
      </c>
      <c r="J730" s="271">
        <f>ROUND(C258,0)</f>
        <v>1183139</v>
      </c>
      <c r="K730" s="271">
        <f>ROUND(C259,0)</f>
        <v>0</v>
      </c>
      <c r="L730" s="271">
        <f>ROUND(C262,0)</f>
        <v>0</v>
      </c>
      <c r="M730" s="271">
        <f>ROUND(C263,0)</f>
        <v>123807815</v>
      </c>
      <c r="N730" s="271">
        <f>ROUND(C264,0)</f>
        <v>6851124</v>
      </c>
      <c r="O730" s="271">
        <f>ROUND(C267,0)</f>
        <v>8276004</v>
      </c>
      <c r="P730" s="271">
        <f>ROUND(C268,0)</f>
        <v>5129907</v>
      </c>
      <c r="Q730" s="271">
        <f>ROUND(C269,0)</f>
        <v>94359486</v>
      </c>
      <c r="R730" s="271">
        <f>ROUND(C270,0)</f>
        <v>29218622</v>
      </c>
      <c r="S730" s="271">
        <f>ROUND(C271,0)</f>
        <v>78070125</v>
      </c>
      <c r="T730" s="271">
        <f>ROUND(C272,0)</f>
        <v>109541795</v>
      </c>
      <c r="U730" s="271">
        <f>ROUND(C273,0)</f>
        <v>0</v>
      </c>
      <c r="V730" s="271">
        <f>ROUND(C274,0)</f>
        <v>3394450</v>
      </c>
      <c r="W730" s="271">
        <f>ROUND(C275,0)</f>
        <v>0</v>
      </c>
      <c r="X730" s="271">
        <f>ROUND(C276,0)</f>
        <v>189276582</v>
      </c>
      <c r="Y730" s="271">
        <f>ROUND(C279,0)</f>
        <v>0</v>
      </c>
      <c r="Z730" s="271">
        <f>ROUND(C280,0)</f>
        <v>0</v>
      </c>
      <c r="AA730" s="271">
        <f>ROUND(C281,0)</f>
        <v>630664</v>
      </c>
      <c r="AB730" s="271">
        <f>ROUND(C282,0)</f>
        <v>17953310</v>
      </c>
      <c r="AC730" s="271">
        <f>ROUND(C286,0)</f>
        <v>0</v>
      </c>
      <c r="AD730" s="271">
        <f>ROUND(C287,0)</f>
        <v>0</v>
      </c>
      <c r="AE730" s="271">
        <f>ROUND(C288,0)</f>
        <v>0</v>
      </c>
      <c r="AF730" s="271">
        <f>ROUND(C289,0)</f>
        <v>0</v>
      </c>
      <c r="AG730" s="271">
        <f>ROUND(C304,0)</f>
        <v>0</v>
      </c>
      <c r="AH730" s="271">
        <f>ROUND(C305,0)</f>
        <v>5888997</v>
      </c>
      <c r="AI730" s="271">
        <f>ROUND(C306,0)</f>
        <v>5716870</v>
      </c>
      <c r="AJ730" s="271">
        <f>ROUND(C307,0)</f>
        <v>8132520</v>
      </c>
      <c r="AK730" s="271">
        <f>ROUND(C308,0)</f>
        <v>0</v>
      </c>
      <c r="AL730" s="271">
        <f>ROUND(C309,0)</f>
        <v>0</v>
      </c>
      <c r="AM730" s="271">
        <f>ROUND(C310,0)</f>
        <v>0</v>
      </c>
      <c r="AN730" s="271">
        <f>ROUND(C311,0)</f>
        <v>0</v>
      </c>
      <c r="AO730" s="271">
        <f>ROUND(C312,0)</f>
        <v>6832391</v>
      </c>
      <c r="AP730" s="271">
        <f>ROUND(C313,0)</f>
        <v>3094516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0</v>
      </c>
      <c r="AW730" s="271">
        <f>ROUND(C324,0)</f>
        <v>0</v>
      </c>
      <c r="AX730" s="271">
        <f>ROUND(C325,0)</f>
        <v>114440616</v>
      </c>
      <c r="AY730" s="271">
        <f>ROUND(C326,0)</f>
        <v>0</v>
      </c>
      <c r="AZ730" s="271">
        <f>ROUND(C327,0)</f>
        <v>4463493</v>
      </c>
      <c r="BA730" s="271">
        <f>ROUND(C328,0)</f>
        <v>0</v>
      </c>
      <c r="BB730" s="271">
        <f>ROUND(C332,0)</f>
        <v>273487700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1436.86</v>
      </c>
      <c r="BJ730" s="271">
        <f>ROUND(C359,0)</f>
        <v>460168842</v>
      </c>
      <c r="BK730" s="271">
        <f>ROUND(C360,0)</f>
        <v>415584752</v>
      </c>
      <c r="BL730" s="271">
        <f>ROUND(C364,0)</f>
        <v>473905730</v>
      </c>
      <c r="BM730" s="271">
        <f>ROUND(C365,0)</f>
        <v>7039240</v>
      </c>
      <c r="BN730" s="271">
        <f>ROUND(C366,0)</f>
        <v>10546159</v>
      </c>
      <c r="BO730" s="271">
        <f>ROUND(C370,0)</f>
        <v>13021192</v>
      </c>
      <c r="BP730" s="271">
        <f>ROUND(C371,0)</f>
        <v>0</v>
      </c>
      <c r="BQ730" s="271">
        <f>ROUND(C378,0)</f>
        <v>103256901</v>
      </c>
      <c r="BR730" s="271">
        <f>ROUND(C379,0)</f>
        <v>31070523</v>
      </c>
      <c r="BS730" s="271">
        <f>ROUND(C380,0)</f>
        <v>97401758</v>
      </c>
      <c r="BT730" s="271">
        <f>ROUND(C381,0)</f>
        <v>89063236</v>
      </c>
      <c r="BU730" s="271">
        <f>ROUND(C382,0)</f>
        <v>1432617</v>
      </c>
      <c r="BV730" s="271">
        <f>ROUND(C383,0)</f>
        <v>13292765</v>
      </c>
      <c r="BW730" s="271">
        <f>ROUND(C384,0)</f>
        <v>11177141</v>
      </c>
      <c r="BX730" s="271">
        <f>ROUND(C385,0)</f>
        <v>1476698</v>
      </c>
      <c r="BY730" s="271">
        <f>ROUND(C386,0)</f>
        <v>2394818</v>
      </c>
      <c r="BZ730" s="271">
        <f>ROUND(C387,0)</f>
        <v>8897533</v>
      </c>
      <c r="CA730" s="271">
        <f>ROUND(C388,0)</f>
        <v>5127845</v>
      </c>
      <c r="CB730" s="271">
        <f>C363</f>
        <v>18448591.690000001</v>
      </c>
      <c r="CC730" s="271">
        <f>ROUND(C389,0)</f>
        <v>1397036</v>
      </c>
      <c r="CD730" s="271">
        <f>ROUND(C392,0)</f>
        <v>-2751094</v>
      </c>
      <c r="CE730" s="271">
        <f>ROUND(C394,0)</f>
        <v>0</v>
      </c>
      <c r="CF730" s="201">
        <f>ROUND(C395,0)</f>
        <v>0</v>
      </c>
    </row>
    <row r="731" spans="1:84" ht="12.6" customHeight="1" x14ac:dyDescent="0.2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" customHeight="1" x14ac:dyDescent="0.2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168*2018*6010*A</v>
      </c>
      <c r="B734" s="271">
        <f>ROUND(C59,0)</f>
        <v>4754</v>
      </c>
      <c r="C734" s="271">
        <f>ROUND(C60,2)</f>
        <v>62.43</v>
      </c>
      <c r="D734" s="271">
        <f>ROUND(C61,0)</f>
        <v>5507678</v>
      </c>
      <c r="E734" s="271">
        <f>ROUND(C62,0)</f>
        <v>1482302</v>
      </c>
      <c r="F734" s="271">
        <f>ROUND(C63,0)</f>
        <v>132387</v>
      </c>
      <c r="G734" s="271">
        <f>ROUND(C64,0)</f>
        <v>665562</v>
      </c>
      <c r="H734" s="271">
        <f>ROUND(C65,0)</f>
        <v>9143</v>
      </c>
      <c r="I734" s="271">
        <f>ROUND(C66,0)</f>
        <v>46539</v>
      </c>
      <c r="J734" s="271">
        <f>ROUND(C67,0)</f>
        <v>139627</v>
      </c>
      <c r="K734" s="271">
        <f>ROUND(C68,0)</f>
        <v>0</v>
      </c>
      <c r="L734" s="271">
        <f>ROUND(C69,0)</f>
        <v>32474</v>
      </c>
      <c r="M734" s="271">
        <f>ROUND(C70,0)</f>
        <v>0</v>
      </c>
      <c r="N734" s="271">
        <f>ROUND(C75,0)</f>
        <v>33978451</v>
      </c>
      <c r="O734" s="271">
        <f>ROUND(C73,0)</f>
        <v>33828603</v>
      </c>
      <c r="P734" s="271">
        <f>IF(C76&gt;0,ROUND(C76,0),0)</f>
        <v>16056</v>
      </c>
      <c r="Q734" s="271">
        <f>IF(C77&gt;0,ROUND(C77,0),0)</f>
        <v>60528</v>
      </c>
      <c r="R734" s="271">
        <f>IF(C78&gt;0,ROUND(C78,0),0)</f>
        <v>0</v>
      </c>
      <c r="S734" s="271">
        <f>IF(C79&gt;0,ROUND(C79,0),0)</f>
        <v>212795</v>
      </c>
      <c r="T734" s="271">
        <f>IF(C80&gt;0,ROUND(C80,2),0)</f>
        <v>45.65</v>
      </c>
      <c r="U734" s="271"/>
      <c r="V734" s="271"/>
      <c r="W734" s="271"/>
      <c r="X734" s="271"/>
      <c r="Y734" s="271" t="e">
        <f>IF(M668&lt;&gt;0,ROUND(M668,0),0)</f>
        <v>#DIV/0!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" customHeight="1" x14ac:dyDescent="0.25">
      <c r="A735" s="209" t="str">
        <f>RIGHT($C$83,3)&amp;"*"&amp;RIGHT($C$82,4)&amp;"*"&amp;D$55&amp;"*"&amp;"A"</f>
        <v>168*2018*6030*A</v>
      </c>
      <c r="B735" s="271">
        <f>ROUND(D59,0)</f>
        <v>12059</v>
      </c>
      <c r="C735" s="273">
        <f>ROUND(D60,2)</f>
        <v>95.89</v>
      </c>
      <c r="D735" s="271">
        <f>ROUND(D61,0)</f>
        <v>7178478</v>
      </c>
      <c r="E735" s="271">
        <f>ROUND(D62,0)</f>
        <v>2020101</v>
      </c>
      <c r="F735" s="271">
        <f>ROUND(D63,0)</f>
        <v>3235</v>
      </c>
      <c r="G735" s="271">
        <f>ROUND(D64,0)</f>
        <v>721150</v>
      </c>
      <c r="H735" s="271">
        <f>ROUND(D65,0)</f>
        <v>13742</v>
      </c>
      <c r="I735" s="271">
        <f>ROUND(D66,0)</f>
        <v>40654</v>
      </c>
      <c r="J735" s="271">
        <f>ROUND(D67,0)</f>
        <v>96284</v>
      </c>
      <c r="K735" s="271">
        <f>ROUND(D68,0)</f>
        <v>0</v>
      </c>
      <c r="L735" s="271">
        <f>ROUND(D69,0)</f>
        <v>7853</v>
      </c>
      <c r="M735" s="271">
        <f>ROUND(D70,0)</f>
        <v>0</v>
      </c>
      <c r="N735" s="271">
        <f>ROUND(D75,0)</f>
        <v>53700696</v>
      </c>
      <c r="O735" s="271">
        <f>ROUND(D73,0)</f>
        <v>51556349</v>
      </c>
      <c r="P735" s="271">
        <f>IF(D76&gt;0,ROUND(D76,0),0)</f>
        <v>23415</v>
      </c>
      <c r="Q735" s="271">
        <f>IF(D77&gt;0,ROUND(D77,0),0)</f>
        <v>182617</v>
      </c>
      <c r="R735" s="271">
        <f>IF(D78&gt;0,ROUND(D78,0),0)</f>
        <v>0</v>
      </c>
      <c r="S735" s="271">
        <f>IF(D79&gt;0,ROUND(D79,0),0)</f>
        <v>171915</v>
      </c>
      <c r="T735" s="273">
        <f>IF(D80&gt;0,ROUND(D80,2),0)</f>
        <v>61.54</v>
      </c>
      <c r="U735" s="271"/>
      <c r="V735" s="272"/>
      <c r="W735" s="271"/>
      <c r="X735" s="271"/>
      <c r="Y735" s="271" t="e">
        <f t="shared" ref="Y735:Y779" si="21">IF(M669&lt;&gt;0,ROUND(M669,0),0)</f>
        <v>#DIV/0!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" customHeight="1" x14ac:dyDescent="0.25">
      <c r="A736" s="209" t="str">
        <f>RIGHT($C$83,3)&amp;"*"&amp;RIGHT($C$82,4)&amp;"*"&amp;E$55&amp;"*"&amp;"A"</f>
        <v>168*2018*6070*A</v>
      </c>
      <c r="B736" s="271">
        <f>ROUND(E59,0)</f>
        <v>28917</v>
      </c>
      <c r="C736" s="273">
        <f>ROUND(E60,2)</f>
        <v>214.32</v>
      </c>
      <c r="D736" s="271">
        <f>ROUND(E61,0)</f>
        <v>16852518</v>
      </c>
      <c r="E736" s="271">
        <f>ROUND(E62,0)</f>
        <v>4955181</v>
      </c>
      <c r="F736" s="271">
        <f>ROUND(E63,0)</f>
        <v>661544</v>
      </c>
      <c r="G736" s="271">
        <f>ROUND(E64,0)</f>
        <v>1200086</v>
      </c>
      <c r="H736" s="271">
        <f>ROUND(E65,0)</f>
        <v>46557</v>
      </c>
      <c r="I736" s="271">
        <f>ROUND(E66,0)</f>
        <v>510355</v>
      </c>
      <c r="J736" s="271">
        <f>ROUND(E67,0)</f>
        <v>223171</v>
      </c>
      <c r="K736" s="271">
        <f>ROUND(E68,0)</f>
        <v>0</v>
      </c>
      <c r="L736" s="271">
        <f>ROUND(E69,0)</f>
        <v>21964</v>
      </c>
      <c r="M736" s="271">
        <f>ROUND(E70,0)</f>
        <v>0</v>
      </c>
      <c r="N736" s="271">
        <f>ROUND(E75,0)</f>
        <v>105499717</v>
      </c>
      <c r="O736" s="271">
        <f>ROUND(E73,0)</f>
        <v>99045536</v>
      </c>
      <c r="P736" s="271">
        <f>IF(E76&gt;0,ROUND(E76,0),0)</f>
        <v>83230</v>
      </c>
      <c r="Q736" s="271">
        <f>IF(E77&gt;0,ROUND(E77,0),0)</f>
        <v>469000</v>
      </c>
      <c r="R736" s="271">
        <f>IF(E78&gt;0,ROUND(E78,0),0)</f>
        <v>0</v>
      </c>
      <c r="S736" s="271">
        <f>IF(E79&gt;0,ROUND(E79,0),0)</f>
        <v>573415</v>
      </c>
      <c r="T736" s="273">
        <f>IF(E80&gt;0,ROUND(E80,2),0)</f>
        <v>142.84</v>
      </c>
      <c r="U736" s="271"/>
      <c r="V736" s="272"/>
      <c r="W736" s="271"/>
      <c r="X736" s="271"/>
      <c r="Y736" s="271" t="e">
        <f t="shared" si="21"/>
        <v>#DIV/0!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" customHeight="1" x14ac:dyDescent="0.25">
      <c r="A737" s="209" t="str">
        <f>RIGHT($C$83,3)&amp;"*"&amp;RIGHT($C$82,4)&amp;"*"&amp;F$55&amp;"*"&amp;"A"</f>
        <v>168*2018*6100*A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 t="e">
        <f t="shared" si="21"/>
        <v>#DIV/0!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" customHeight="1" x14ac:dyDescent="0.25">
      <c r="A738" s="209" t="str">
        <f>RIGHT($C$83,3)&amp;"*"&amp;RIGHT($C$82,4)&amp;"*"&amp;G$55&amp;"*"&amp;"A"</f>
        <v>168*2018*6120*A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 t="e">
        <f t="shared" si="21"/>
        <v>#DIV/0!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" customHeight="1" x14ac:dyDescent="0.25">
      <c r="A739" s="209" t="str">
        <f>RIGHT($C$83,3)&amp;"*"&amp;RIGHT($C$82,4)&amp;"*"&amp;H$55&amp;"*"&amp;"A"</f>
        <v>168*2018*6140*A</v>
      </c>
      <c r="B739" s="271">
        <f>ROUND(H59,0)</f>
        <v>0</v>
      </c>
      <c r="C739" s="273">
        <f>ROUND(H60,2)</f>
        <v>0</v>
      </c>
      <c r="D739" s="271">
        <f>ROUND(H61,0)</f>
        <v>0</v>
      </c>
      <c r="E739" s="271">
        <f>ROUND(H62,0)</f>
        <v>0</v>
      </c>
      <c r="F739" s="271">
        <f>ROUND(H63,0)</f>
        <v>0</v>
      </c>
      <c r="G739" s="271">
        <f>ROUND(H64,0)</f>
        <v>0</v>
      </c>
      <c r="H739" s="271">
        <f>ROUND(H65,0)</f>
        <v>0</v>
      </c>
      <c r="I739" s="271">
        <f>ROUND(H66,0)</f>
        <v>0</v>
      </c>
      <c r="J739" s="271">
        <f>ROUND(H67,0)</f>
        <v>0</v>
      </c>
      <c r="K739" s="271">
        <f>ROUND(H68,0)</f>
        <v>0</v>
      </c>
      <c r="L739" s="271">
        <f>ROUND(H69,0)</f>
        <v>0</v>
      </c>
      <c r="M739" s="271">
        <f>ROUND(H70,0)</f>
        <v>0</v>
      </c>
      <c r="N739" s="271">
        <f>ROUND(H75,0)</f>
        <v>0</v>
      </c>
      <c r="O739" s="271">
        <f>ROUND(H73,0)</f>
        <v>0</v>
      </c>
      <c r="P739" s="271">
        <f>IF(H76&gt;0,ROUND(H76,0),0)</f>
        <v>0</v>
      </c>
      <c r="Q739" s="271">
        <f>IF(H77&gt;0,ROUND(H77,0),0)</f>
        <v>0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0</v>
      </c>
      <c r="U739" s="271"/>
      <c r="V739" s="272"/>
      <c r="W739" s="271"/>
      <c r="X739" s="271"/>
      <c r="Y739" s="271" t="e">
        <f t="shared" si="21"/>
        <v>#DIV/0!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" customHeight="1" x14ac:dyDescent="0.25">
      <c r="A740" s="209" t="str">
        <f>RIGHT($C$83,3)&amp;"*"&amp;RIGHT($C$82,4)&amp;"*"&amp;I$55&amp;"*"&amp;"A"</f>
        <v>168*2018*6150*A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 t="e">
        <f t="shared" si="21"/>
        <v>#DIV/0!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" customHeight="1" x14ac:dyDescent="0.25">
      <c r="A741" s="209" t="str">
        <f>RIGHT($C$83,3)&amp;"*"&amp;RIGHT($C$82,4)&amp;"*"&amp;J$55&amp;"*"&amp;"A"</f>
        <v>168*2018*6170*A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4464990</v>
      </c>
      <c r="O741" s="271">
        <f>ROUND(J73,0)</f>
        <v>4464990</v>
      </c>
      <c r="P741" s="271">
        <f>IF(J76&gt;0,ROUND(J76,0),0)</f>
        <v>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 t="e">
        <f t="shared" si="21"/>
        <v>#DIV/0!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" customHeight="1" x14ac:dyDescent="0.25">
      <c r="A742" s="209" t="str">
        <f>RIGHT($C$83,3)&amp;"*"&amp;RIGHT($C$82,4)&amp;"*"&amp;K$55&amp;"*"&amp;"A"</f>
        <v>168*2018*6200*A</v>
      </c>
      <c r="B742" s="271">
        <f>ROUND(K59,0)</f>
        <v>3974</v>
      </c>
      <c r="C742" s="273">
        <f>ROUND(K60,2)</f>
        <v>25.55</v>
      </c>
      <c r="D742" s="271">
        <f>ROUND(K61,0)</f>
        <v>1852702</v>
      </c>
      <c r="E742" s="271">
        <f>ROUND(K62,0)</f>
        <v>527018</v>
      </c>
      <c r="F742" s="271">
        <f>ROUND(K63,0)</f>
        <v>0</v>
      </c>
      <c r="G742" s="271">
        <f>ROUND(K64,0)</f>
        <v>101375</v>
      </c>
      <c r="H742" s="271">
        <f>ROUND(K65,0)</f>
        <v>6806</v>
      </c>
      <c r="I742" s="271">
        <f>ROUND(K66,0)</f>
        <v>18910</v>
      </c>
      <c r="J742" s="271">
        <f>ROUND(K67,0)</f>
        <v>41134</v>
      </c>
      <c r="K742" s="271">
        <f>ROUND(K68,0)</f>
        <v>325</v>
      </c>
      <c r="L742" s="271">
        <f>ROUND(K69,0)</f>
        <v>5154</v>
      </c>
      <c r="M742" s="271">
        <f>ROUND(K70,0)</f>
        <v>0</v>
      </c>
      <c r="N742" s="271">
        <f>ROUND(K75,0)</f>
        <v>3858142</v>
      </c>
      <c r="O742" s="271">
        <f>ROUND(K73,0)</f>
        <v>3801302</v>
      </c>
      <c r="P742" s="271">
        <f>IF(K76&gt;0,ROUND(K76,0),0)</f>
        <v>0</v>
      </c>
      <c r="Q742" s="271">
        <f>IF(K77&gt;0,ROUND(K77,0),0)</f>
        <v>95090</v>
      </c>
      <c r="R742" s="271">
        <f>IF(K78&gt;0,ROUND(K78,0),0)</f>
        <v>0</v>
      </c>
      <c r="S742" s="271">
        <f>IF(K79&gt;0,ROUND(K79,0),0)</f>
        <v>45904</v>
      </c>
      <c r="T742" s="273">
        <f>IF(K80&gt;0,ROUND(K80,2),0)</f>
        <v>10.94</v>
      </c>
      <c r="U742" s="271"/>
      <c r="V742" s="272"/>
      <c r="W742" s="271"/>
      <c r="X742" s="271"/>
      <c r="Y742" s="271" t="e">
        <f t="shared" si="21"/>
        <v>#DIV/0!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" customHeight="1" x14ac:dyDescent="0.25">
      <c r="A743" s="209" t="str">
        <f>RIGHT($C$83,3)&amp;"*"&amp;RIGHT($C$82,4)&amp;"*"&amp;L$55&amp;"*"&amp;"A"</f>
        <v>168*2018*6210*A</v>
      </c>
      <c r="B743" s="271">
        <f>ROUND(L59,0)</f>
        <v>0</v>
      </c>
      <c r="C743" s="273">
        <f>ROUND(L60,2)</f>
        <v>0</v>
      </c>
      <c r="D743" s="271">
        <f>ROUND(L61,0)</f>
        <v>0</v>
      </c>
      <c r="E743" s="271">
        <f>ROUND(L62,0)</f>
        <v>0</v>
      </c>
      <c r="F743" s="271">
        <f>ROUND(L63,0)</f>
        <v>0</v>
      </c>
      <c r="G743" s="271">
        <f>ROUND(L64,0)</f>
        <v>0</v>
      </c>
      <c r="H743" s="271">
        <f>ROUND(L65,0)</f>
        <v>0</v>
      </c>
      <c r="I743" s="271">
        <f>ROUND(L66,0)</f>
        <v>0</v>
      </c>
      <c r="J743" s="271">
        <f>ROUND(L67,0)</f>
        <v>0</v>
      </c>
      <c r="K743" s="271">
        <f>ROUND(L68,0)</f>
        <v>0</v>
      </c>
      <c r="L743" s="271">
        <f>ROUND(L69,0)</f>
        <v>0</v>
      </c>
      <c r="M743" s="271">
        <f>ROUND(L70,0)</f>
        <v>0</v>
      </c>
      <c r="N743" s="271">
        <f>ROUND(L75,0)</f>
        <v>0</v>
      </c>
      <c r="O743" s="271">
        <f>ROUND(L73,0)</f>
        <v>0</v>
      </c>
      <c r="P743" s="271">
        <f>IF(L76&gt;0,ROUND(L76,0),0)</f>
        <v>0</v>
      </c>
      <c r="Q743" s="271">
        <f>IF(L77&gt;0,ROUND(L77,0),0)</f>
        <v>0</v>
      </c>
      <c r="R743" s="271">
        <f>IF(L78&gt;0,ROUND(L78,0),0)</f>
        <v>0</v>
      </c>
      <c r="S743" s="271">
        <f>IF(L79&gt;0,ROUND(L79,0),0)</f>
        <v>0</v>
      </c>
      <c r="T743" s="273">
        <f>IF(L80&gt;0,ROUND(L80,2),0)</f>
        <v>0</v>
      </c>
      <c r="U743" s="271"/>
      <c r="V743" s="272"/>
      <c r="W743" s="271"/>
      <c r="X743" s="271"/>
      <c r="Y743" s="271" t="e">
        <f t="shared" si="21"/>
        <v>#DIV/0!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" customHeight="1" x14ac:dyDescent="0.25">
      <c r="A744" s="209" t="str">
        <f>RIGHT($C$83,3)&amp;"*"&amp;RIGHT($C$82,4)&amp;"*"&amp;M$55&amp;"*"&amp;"A"</f>
        <v>168*2018*6330*A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 t="e">
        <f t="shared" si="21"/>
        <v>#DIV/0!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" customHeight="1" x14ac:dyDescent="0.25">
      <c r="A745" s="209" t="str">
        <f>RIGHT($C$83,3)&amp;"*"&amp;RIGHT($C$82,4)&amp;"*"&amp;N$55&amp;"*"&amp;"A"</f>
        <v>168*2018*6400*A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 t="e">
        <f t="shared" si="21"/>
        <v>#DIV/0!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" customHeight="1" x14ac:dyDescent="0.25">
      <c r="A746" s="209" t="str">
        <f>RIGHT($C$83,3)&amp;"*"&amp;RIGHT($C$82,4)&amp;"*"&amp;O$55&amp;"*"&amp;"A"</f>
        <v>168*2018*7010*A</v>
      </c>
      <c r="B746" s="271">
        <f>ROUND(O59,0)</f>
        <v>1282</v>
      </c>
      <c r="C746" s="273">
        <f>ROUND(O60,2)</f>
        <v>27.11</v>
      </c>
      <c r="D746" s="271">
        <f>ROUND(O61,0)</f>
        <v>2578175</v>
      </c>
      <c r="E746" s="271">
        <f>ROUND(O62,0)</f>
        <v>691006</v>
      </c>
      <c r="F746" s="271">
        <f>ROUND(O63,0)</f>
        <v>106334</v>
      </c>
      <c r="G746" s="271">
        <f>ROUND(O64,0)</f>
        <v>302440</v>
      </c>
      <c r="H746" s="271">
        <f>ROUND(O65,0)</f>
        <v>0</v>
      </c>
      <c r="I746" s="271">
        <f>ROUND(O66,0)</f>
        <v>76533</v>
      </c>
      <c r="J746" s="271">
        <f>ROUND(O67,0)</f>
        <v>40713</v>
      </c>
      <c r="K746" s="271">
        <f>ROUND(O68,0)</f>
        <v>0</v>
      </c>
      <c r="L746" s="271">
        <f>ROUND(O69,0)</f>
        <v>30276</v>
      </c>
      <c r="M746" s="271">
        <f>ROUND(O70,0)</f>
        <v>0</v>
      </c>
      <c r="N746" s="271">
        <f>ROUND(O75,0)</f>
        <v>12456688</v>
      </c>
      <c r="O746" s="271">
        <f>ROUND(O73,0)</f>
        <v>11387262</v>
      </c>
      <c r="P746" s="271">
        <f>IF(O76&gt;0,ROUND(O76,0),0)</f>
        <v>3417</v>
      </c>
      <c r="Q746" s="271">
        <f>IF(O77&gt;0,ROUND(O77,0),0)</f>
        <v>21468</v>
      </c>
      <c r="R746" s="271">
        <f>IF(O78&gt;0,ROUND(O78,0),0)</f>
        <v>0</v>
      </c>
      <c r="S746" s="271">
        <f>IF(O79&gt;0,ROUND(O79,0),0)</f>
        <v>102565</v>
      </c>
      <c r="T746" s="273">
        <f>IF(O80&gt;0,ROUND(O80,2),0)</f>
        <v>20.25</v>
      </c>
      <c r="U746" s="271"/>
      <c r="V746" s="272"/>
      <c r="W746" s="271"/>
      <c r="X746" s="271"/>
      <c r="Y746" s="271" t="e">
        <f t="shared" si="21"/>
        <v>#DIV/0!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" customHeight="1" x14ac:dyDescent="0.25">
      <c r="A747" s="209" t="str">
        <f>RIGHT($C$83,3)&amp;"*"&amp;RIGHT($C$82,4)&amp;"*"&amp;P$55&amp;"*"&amp;"A"</f>
        <v>168*2018*7020*A</v>
      </c>
      <c r="B747" s="271">
        <f>ROUND(P59,0)</f>
        <v>827514</v>
      </c>
      <c r="C747" s="273">
        <f>ROUND(P60,2)</f>
        <v>72.989999999999995</v>
      </c>
      <c r="D747" s="271">
        <f>ROUND(P61,0)</f>
        <v>5908499</v>
      </c>
      <c r="E747" s="271">
        <f>ROUND(P62,0)</f>
        <v>1633834</v>
      </c>
      <c r="F747" s="271">
        <f>ROUND(P63,0)</f>
        <v>1016563</v>
      </c>
      <c r="G747" s="271">
        <f>ROUND(P64,0)</f>
        <v>5159488</v>
      </c>
      <c r="H747" s="271">
        <f>ROUND(P65,0)</f>
        <v>7771</v>
      </c>
      <c r="I747" s="271">
        <f>ROUND(P66,0)</f>
        <v>602273</v>
      </c>
      <c r="J747" s="271">
        <f>ROUND(P67,0)</f>
        <v>823350</v>
      </c>
      <c r="K747" s="271">
        <f>ROUND(P68,0)</f>
        <v>44776</v>
      </c>
      <c r="L747" s="271">
        <f>ROUND(P69,0)</f>
        <v>98805</v>
      </c>
      <c r="M747" s="271">
        <f>ROUND(P70,0)</f>
        <v>0</v>
      </c>
      <c r="N747" s="271">
        <f>ROUND(P75,0)</f>
        <v>141117219</v>
      </c>
      <c r="O747" s="271">
        <f>ROUND(P73,0)</f>
        <v>84836462</v>
      </c>
      <c r="P747" s="271">
        <f>IF(P76&gt;0,ROUND(P76,0),0)</f>
        <v>12690</v>
      </c>
      <c r="Q747" s="271">
        <f>IF(P77&gt;0,ROUND(P77,0),0)</f>
        <v>0</v>
      </c>
      <c r="R747" s="271">
        <f>IF(P78&gt;0,ROUND(P78,0),0)</f>
        <v>0</v>
      </c>
      <c r="S747" s="271">
        <f>IF(P79&gt;0,ROUND(P79,0),0)</f>
        <v>330690</v>
      </c>
      <c r="T747" s="273">
        <f>IF(P80&gt;0,ROUND(P80,2),0)</f>
        <v>35.22</v>
      </c>
      <c r="U747" s="271"/>
      <c r="V747" s="272"/>
      <c r="W747" s="271"/>
      <c r="X747" s="271"/>
      <c r="Y747" s="271" t="e">
        <f t="shared" si="21"/>
        <v>#DIV/0!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" customHeight="1" x14ac:dyDescent="0.25">
      <c r="A748" s="209" t="str">
        <f>RIGHT($C$83,3)&amp;"*"&amp;RIGHT($C$82,4)&amp;"*"&amp;Q$55&amp;"*"&amp;"A"</f>
        <v>168*2018*7030*A</v>
      </c>
      <c r="B748" s="271">
        <f>ROUND(Q59,0)</f>
        <v>410659</v>
      </c>
      <c r="C748" s="273">
        <f>ROUND(Q60,2)</f>
        <v>12.33</v>
      </c>
      <c r="D748" s="271">
        <f>ROUND(Q61,0)</f>
        <v>1476073</v>
      </c>
      <c r="E748" s="271">
        <f>ROUND(Q62,0)</f>
        <v>324816</v>
      </c>
      <c r="F748" s="271">
        <f>ROUND(Q63,0)</f>
        <v>0</v>
      </c>
      <c r="G748" s="271">
        <f>ROUND(Q64,0)</f>
        <v>67088</v>
      </c>
      <c r="H748" s="271">
        <f>ROUND(Q65,0)</f>
        <v>2168</v>
      </c>
      <c r="I748" s="271">
        <f>ROUND(Q66,0)</f>
        <v>1239</v>
      </c>
      <c r="J748" s="271">
        <f>ROUND(Q67,0)</f>
        <v>1909</v>
      </c>
      <c r="K748" s="271">
        <f>ROUND(Q68,0)</f>
        <v>0</v>
      </c>
      <c r="L748" s="271">
        <f>ROUND(Q69,0)</f>
        <v>1543</v>
      </c>
      <c r="M748" s="271">
        <f>ROUND(Q70,0)</f>
        <v>0</v>
      </c>
      <c r="N748" s="271">
        <f>ROUND(Q75,0)</f>
        <v>6412228</v>
      </c>
      <c r="O748" s="271">
        <f>ROUND(Q73,0)</f>
        <v>3676241</v>
      </c>
      <c r="P748" s="271">
        <f>IF(Q76&gt;0,ROUND(Q76,0),0)</f>
        <v>4116</v>
      </c>
      <c r="Q748" s="271">
        <f>IF(Q77&gt;0,ROUND(Q77,0),0)</f>
        <v>0</v>
      </c>
      <c r="R748" s="271">
        <f>IF(Q78&gt;0,ROUND(Q78,0),0)</f>
        <v>0</v>
      </c>
      <c r="S748" s="271">
        <f>IF(Q79&gt;0,ROUND(Q79,0),0)</f>
        <v>52925</v>
      </c>
      <c r="T748" s="273">
        <f>IF(Q80&gt;0,ROUND(Q80,2),0)</f>
        <v>12.33</v>
      </c>
      <c r="U748" s="271"/>
      <c r="V748" s="272"/>
      <c r="W748" s="271"/>
      <c r="X748" s="271"/>
      <c r="Y748" s="271" t="e">
        <f t="shared" si="21"/>
        <v>#DIV/0!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" customHeight="1" x14ac:dyDescent="0.25">
      <c r="A749" s="209" t="str">
        <f>RIGHT($C$83,3)&amp;"*"&amp;RIGHT($C$82,4)&amp;"*"&amp;R$55&amp;"*"&amp;"A"</f>
        <v>168*2018*7040*A</v>
      </c>
      <c r="B749" s="271">
        <f>ROUND(R59,0)</f>
        <v>826140</v>
      </c>
      <c r="C749" s="273">
        <f>ROUND(R60,2)</f>
        <v>5.38</v>
      </c>
      <c r="D749" s="271">
        <f>ROUND(R61,0)</f>
        <v>448063</v>
      </c>
      <c r="E749" s="271">
        <f>ROUND(R62,0)</f>
        <v>113876</v>
      </c>
      <c r="F749" s="271">
        <f>ROUND(R63,0)</f>
        <v>1689367</v>
      </c>
      <c r="G749" s="271">
        <f>ROUND(R64,0)</f>
        <v>420187</v>
      </c>
      <c r="H749" s="271">
        <f>ROUND(R65,0)</f>
        <v>0</v>
      </c>
      <c r="I749" s="271">
        <f>ROUND(R66,0)</f>
        <v>17427</v>
      </c>
      <c r="J749" s="271">
        <f>ROUND(R67,0)</f>
        <v>12074</v>
      </c>
      <c r="K749" s="271">
        <f>ROUND(R68,0)</f>
        <v>886</v>
      </c>
      <c r="L749" s="271">
        <f>ROUND(R69,0)</f>
        <v>4090</v>
      </c>
      <c r="M749" s="271">
        <f>ROUND(R70,0)</f>
        <v>0</v>
      </c>
      <c r="N749" s="271">
        <f>ROUND(R75,0)</f>
        <v>5187332</v>
      </c>
      <c r="O749" s="271">
        <f>ROUND(R73,0)</f>
        <v>2300624</v>
      </c>
      <c r="P749" s="271">
        <f>IF(R76&gt;0,ROUND(R76,0),0)</f>
        <v>0</v>
      </c>
      <c r="Q749" s="271">
        <f>IF(R77&gt;0,ROUND(R77,0),0)</f>
        <v>0</v>
      </c>
      <c r="R749" s="271">
        <f>IF(R78&gt;0,ROUND(R78,0),0)</f>
        <v>0</v>
      </c>
      <c r="S749" s="271">
        <f>IF(R79&gt;0,ROUND(R79,0),0)</f>
        <v>0</v>
      </c>
      <c r="T749" s="273">
        <f>IF(R80&gt;0,ROUND(R80,2),0)</f>
        <v>0</v>
      </c>
      <c r="U749" s="271"/>
      <c r="V749" s="272"/>
      <c r="W749" s="271"/>
      <c r="X749" s="271"/>
      <c r="Y749" s="271" t="e">
        <f t="shared" si="21"/>
        <v>#DIV/0!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" customHeight="1" x14ac:dyDescent="0.25">
      <c r="A750" s="209" t="str">
        <f>RIGHT($C$83,3)&amp;"*"&amp;RIGHT($C$82,4)&amp;"*"&amp;S$55&amp;"*"&amp;"A"</f>
        <v>168*2018*7050*A</v>
      </c>
      <c r="B750" s="271"/>
      <c r="C750" s="273">
        <f>ROUND(S60,2)</f>
        <v>18.89</v>
      </c>
      <c r="D750" s="271">
        <f>ROUND(S61,0)</f>
        <v>807599</v>
      </c>
      <c r="E750" s="271">
        <f>ROUND(S62,0)</f>
        <v>298463</v>
      </c>
      <c r="F750" s="271">
        <f>ROUND(S63,0)</f>
        <v>28579</v>
      </c>
      <c r="G750" s="271">
        <f>ROUND(S64,0)</f>
        <v>28949206</v>
      </c>
      <c r="H750" s="271">
        <f>ROUND(S65,0)</f>
        <v>3057</v>
      </c>
      <c r="I750" s="271">
        <f>ROUND(S66,0)</f>
        <v>209739</v>
      </c>
      <c r="J750" s="271">
        <f>ROUND(S67,0)</f>
        <v>139020</v>
      </c>
      <c r="K750" s="271">
        <f>ROUND(S68,0)</f>
        <v>138319</v>
      </c>
      <c r="L750" s="271">
        <f>ROUND(S69,0)</f>
        <v>4240</v>
      </c>
      <c r="M750" s="271">
        <f>ROUND(S70,0)</f>
        <v>0</v>
      </c>
      <c r="N750" s="271">
        <f>ROUND(S75,0)</f>
        <v>77199598</v>
      </c>
      <c r="O750" s="271">
        <f>ROUND(S73,0)</f>
        <v>52991060</v>
      </c>
      <c r="P750" s="271">
        <f>IF(S76&gt;0,ROUND(S76,0),0)</f>
        <v>5728</v>
      </c>
      <c r="Q750" s="271">
        <f>IF(S77&gt;0,ROUND(S77,0),0)</f>
        <v>0</v>
      </c>
      <c r="R750" s="271">
        <f>IF(S78&gt;0,ROUND(S78,0),0)</f>
        <v>0</v>
      </c>
      <c r="S750" s="271">
        <f>IF(S79&gt;0,ROUND(S79,0),0)</f>
        <v>14600</v>
      </c>
      <c r="T750" s="273">
        <f>IF(S80&gt;0,ROUND(S80,2),0)</f>
        <v>0</v>
      </c>
      <c r="U750" s="271"/>
      <c r="V750" s="272"/>
      <c r="W750" s="271"/>
      <c r="X750" s="271"/>
      <c r="Y750" s="271" t="e">
        <f t="shared" si="21"/>
        <v>#DIV/0!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" customHeight="1" x14ac:dyDescent="0.25">
      <c r="A751" s="209" t="str">
        <f>RIGHT($C$83,3)&amp;"*"&amp;RIGHT($C$82,4)&amp;"*"&amp;T$55&amp;"*"&amp;"A"</f>
        <v>168*2018*7060*A</v>
      </c>
      <c r="B751" s="271"/>
      <c r="C751" s="273">
        <f>ROUND(T60,2)</f>
        <v>4.28</v>
      </c>
      <c r="D751" s="271">
        <f>ROUND(T61,0)</f>
        <v>409238</v>
      </c>
      <c r="E751" s="271">
        <f>ROUND(T62,0)</f>
        <v>101454</v>
      </c>
      <c r="F751" s="271">
        <f>ROUND(T63,0)</f>
        <v>0</v>
      </c>
      <c r="G751" s="271">
        <f>ROUND(T64,0)</f>
        <v>526181</v>
      </c>
      <c r="H751" s="271">
        <f>ROUND(T65,0)</f>
        <v>760</v>
      </c>
      <c r="I751" s="271">
        <f>ROUND(T66,0)</f>
        <v>68041</v>
      </c>
      <c r="J751" s="271">
        <f>ROUND(T67,0)</f>
        <v>0</v>
      </c>
      <c r="K751" s="271">
        <f>ROUND(T68,0)</f>
        <v>0</v>
      </c>
      <c r="L751" s="271">
        <f>ROUND(T69,0)</f>
        <v>1322</v>
      </c>
      <c r="M751" s="271">
        <f>ROUND(T70,0)</f>
        <v>0</v>
      </c>
      <c r="N751" s="271">
        <f>ROUND(T75,0)</f>
        <v>2099768</v>
      </c>
      <c r="O751" s="271">
        <f>ROUND(T73,0)</f>
        <v>0</v>
      </c>
      <c r="P751" s="271">
        <f>IF(T76&gt;0,ROUND(T76,0),0)</f>
        <v>0</v>
      </c>
      <c r="Q751" s="271">
        <f>IF(T77&gt;0,ROUND(T77,0),0)</f>
        <v>0</v>
      </c>
      <c r="R751" s="271">
        <f>IF(T78&gt;0,ROUND(T78,0),0)</f>
        <v>0</v>
      </c>
      <c r="S751" s="271">
        <f>IF(T79&gt;0,ROUND(T79,0),0)</f>
        <v>0</v>
      </c>
      <c r="T751" s="273">
        <f>IF(T80&gt;0,ROUND(T80,2),0)</f>
        <v>0</v>
      </c>
      <c r="U751" s="271"/>
      <c r="V751" s="272"/>
      <c r="W751" s="271"/>
      <c r="X751" s="271"/>
      <c r="Y751" s="271" t="e">
        <f t="shared" si="21"/>
        <v>#DIV/0!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" customHeight="1" x14ac:dyDescent="0.25">
      <c r="A752" s="209" t="str">
        <f>RIGHT($C$83,3)&amp;"*"&amp;RIGHT($C$82,4)&amp;"*"&amp;U$55&amp;"*"&amp;"A"</f>
        <v>168*2018*7070*A</v>
      </c>
      <c r="B752" s="271">
        <f>ROUND(U59,0)</f>
        <v>484938</v>
      </c>
      <c r="C752" s="273">
        <f>ROUND(U60,2)</f>
        <v>77.930000000000007</v>
      </c>
      <c r="D752" s="271">
        <f>ROUND(U61,0)</f>
        <v>4705958</v>
      </c>
      <c r="E752" s="271">
        <f>ROUND(U62,0)</f>
        <v>1370557</v>
      </c>
      <c r="F752" s="271">
        <f>ROUND(U63,0)</f>
        <v>14114</v>
      </c>
      <c r="G752" s="271">
        <f>ROUND(U64,0)</f>
        <v>5367821</v>
      </c>
      <c r="H752" s="271">
        <f>ROUND(U65,0)</f>
        <v>3618</v>
      </c>
      <c r="I752" s="271">
        <f>ROUND(U66,0)</f>
        <v>7102235</v>
      </c>
      <c r="J752" s="271">
        <f>ROUND(U67,0)</f>
        <v>284477</v>
      </c>
      <c r="K752" s="271">
        <f>ROUND(U68,0)</f>
        <v>1128</v>
      </c>
      <c r="L752" s="271">
        <f>ROUND(U69,0)</f>
        <v>59895</v>
      </c>
      <c r="M752" s="271">
        <f>ROUND(U70,0)</f>
        <v>0</v>
      </c>
      <c r="N752" s="271">
        <f>ROUND(U75,0)</f>
        <v>43035008</v>
      </c>
      <c r="O752" s="271">
        <f>ROUND(U73,0)</f>
        <v>18225987</v>
      </c>
      <c r="P752" s="271">
        <f>IF(U76&gt;0,ROUND(U76,0),0)</f>
        <v>13833</v>
      </c>
      <c r="Q752" s="271">
        <f>IF(U77&gt;0,ROUND(U77,0),0)</f>
        <v>0</v>
      </c>
      <c r="R752" s="271">
        <f>IF(U78&gt;0,ROUND(U78,0),0)</f>
        <v>0</v>
      </c>
      <c r="S752" s="271">
        <f>IF(U79&gt;0,ROUND(U79,0),0)</f>
        <v>0</v>
      </c>
      <c r="T752" s="273">
        <f>IF(U80&gt;0,ROUND(U80,2),0)</f>
        <v>0</v>
      </c>
      <c r="U752" s="271"/>
      <c r="V752" s="272"/>
      <c r="W752" s="271"/>
      <c r="X752" s="271"/>
      <c r="Y752" s="271" t="e">
        <f t="shared" si="21"/>
        <v>#DIV/0!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" customHeight="1" x14ac:dyDescent="0.25">
      <c r="A753" s="209" t="str">
        <f>RIGHT($C$83,3)&amp;"*"&amp;RIGHT($C$82,4)&amp;"*"&amp;V$55&amp;"*"&amp;"A"</f>
        <v>168*2018*7110*A</v>
      </c>
      <c r="B753" s="271">
        <f>ROUND(V59,0)</f>
        <v>2824</v>
      </c>
      <c r="C753" s="273">
        <f>ROUND(V60,2)</f>
        <v>0.31</v>
      </c>
      <c r="D753" s="271">
        <f>ROUND(V61,0)</f>
        <v>19817</v>
      </c>
      <c r="E753" s="271">
        <f>ROUND(V62,0)</f>
        <v>6255</v>
      </c>
      <c r="F753" s="271">
        <f>ROUND(V63,0)</f>
        <v>0</v>
      </c>
      <c r="G753" s="271">
        <f>ROUND(V64,0)</f>
        <v>813</v>
      </c>
      <c r="H753" s="271">
        <f>ROUND(V65,0)</f>
        <v>0</v>
      </c>
      <c r="I753" s="271">
        <f>ROUND(V66,0)</f>
        <v>0</v>
      </c>
      <c r="J753" s="271">
        <f>ROUND(V67,0)</f>
        <v>2839</v>
      </c>
      <c r="K753" s="271">
        <f>ROUND(V68,0)</f>
        <v>0</v>
      </c>
      <c r="L753" s="271">
        <f>ROUND(V69,0)</f>
        <v>0</v>
      </c>
      <c r="M753" s="271">
        <f>ROUND(V70,0)</f>
        <v>0</v>
      </c>
      <c r="N753" s="271">
        <f>ROUND(V75,0)</f>
        <v>1336674</v>
      </c>
      <c r="O753" s="271">
        <f>ROUND(V73,0)</f>
        <v>1138582</v>
      </c>
      <c r="P753" s="271">
        <f>IF(V76&gt;0,ROUND(V76,0),0)</f>
        <v>866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 t="e">
        <f t="shared" si="21"/>
        <v>#DIV/0!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" customHeight="1" x14ac:dyDescent="0.25">
      <c r="A754" s="209" t="str">
        <f>RIGHT($C$83,3)&amp;"*"&amp;RIGHT($C$82,4)&amp;"*"&amp;W$55&amp;"*"&amp;"A"</f>
        <v>168*2018*7120*A</v>
      </c>
      <c r="B754" s="271">
        <f>ROUND(W59,0)</f>
        <v>4477</v>
      </c>
      <c r="C754" s="273">
        <f>ROUND(W60,2)</f>
        <v>6.1</v>
      </c>
      <c r="D754" s="271">
        <f>ROUND(W61,0)</f>
        <v>613304</v>
      </c>
      <c r="E754" s="271">
        <f>ROUND(W62,0)</f>
        <v>162014</v>
      </c>
      <c r="F754" s="271">
        <f>ROUND(W63,0)</f>
        <v>0</v>
      </c>
      <c r="G754" s="271">
        <f>ROUND(W64,0)</f>
        <v>104423</v>
      </c>
      <c r="H754" s="271">
        <f>ROUND(W65,0)</f>
        <v>634</v>
      </c>
      <c r="I754" s="271">
        <f>ROUND(W66,0)</f>
        <v>172900</v>
      </c>
      <c r="J754" s="271">
        <f>ROUND(W67,0)</f>
        <v>60126</v>
      </c>
      <c r="K754" s="271">
        <f>ROUND(W68,0)</f>
        <v>0</v>
      </c>
      <c r="L754" s="271">
        <f>ROUND(W69,0)</f>
        <v>7657</v>
      </c>
      <c r="M754" s="271">
        <f>ROUND(W70,0)</f>
        <v>0</v>
      </c>
      <c r="N754" s="271">
        <f>ROUND(W75,0)</f>
        <v>7215417</v>
      </c>
      <c r="O754" s="271">
        <f>ROUND(W73,0)</f>
        <v>2796515</v>
      </c>
      <c r="P754" s="271">
        <f>IF(W76&gt;0,ROUND(W76,0),0)</f>
        <v>729</v>
      </c>
      <c r="Q754" s="271">
        <f>IF(W77&gt;0,ROUND(W77,0),0)</f>
        <v>0</v>
      </c>
      <c r="R754" s="271">
        <f>IF(W78&gt;0,ROUND(W78,0),0)</f>
        <v>0</v>
      </c>
      <c r="S754" s="271">
        <f>IF(W79&gt;0,ROUND(W79,0),0)</f>
        <v>0</v>
      </c>
      <c r="T754" s="273">
        <f>IF(W80&gt;0,ROUND(W80,2),0)</f>
        <v>0</v>
      </c>
      <c r="U754" s="271"/>
      <c r="V754" s="272"/>
      <c r="W754" s="271"/>
      <c r="X754" s="271"/>
      <c r="Y754" s="271" t="e">
        <f t="shared" si="21"/>
        <v>#DIV/0!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" customHeight="1" x14ac:dyDescent="0.25">
      <c r="A755" s="209" t="str">
        <f>RIGHT($C$83,3)&amp;"*"&amp;RIGHT($C$82,4)&amp;"*"&amp;X$55&amp;"*"&amp;"A"</f>
        <v>168*2018*7130*A</v>
      </c>
      <c r="B755" s="271">
        <f>ROUND(X59,0)</f>
        <v>14169</v>
      </c>
      <c r="C755" s="273">
        <f>ROUND(X60,2)</f>
        <v>10.36</v>
      </c>
      <c r="D755" s="271">
        <f>ROUND(X61,0)</f>
        <v>819937</v>
      </c>
      <c r="E755" s="271">
        <f>ROUND(X62,0)</f>
        <v>186889</v>
      </c>
      <c r="F755" s="271">
        <f>ROUND(X63,0)</f>
        <v>0</v>
      </c>
      <c r="G755" s="271">
        <f>ROUND(X64,0)</f>
        <v>220018</v>
      </c>
      <c r="H755" s="271">
        <f>ROUND(X65,0)</f>
        <v>790</v>
      </c>
      <c r="I755" s="271">
        <f>ROUND(X66,0)</f>
        <v>258416</v>
      </c>
      <c r="J755" s="271">
        <f>ROUND(X67,0)</f>
        <v>114400</v>
      </c>
      <c r="K755" s="271">
        <f>ROUND(X68,0)</f>
        <v>0</v>
      </c>
      <c r="L755" s="271">
        <f>ROUND(X69,0)</f>
        <v>795</v>
      </c>
      <c r="M755" s="271">
        <f>ROUND(X70,0)</f>
        <v>0</v>
      </c>
      <c r="N755" s="271">
        <f>ROUND(X75,0)</f>
        <v>24964941</v>
      </c>
      <c r="O755" s="271">
        <f>ROUND(X73,0)</f>
        <v>10594376</v>
      </c>
      <c r="P755" s="271">
        <f>IF(X76&gt;0,ROUND(X76,0),0)</f>
        <v>1500</v>
      </c>
      <c r="Q755" s="271">
        <f>IF(X77&gt;0,ROUND(X77,0),0)</f>
        <v>0</v>
      </c>
      <c r="R755" s="271">
        <f>IF(X78&gt;0,ROUND(X78,0),0)</f>
        <v>0</v>
      </c>
      <c r="S755" s="271">
        <f>IF(X79&gt;0,ROUND(X79,0),0)</f>
        <v>0</v>
      </c>
      <c r="T755" s="273">
        <f>IF(X80&gt;0,ROUND(X80,2),0)</f>
        <v>0</v>
      </c>
      <c r="U755" s="271"/>
      <c r="V755" s="272"/>
      <c r="W755" s="271"/>
      <c r="X755" s="271"/>
      <c r="Y755" s="271" t="e">
        <f t="shared" si="21"/>
        <v>#DIV/0!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" customHeight="1" x14ac:dyDescent="0.25">
      <c r="A756" s="209" t="str">
        <f>RIGHT($C$83,3)&amp;"*"&amp;RIGHT($C$82,4)&amp;"*"&amp;Y$55&amp;"*"&amp;"A"</f>
        <v>168*2018*7140*A</v>
      </c>
      <c r="B756" s="271">
        <f>ROUND(Y59,0)</f>
        <v>120995</v>
      </c>
      <c r="C756" s="273">
        <f>ROUND(Y60,2)</f>
        <v>73.12</v>
      </c>
      <c r="D756" s="271">
        <f>ROUND(Y61,0)</f>
        <v>5532653</v>
      </c>
      <c r="E756" s="271">
        <f>ROUND(Y62,0)</f>
        <v>1534182</v>
      </c>
      <c r="F756" s="271">
        <f>ROUND(Y63,0)</f>
        <v>585599</v>
      </c>
      <c r="G756" s="271">
        <f>ROUND(Y64,0)</f>
        <v>876622</v>
      </c>
      <c r="H756" s="271">
        <f>ROUND(Y65,0)</f>
        <v>6310</v>
      </c>
      <c r="I756" s="271">
        <f>ROUND(Y66,0)</f>
        <v>842938</v>
      </c>
      <c r="J756" s="271">
        <f>ROUND(Y67,0)</f>
        <v>1225195</v>
      </c>
      <c r="K756" s="271">
        <f>ROUND(Y68,0)</f>
        <v>0</v>
      </c>
      <c r="L756" s="271">
        <f>ROUND(Y69,0)</f>
        <v>92594</v>
      </c>
      <c r="M756" s="271">
        <f>ROUND(Y70,0)</f>
        <v>0</v>
      </c>
      <c r="N756" s="271">
        <f>ROUND(Y75,0)</f>
        <v>50756161</v>
      </c>
      <c r="O756" s="271">
        <f>ROUND(Y73,0)</f>
        <v>24148751</v>
      </c>
      <c r="P756" s="271">
        <f>IF(Y76&gt;0,ROUND(Y76,0),0)</f>
        <v>9572</v>
      </c>
      <c r="Q756" s="271">
        <f>IF(Y77&gt;0,ROUND(Y77,0),0)</f>
        <v>0</v>
      </c>
      <c r="R756" s="271">
        <f>IF(Y78&gt;0,ROUND(Y78,0),0)</f>
        <v>0</v>
      </c>
      <c r="S756" s="271">
        <f>IF(Y79&gt;0,ROUND(Y79,0),0)</f>
        <v>51100</v>
      </c>
      <c r="T756" s="273">
        <f>IF(Y80&gt;0,ROUND(Y80,2),0)</f>
        <v>10.8</v>
      </c>
      <c r="U756" s="271"/>
      <c r="V756" s="272"/>
      <c r="W756" s="271"/>
      <c r="X756" s="271"/>
      <c r="Y756" s="271" t="e">
        <f t="shared" si="21"/>
        <v>#DIV/0!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" customHeight="1" x14ac:dyDescent="0.25">
      <c r="A757" s="209" t="str">
        <f>RIGHT($C$83,3)&amp;"*"&amp;RIGHT($C$82,4)&amp;"*"&amp;Z$55&amp;"*"&amp;"A"</f>
        <v>168*2018*7150*A</v>
      </c>
      <c r="B757" s="271">
        <f>ROUND(Z59,0)</f>
        <v>0</v>
      </c>
      <c r="C757" s="273">
        <f>ROUND(Z60,2)</f>
        <v>0</v>
      </c>
      <c r="D757" s="271">
        <f>ROUND(Z61,0)</f>
        <v>0</v>
      </c>
      <c r="E757" s="271">
        <f>ROUND(Z62,0)</f>
        <v>0</v>
      </c>
      <c r="F757" s="271">
        <f>ROUND(Z63,0)</f>
        <v>0</v>
      </c>
      <c r="G757" s="271">
        <f>ROUND(Z64,0)</f>
        <v>0</v>
      </c>
      <c r="H757" s="271">
        <f>ROUND(Z65,0)</f>
        <v>0</v>
      </c>
      <c r="I757" s="271">
        <f>ROUND(Z66,0)</f>
        <v>0</v>
      </c>
      <c r="J757" s="271">
        <f>ROUND(Z67,0)</f>
        <v>0</v>
      </c>
      <c r="K757" s="271">
        <f>ROUND(Z68,0)</f>
        <v>0</v>
      </c>
      <c r="L757" s="271">
        <f>ROUND(Z69,0)</f>
        <v>0</v>
      </c>
      <c r="M757" s="271">
        <f>ROUND(Z70,0)</f>
        <v>0</v>
      </c>
      <c r="N757" s="271">
        <f>ROUND(Z75,0)</f>
        <v>0</v>
      </c>
      <c r="O757" s="271">
        <f>ROUND(Z73,0)</f>
        <v>0</v>
      </c>
      <c r="P757" s="271">
        <f>IF(Z76&gt;0,ROUND(Z76,0),0)</f>
        <v>0</v>
      </c>
      <c r="Q757" s="271">
        <f>IF(Z77&gt;0,ROUND(Z77,0),0)</f>
        <v>0</v>
      </c>
      <c r="R757" s="271">
        <f>IF(Z78&gt;0,ROUND(Z78,0),0)</f>
        <v>0</v>
      </c>
      <c r="S757" s="271">
        <f>IF(Z79&gt;0,ROUND(Z79,0),0)</f>
        <v>0</v>
      </c>
      <c r="T757" s="273">
        <f>IF(Z80&gt;0,ROUND(Z80,2),0)</f>
        <v>0</v>
      </c>
      <c r="U757" s="271"/>
      <c r="V757" s="272"/>
      <c r="W757" s="271"/>
      <c r="X757" s="271"/>
      <c r="Y757" s="271" t="e">
        <f t="shared" si="21"/>
        <v>#DIV/0!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" customHeight="1" x14ac:dyDescent="0.25">
      <c r="A758" s="209" t="str">
        <f>RIGHT($C$83,3)&amp;"*"&amp;RIGHT($C$82,4)&amp;"*"&amp;AA$55&amp;"*"&amp;"A"</f>
        <v>168*2018*7160*A</v>
      </c>
      <c r="B758" s="271">
        <f>ROUND(AA59,0)</f>
        <v>0</v>
      </c>
      <c r="C758" s="273">
        <f>ROUND(AA60,2)</f>
        <v>0</v>
      </c>
      <c r="D758" s="271">
        <f>ROUND(AA61,0)</f>
        <v>0</v>
      </c>
      <c r="E758" s="271">
        <f>ROUND(AA62,0)</f>
        <v>0</v>
      </c>
      <c r="F758" s="271">
        <f>ROUND(AA63,0)</f>
        <v>0</v>
      </c>
      <c r="G758" s="271">
        <f>ROUND(AA64,0)</f>
        <v>0</v>
      </c>
      <c r="H758" s="271">
        <f>ROUND(AA65,0)</f>
        <v>0</v>
      </c>
      <c r="I758" s="271">
        <f>ROUND(AA66,0)</f>
        <v>0</v>
      </c>
      <c r="J758" s="271">
        <f>ROUND(AA67,0)</f>
        <v>0</v>
      </c>
      <c r="K758" s="271">
        <f>ROUND(AA68,0)</f>
        <v>0</v>
      </c>
      <c r="L758" s="271">
        <f>ROUND(AA69,0)</f>
        <v>0</v>
      </c>
      <c r="M758" s="271">
        <f>ROUND(AA70,0)</f>
        <v>0</v>
      </c>
      <c r="N758" s="271">
        <f>ROUND(AA75,0)</f>
        <v>0</v>
      </c>
      <c r="O758" s="271">
        <f>ROUND(AA73,0)</f>
        <v>0</v>
      </c>
      <c r="P758" s="271">
        <f>IF(AA76&gt;0,ROUND(AA76,0),0)</f>
        <v>0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 t="e">
        <f t="shared" si="21"/>
        <v>#DIV/0!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" customHeight="1" x14ac:dyDescent="0.25">
      <c r="A759" s="209" t="str">
        <f>RIGHT($C$83,3)&amp;"*"&amp;RIGHT($C$82,4)&amp;"*"&amp;AB$55&amp;"*"&amp;"A"</f>
        <v>168*2018*7170*A</v>
      </c>
      <c r="B759" s="271"/>
      <c r="C759" s="273">
        <f>ROUND(AB60,2)</f>
        <v>93.98</v>
      </c>
      <c r="D759" s="271">
        <f>ROUND(AB61,0)</f>
        <v>7160754</v>
      </c>
      <c r="E759" s="271">
        <f>ROUND(AB62,0)</f>
        <v>1868576</v>
      </c>
      <c r="F759" s="271">
        <f>ROUND(AB63,0)</f>
        <v>112629</v>
      </c>
      <c r="G759" s="271">
        <f>ROUND(AB64,0)</f>
        <v>9848457</v>
      </c>
      <c r="H759" s="271">
        <f>ROUND(AB65,0)</f>
        <v>5533</v>
      </c>
      <c r="I759" s="271">
        <f>ROUND(AB66,0)</f>
        <v>436594</v>
      </c>
      <c r="J759" s="271">
        <f>ROUND(AB67,0)</f>
        <v>254393</v>
      </c>
      <c r="K759" s="271">
        <f>ROUND(AB68,0)</f>
        <v>53336</v>
      </c>
      <c r="L759" s="271">
        <f>ROUND(AB69,0)</f>
        <v>180890</v>
      </c>
      <c r="M759" s="271">
        <f>ROUND(AB70,0)</f>
        <v>0</v>
      </c>
      <c r="N759" s="271">
        <f>ROUND(AB75,0)</f>
        <v>31544298</v>
      </c>
      <c r="O759" s="271">
        <f>ROUND(AB73,0)</f>
        <v>21942359</v>
      </c>
      <c r="P759" s="271">
        <f>IF(AB76&gt;0,ROUND(AB76,0),0)</f>
        <v>8764</v>
      </c>
      <c r="Q759" s="271">
        <f>IF(AB77&gt;0,ROUND(AB77,0),0)</f>
        <v>0</v>
      </c>
      <c r="R759" s="271">
        <f>IF(AB78&gt;0,ROUND(AB78,0),0)</f>
        <v>0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 t="e">
        <f t="shared" si="21"/>
        <v>#DIV/0!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" customHeight="1" x14ac:dyDescent="0.25">
      <c r="A760" s="209" t="str">
        <f>RIGHT($C$83,3)&amp;"*"&amp;RIGHT($C$82,4)&amp;"*"&amp;AC$55&amp;"*"&amp;"A"</f>
        <v>168*2018*7180*A</v>
      </c>
      <c r="B760" s="271">
        <f>ROUND(AC59,0)</f>
        <v>15041</v>
      </c>
      <c r="C760" s="273">
        <f>ROUND(AC60,2)</f>
        <v>22.07</v>
      </c>
      <c r="D760" s="271">
        <f>ROUND(AC61,0)</f>
        <v>1775317</v>
      </c>
      <c r="E760" s="271">
        <f>ROUND(AC62,0)</f>
        <v>468792</v>
      </c>
      <c r="F760" s="271">
        <f>ROUND(AC63,0)</f>
        <v>188082</v>
      </c>
      <c r="G760" s="271">
        <f>ROUND(AC64,0)</f>
        <v>210031</v>
      </c>
      <c r="H760" s="271">
        <f>ROUND(AC65,0)</f>
        <v>2282</v>
      </c>
      <c r="I760" s="271">
        <f>ROUND(AC66,0)</f>
        <v>8835</v>
      </c>
      <c r="J760" s="271">
        <f>ROUND(AC67,0)</f>
        <v>26197</v>
      </c>
      <c r="K760" s="271">
        <f>ROUND(AC68,0)</f>
        <v>2301</v>
      </c>
      <c r="L760" s="271">
        <f>ROUND(AC69,0)</f>
        <v>8715</v>
      </c>
      <c r="M760" s="271">
        <f>ROUND(AC70,0)</f>
        <v>0</v>
      </c>
      <c r="N760" s="271">
        <f>ROUND(AC75,0)</f>
        <v>10492727</v>
      </c>
      <c r="O760" s="271">
        <f>ROUND(AC73,0)</f>
        <v>9178156</v>
      </c>
      <c r="P760" s="271">
        <f>IF(AC76&gt;0,ROUND(AC76,0),0)</f>
        <v>2510</v>
      </c>
      <c r="Q760" s="271">
        <f>IF(AC77&gt;0,ROUND(AC77,0),0)</f>
        <v>0</v>
      </c>
      <c r="R760" s="271">
        <f>IF(AC78&gt;0,ROUND(AC78,0),0)</f>
        <v>0</v>
      </c>
      <c r="S760" s="271">
        <f>IF(AC79&gt;0,ROUND(AC79,0),0)</f>
        <v>0</v>
      </c>
      <c r="T760" s="273">
        <f>IF(AC80&gt;0,ROUND(AC80,2),0)</f>
        <v>0</v>
      </c>
      <c r="U760" s="271"/>
      <c r="V760" s="272"/>
      <c r="W760" s="271"/>
      <c r="X760" s="271"/>
      <c r="Y760" s="271" t="e">
        <f t="shared" si="21"/>
        <v>#DIV/0!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" customHeight="1" x14ac:dyDescent="0.25">
      <c r="A761" s="209" t="str">
        <f>RIGHT($C$83,3)&amp;"*"&amp;RIGHT($C$82,4)&amp;"*"&amp;AD$55&amp;"*"&amp;"A"</f>
        <v>168*2018*7190*A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749672</v>
      </c>
      <c r="G761" s="271">
        <f>ROUND(AD64,0)</f>
        <v>17115</v>
      </c>
      <c r="H761" s="271">
        <f>ROUND(AD65,0)</f>
        <v>0</v>
      </c>
      <c r="I761" s="271">
        <f>ROUND(AD66,0)</f>
        <v>844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1660470</v>
      </c>
      <c r="O761" s="271">
        <f>ROUND(AD73,0)</f>
        <v>1448011</v>
      </c>
      <c r="P761" s="271">
        <f>IF(AD76&gt;0,ROUND(AD76,0),0)</f>
        <v>2170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 t="e">
        <f t="shared" si="21"/>
        <v>#DIV/0!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" customHeight="1" x14ac:dyDescent="0.25">
      <c r="A762" s="209" t="str">
        <f>RIGHT($C$83,3)&amp;"*"&amp;RIGHT($C$82,4)&amp;"*"&amp;AE$55&amp;"*"&amp;"A"</f>
        <v>168*2018*7200*A</v>
      </c>
      <c r="B762" s="271">
        <f>ROUND(AE59,0)</f>
        <v>38602</v>
      </c>
      <c r="C762" s="273">
        <f>ROUND(AE60,2)</f>
        <v>34.15</v>
      </c>
      <c r="D762" s="271">
        <f>ROUND(AE61,0)</f>
        <v>2334128</v>
      </c>
      <c r="E762" s="271">
        <f>ROUND(AE62,0)</f>
        <v>693482</v>
      </c>
      <c r="F762" s="271">
        <f>ROUND(AE63,0)</f>
        <v>58906</v>
      </c>
      <c r="G762" s="271">
        <f>ROUND(AE64,0)</f>
        <v>509843</v>
      </c>
      <c r="H762" s="271">
        <f>ROUND(AE65,0)</f>
        <v>7254</v>
      </c>
      <c r="I762" s="271">
        <f>ROUND(AE66,0)</f>
        <v>26912</v>
      </c>
      <c r="J762" s="271">
        <f>ROUND(AE67,0)</f>
        <v>7254</v>
      </c>
      <c r="K762" s="271">
        <f>ROUND(AE68,0)</f>
        <v>3638</v>
      </c>
      <c r="L762" s="271">
        <f>ROUND(AE69,0)</f>
        <v>29286</v>
      </c>
      <c r="M762" s="271">
        <f>ROUND(AE70,0)</f>
        <v>0</v>
      </c>
      <c r="N762" s="271">
        <f>ROUND(AE75,0)</f>
        <v>7775859</v>
      </c>
      <c r="O762" s="271">
        <f>ROUND(AE73,0)</f>
        <v>4519980</v>
      </c>
      <c r="P762" s="271">
        <f>IF(AE76&gt;0,ROUND(AE76,0),0)</f>
        <v>9987</v>
      </c>
      <c r="Q762" s="271">
        <f>IF(AE77&gt;0,ROUND(AE77,0),0)</f>
        <v>0</v>
      </c>
      <c r="R762" s="271">
        <f>IF(AE78&gt;0,ROUND(AE78,0),0)</f>
        <v>0</v>
      </c>
      <c r="S762" s="271">
        <f>IF(AE79&gt;0,ROUND(AE79,0),0)</f>
        <v>10220</v>
      </c>
      <c r="T762" s="273">
        <f>IF(AE80&gt;0,ROUND(AE80,2),0)</f>
        <v>0</v>
      </c>
      <c r="U762" s="271"/>
      <c r="V762" s="272"/>
      <c r="W762" s="271"/>
      <c r="X762" s="271"/>
      <c r="Y762" s="271" t="e">
        <f t="shared" si="21"/>
        <v>#DIV/0!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" customHeight="1" x14ac:dyDescent="0.25">
      <c r="A763" s="209" t="str">
        <f>RIGHT($C$83,3)&amp;"*"&amp;RIGHT($C$82,4)&amp;"*"&amp;AF$55&amp;"*"&amp;"A"</f>
        <v>168*2018*7220*A</v>
      </c>
      <c r="B763" s="271">
        <f>ROUND(AF59,0)</f>
        <v>0</v>
      </c>
      <c r="C763" s="273">
        <f>ROUND(AF60,2)</f>
        <v>0</v>
      </c>
      <c r="D763" s="271">
        <f>ROUND(AF61,0)</f>
        <v>0</v>
      </c>
      <c r="E763" s="271">
        <f>ROUND(AF62,0)</f>
        <v>0</v>
      </c>
      <c r="F763" s="271">
        <f>ROUND(AF63,0)</f>
        <v>0</v>
      </c>
      <c r="G763" s="271">
        <f>ROUND(AF64,0)</f>
        <v>0</v>
      </c>
      <c r="H763" s="271">
        <f>ROUND(AF65,0)</f>
        <v>0</v>
      </c>
      <c r="I763" s="271">
        <f>ROUND(AF66,0)</f>
        <v>0</v>
      </c>
      <c r="J763" s="271">
        <f>ROUND(AF67,0)</f>
        <v>0</v>
      </c>
      <c r="K763" s="271">
        <f>ROUND(AF68,0)</f>
        <v>0</v>
      </c>
      <c r="L763" s="271">
        <f>ROUND(AF69,0)</f>
        <v>0</v>
      </c>
      <c r="M763" s="271">
        <f>ROUND(AF70,0)</f>
        <v>0</v>
      </c>
      <c r="N763" s="271">
        <f>ROUND(AF75,0)</f>
        <v>0</v>
      </c>
      <c r="O763" s="271">
        <f>ROUND(AF73,0)</f>
        <v>0</v>
      </c>
      <c r="P763" s="271">
        <f>IF(AF76&gt;0,ROUND(AF76,0),0)</f>
        <v>0</v>
      </c>
      <c r="Q763" s="271">
        <f>IF(AF77&gt;0,ROUND(AF77,0),0)</f>
        <v>0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0</v>
      </c>
      <c r="U763" s="271"/>
      <c r="V763" s="272"/>
      <c r="W763" s="271"/>
      <c r="X763" s="271"/>
      <c r="Y763" s="271" t="e">
        <f t="shared" si="21"/>
        <v>#DIV/0!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" customHeight="1" x14ac:dyDescent="0.25">
      <c r="A764" s="209" t="str">
        <f>RIGHT($C$83,3)&amp;"*"&amp;RIGHT($C$82,4)&amp;"*"&amp;AG$55&amp;"*"&amp;"A"</f>
        <v>168*2018*7230*A</v>
      </c>
      <c r="B764" s="271">
        <f>ROUND(AG59,0)</f>
        <v>37235</v>
      </c>
      <c r="C764" s="273">
        <f>ROUND(AG60,2)</f>
        <v>54.32</v>
      </c>
      <c r="D764" s="271">
        <f>ROUND(AG61,0)</f>
        <v>4392280</v>
      </c>
      <c r="E764" s="271">
        <f>ROUND(AG62,0)</f>
        <v>1064729</v>
      </c>
      <c r="F764" s="271">
        <f>ROUND(AG63,0)</f>
        <v>6435816</v>
      </c>
      <c r="G764" s="271">
        <f>ROUND(AG64,0)</f>
        <v>693288</v>
      </c>
      <c r="H764" s="271">
        <f>ROUND(AG65,0)</f>
        <v>7217</v>
      </c>
      <c r="I764" s="271">
        <f>ROUND(AG66,0)</f>
        <v>103933</v>
      </c>
      <c r="J764" s="271">
        <f>ROUND(AG67,0)</f>
        <v>41477</v>
      </c>
      <c r="K764" s="271">
        <f>ROUND(AG68,0)</f>
        <v>0</v>
      </c>
      <c r="L764" s="271">
        <f>ROUND(AG69,0)</f>
        <v>58977</v>
      </c>
      <c r="M764" s="271">
        <f>ROUND(AG70,0)</f>
        <v>0</v>
      </c>
      <c r="N764" s="271">
        <f>ROUND(AG75,0)</f>
        <v>59659524</v>
      </c>
      <c r="O764" s="271">
        <f>ROUND(AG73,0)</f>
        <v>11746494</v>
      </c>
      <c r="P764" s="271">
        <f>IF(AG76&gt;0,ROUND(AG76,0),0)</f>
        <v>10892</v>
      </c>
      <c r="Q764" s="271">
        <f>IF(AG77&gt;0,ROUND(AG77,0),0)</f>
        <v>196018</v>
      </c>
      <c r="R764" s="271">
        <f>IF(AG78&gt;0,ROUND(AG78,0),0)</f>
        <v>0</v>
      </c>
      <c r="S764" s="271">
        <f>IF(AG79&gt;0,ROUND(AG79,0),0)</f>
        <v>212795</v>
      </c>
      <c r="T764" s="273">
        <f>IF(AG80&gt;0,ROUND(AG80,2),0)</f>
        <v>31.58</v>
      </c>
      <c r="U764" s="271"/>
      <c r="V764" s="272"/>
      <c r="W764" s="271"/>
      <c r="X764" s="271"/>
      <c r="Y764" s="271" t="e">
        <f t="shared" si="21"/>
        <v>#DIV/0!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" customHeight="1" x14ac:dyDescent="0.25">
      <c r="A765" s="209" t="str">
        <f>RIGHT($C$83,3)&amp;"*"&amp;RIGHT($C$82,4)&amp;"*"&amp;AH$55&amp;"*"&amp;"A"</f>
        <v>168*2018*7240*A</v>
      </c>
      <c r="B765" s="271">
        <f>ROUND(AH59,0)</f>
        <v>0</v>
      </c>
      <c r="C765" s="273">
        <f>ROUND(AH60,2)</f>
        <v>0</v>
      </c>
      <c r="D765" s="271">
        <f>ROUND(AH61,0)</f>
        <v>0</v>
      </c>
      <c r="E765" s="271">
        <f>ROUND(AH62,0)</f>
        <v>0</v>
      </c>
      <c r="F765" s="271">
        <f>ROUND(AH63,0)</f>
        <v>0</v>
      </c>
      <c r="G765" s="271">
        <f>ROUND(AH64,0)</f>
        <v>0</v>
      </c>
      <c r="H765" s="271">
        <f>ROUND(AH65,0)</f>
        <v>0</v>
      </c>
      <c r="I765" s="271">
        <f>ROUND(AH66,0)</f>
        <v>0</v>
      </c>
      <c r="J765" s="271">
        <f>ROUND(AH67,0)</f>
        <v>0</v>
      </c>
      <c r="K765" s="271">
        <f>ROUND(AH68,0)</f>
        <v>0</v>
      </c>
      <c r="L765" s="271">
        <f>ROUND(AH69,0)</f>
        <v>0</v>
      </c>
      <c r="M765" s="271">
        <f>ROUND(AH70,0)</f>
        <v>0</v>
      </c>
      <c r="N765" s="271">
        <f>ROUND(AH75,0)</f>
        <v>0</v>
      </c>
      <c r="O765" s="271">
        <f>ROUND(AH73,0)</f>
        <v>0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 t="e">
        <f t="shared" si="21"/>
        <v>#DIV/0!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" customHeight="1" x14ac:dyDescent="0.25">
      <c r="A766" s="209" t="str">
        <f>RIGHT($C$83,3)&amp;"*"&amp;RIGHT($C$82,4)&amp;"*"&amp;AI$55&amp;"*"&amp;"A"</f>
        <v>168*2018*7250*A</v>
      </c>
      <c r="B766" s="271">
        <f>ROUND(AI59,0)</f>
        <v>5758</v>
      </c>
      <c r="C766" s="273">
        <f>ROUND(AI60,2)</f>
        <v>23.77</v>
      </c>
      <c r="D766" s="271">
        <f>ROUND(AI61,0)</f>
        <v>1983737</v>
      </c>
      <c r="E766" s="271">
        <f>ROUND(AI62,0)</f>
        <v>546264</v>
      </c>
      <c r="F766" s="271">
        <f>ROUND(AI63,0)</f>
        <v>0</v>
      </c>
      <c r="G766" s="271">
        <f>ROUND(AI64,0)</f>
        <v>245447</v>
      </c>
      <c r="H766" s="271">
        <f>ROUND(AI65,0)</f>
        <v>7023</v>
      </c>
      <c r="I766" s="271">
        <f>ROUND(AI66,0)</f>
        <v>17161</v>
      </c>
      <c r="J766" s="271">
        <f>ROUND(AI67,0)</f>
        <v>13908</v>
      </c>
      <c r="K766" s="271">
        <f>ROUND(AI68,0)</f>
        <v>0</v>
      </c>
      <c r="L766" s="271">
        <f>ROUND(AI69,0)</f>
        <v>3568</v>
      </c>
      <c r="M766" s="271">
        <f>ROUND(AI70,0)</f>
        <v>0</v>
      </c>
      <c r="N766" s="271">
        <f>ROUND(AI75,0)</f>
        <v>3254356</v>
      </c>
      <c r="O766" s="271">
        <f>ROUND(AI73,0)</f>
        <v>42390</v>
      </c>
      <c r="P766" s="271">
        <f>IF(AI76&gt;0,ROUND(AI76,0),0)</f>
        <v>9614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197830</v>
      </c>
      <c r="T766" s="273">
        <f>IF(AI80&gt;0,ROUND(AI80,2),0)</f>
        <v>15.96</v>
      </c>
      <c r="U766" s="271"/>
      <c r="V766" s="272"/>
      <c r="W766" s="271"/>
      <c r="X766" s="271"/>
      <c r="Y766" s="271" t="e">
        <f t="shared" si="21"/>
        <v>#DIV/0!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" customHeight="1" x14ac:dyDescent="0.25">
      <c r="A767" s="209" t="str">
        <f>RIGHT($C$83,3)&amp;"*"&amp;RIGHT($C$82,4)&amp;"*"&amp;AJ$55&amp;"*"&amp;"A"</f>
        <v>168*2018*7260*A</v>
      </c>
      <c r="B767" s="271">
        <f>ROUND(AJ59,0)</f>
        <v>43734</v>
      </c>
      <c r="C767" s="273">
        <f>ROUND(AJ60,2)</f>
        <v>67.400000000000006</v>
      </c>
      <c r="D767" s="271">
        <f>ROUND(AJ61,0)</f>
        <v>5056933</v>
      </c>
      <c r="E767" s="271">
        <f>ROUND(AJ62,0)</f>
        <v>1332361</v>
      </c>
      <c r="F767" s="271">
        <f>ROUND(AJ63,0)</f>
        <v>107144</v>
      </c>
      <c r="G767" s="271">
        <f>ROUND(AJ64,0)</f>
        <v>29036796</v>
      </c>
      <c r="H767" s="271">
        <f>ROUND(AJ65,0)</f>
        <v>26862</v>
      </c>
      <c r="I767" s="271">
        <f>ROUND(AJ66,0)</f>
        <v>161663</v>
      </c>
      <c r="J767" s="271">
        <f>ROUND(AJ67,0)</f>
        <v>300392</v>
      </c>
      <c r="K767" s="271">
        <f>ROUND(AJ68,0)</f>
        <v>317403</v>
      </c>
      <c r="L767" s="271">
        <f>ROUND(AJ69,0)</f>
        <v>207830</v>
      </c>
      <c r="M767" s="271">
        <f>ROUND(AJ70,0)</f>
        <v>0</v>
      </c>
      <c r="N767" s="271">
        <f>ROUND(AJ75,0)</f>
        <v>165492043</v>
      </c>
      <c r="O767" s="271">
        <f>ROUND(AJ73,0)</f>
        <v>2253127</v>
      </c>
      <c r="P767" s="271">
        <f>IF(AJ76&gt;0,ROUND(AJ76,0),0)</f>
        <v>5870</v>
      </c>
      <c r="Q767" s="271">
        <f>IF(AJ77&gt;0,ROUND(AJ77,0),0)</f>
        <v>0</v>
      </c>
      <c r="R767" s="271">
        <f>IF(AJ78&gt;0,ROUND(AJ78,0),0)</f>
        <v>0</v>
      </c>
      <c r="S767" s="271">
        <f>IF(AJ79&gt;0,ROUND(AJ79,0),0)</f>
        <v>0</v>
      </c>
      <c r="T767" s="273">
        <f>IF(AJ80&gt;0,ROUND(AJ80,2),0)</f>
        <v>24.38</v>
      </c>
      <c r="U767" s="271"/>
      <c r="V767" s="272"/>
      <c r="W767" s="271"/>
      <c r="X767" s="271"/>
      <c r="Y767" s="271" t="e">
        <f t="shared" si="21"/>
        <v>#DIV/0!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" customHeight="1" x14ac:dyDescent="0.25">
      <c r="A768" s="209" t="str">
        <f>RIGHT($C$83,3)&amp;"*"&amp;RIGHT($C$82,4)&amp;"*"&amp;AK$55&amp;"*"&amp;"A"</f>
        <v>168*2018*7310*A</v>
      </c>
      <c r="B768" s="271">
        <f>ROUND(AK59,0)</f>
        <v>9605</v>
      </c>
      <c r="C768" s="273">
        <f>ROUND(AK60,2)</f>
        <v>8.98</v>
      </c>
      <c r="D768" s="271">
        <f>ROUND(AK61,0)</f>
        <v>829643</v>
      </c>
      <c r="E768" s="271">
        <f>ROUND(AK62,0)</f>
        <v>214016</v>
      </c>
      <c r="F768" s="271">
        <f>ROUND(AK63,0)</f>
        <v>86057</v>
      </c>
      <c r="G768" s="271">
        <f>ROUND(AK64,0)</f>
        <v>6368</v>
      </c>
      <c r="H768" s="271">
        <f>ROUND(AK65,0)</f>
        <v>0</v>
      </c>
      <c r="I768" s="271">
        <f>ROUND(AK66,0)</f>
        <v>1933</v>
      </c>
      <c r="J768" s="271">
        <f>ROUND(AK67,0)</f>
        <v>11397</v>
      </c>
      <c r="K768" s="271">
        <f>ROUND(AK68,0)</f>
        <v>0</v>
      </c>
      <c r="L768" s="271">
        <f>ROUND(AK69,0)</f>
        <v>26001</v>
      </c>
      <c r="M768" s="271">
        <f>ROUND(AK70,0)</f>
        <v>0</v>
      </c>
      <c r="N768" s="271">
        <f>ROUND(AK75,0)</f>
        <v>3630533</v>
      </c>
      <c r="O768" s="271">
        <f>ROUND(AK73,0)</f>
        <v>3068450</v>
      </c>
      <c r="P768" s="271">
        <f>IF(AK76&gt;0,ROUND(AK76,0),0)</f>
        <v>0</v>
      </c>
      <c r="Q768" s="271">
        <f>IF(AK77&gt;0,ROUND(AK77,0),0)</f>
        <v>0</v>
      </c>
      <c r="R768" s="271">
        <f>IF(AK78&gt;0,ROUND(AK78,0),0)</f>
        <v>0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 t="e">
        <f t="shared" si="21"/>
        <v>#DIV/0!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" customHeight="1" x14ac:dyDescent="0.25">
      <c r="A769" s="209" t="str">
        <f>RIGHT($C$83,3)&amp;"*"&amp;RIGHT($C$82,4)&amp;"*"&amp;AL$55&amp;"*"&amp;"A"</f>
        <v>168*2018*7320*A</v>
      </c>
      <c r="B769" s="271">
        <f>ROUND(AL59,0)</f>
        <v>7613</v>
      </c>
      <c r="C769" s="273">
        <f>ROUND(AL60,2)</f>
        <v>6.25</v>
      </c>
      <c r="D769" s="271">
        <f>ROUND(AL61,0)</f>
        <v>558634</v>
      </c>
      <c r="E769" s="271">
        <f>ROUND(AL62,0)</f>
        <v>157182</v>
      </c>
      <c r="F769" s="271">
        <f>ROUND(AL63,0)</f>
        <v>0</v>
      </c>
      <c r="G769" s="271">
        <f>ROUND(AL64,0)</f>
        <v>5176</v>
      </c>
      <c r="H769" s="271">
        <f>ROUND(AL65,0)</f>
        <v>0</v>
      </c>
      <c r="I769" s="271">
        <f>ROUND(AL66,0)</f>
        <v>479</v>
      </c>
      <c r="J769" s="271">
        <f>ROUND(AL67,0)</f>
        <v>76363</v>
      </c>
      <c r="K769" s="271">
        <f>ROUND(AL68,0)</f>
        <v>0</v>
      </c>
      <c r="L769" s="271">
        <f>ROUND(AL69,0)</f>
        <v>4600</v>
      </c>
      <c r="M769" s="271">
        <f>ROUND(AL70,0)</f>
        <v>0</v>
      </c>
      <c r="N769" s="271">
        <f>ROUND(AL75,0)</f>
        <v>2219159</v>
      </c>
      <c r="O769" s="271">
        <f>ROUND(AL73,0)</f>
        <v>1165246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 t="e">
        <f t="shared" si="21"/>
        <v>#DIV/0!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" customHeight="1" x14ac:dyDescent="0.25">
      <c r="A770" s="209" t="str">
        <f>RIGHT($C$83,3)&amp;"*"&amp;RIGHT($C$82,4)&amp;"*"&amp;AM$55&amp;"*"&amp;"A"</f>
        <v>168*2018*7330*A</v>
      </c>
      <c r="B770" s="271">
        <f>ROUND(AM59,0)</f>
        <v>0</v>
      </c>
      <c r="C770" s="273">
        <f>ROUND(AM60,2)</f>
        <v>0</v>
      </c>
      <c r="D770" s="271">
        <f>ROUND(AM61,0)</f>
        <v>0</v>
      </c>
      <c r="E770" s="271">
        <f>ROUND(AM62,0)</f>
        <v>0</v>
      </c>
      <c r="F770" s="271">
        <f>ROUND(AM63,0)</f>
        <v>0</v>
      </c>
      <c r="G770" s="271">
        <f>ROUND(AM64,0)</f>
        <v>0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 t="e">
        <f t="shared" si="21"/>
        <v>#DIV/0!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" customHeight="1" x14ac:dyDescent="0.25">
      <c r="A771" s="209" t="str">
        <f>RIGHT($C$83,3)&amp;"*"&amp;RIGHT($C$82,4)&amp;"*"&amp;AN$55&amp;"*"&amp;"A"</f>
        <v>168*2018*7340*A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 t="e">
        <f t="shared" si="21"/>
        <v>#DIV/0!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" customHeight="1" x14ac:dyDescent="0.25">
      <c r="A772" s="209" t="str">
        <f>RIGHT($C$83,3)&amp;"*"&amp;RIGHT($C$82,4)&amp;"*"&amp;AO$55&amp;"*"&amp;"A"</f>
        <v>168*2018*7350*A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0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 t="e">
        <f t="shared" si="21"/>
        <v>#DIV/0!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" customHeight="1" x14ac:dyDescent="0.25">
      <c r="A773" s="209" t="str">
        <f>RIGHT($C$83,3)&amp;"*"&amp;RIGHT($C$82,4)&amp;"*"&amp;AP$55&amp;"*"&amp;"A"</f>
        <v>168*2018*7380*A</v>
      </c>
      <c r="B773" s="271">
        <f>ROUND(AP59,0)</f>
        <v>0</v>
      </c>
      <c r="C773" s="273">
        <f>ROUND(AP60,2)</f>
        <v>55.41</v>
      </c>
      <c r="D773" s="271">
        <f>ROUND(AP61,0)</f>
        <v>2327302</v>
      </c>
      <c r="E773" s="271">
        <f>ROUND(AP62,0)</f>
        <v>886164</v>
      </c>
      <c r="F773" s="271">
        <f>ROUND(AP63,0)</f>
        <v>8018655</v>
      </c>
      <c r="G773" s="271">
        <f>ROUND(AP64,0)</f>
        <v>494070</v>
      </c>
      <c r="H773" s="271">
        <f>ROUND(AP65,0)</f>
        <v>10781</v>
      </c>
      <c r="I773" s="271">
        <f>ROUND(AP66,0)</f>
        <v>453588</v>
      </c>
      <c r="J773" s="271">
        <f>ROUND(AP67,0)</f>
        <v>101234</v>
      </c>
      <c r="K773" s="271">
        <f>ROUND(AP68,0)</f>
        <v>226708</v>
      </c>
      <c r="L773" s="271">
        <f>ROUND(AP69,0)</f>
        <v>151247</v>
      </c>
      <c r="M773" s="271">
        <f>ROUND(AP70,0)</f>
        <v>0</v>
      </c>
      <c r="N773" s="271">
        <f>ROUND(AP75,0)</f>
        <v>6177198</v>
      </c>
      <c r="O773" s="271">
        <f>ROUND(AP73,0)</f>
        <v>11991</v>
      </c>
      <c r="P773" s="271">
        <f>IF(AP76&gt;0,ROUND(AP76,0),0)</f>
        <v>26878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1.21</v>
      </c>
      <c r="U773" s="271"/>
      <c r="V773" s="272"/>
      <c r="W773" s="271"/>
      <c r="X773" s="271"/>
      <c r="Y773" s="271" t="e">
        <f t="shared" si="21"/>
        <v>#DIV/0!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" customHeight="1" x14ac:dyDescent="0.25">
      <c r="A774" s="209" t="str">
        <f>RIGHT($C$83,3)&amp;"*"&amp;RIGHT($C$82,4)&amp;"*"&amp;AQ$55&amp;"*"&amp;"A"</f>
        <v>168*2018*7390*A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 t="e">
        <f t="shared" si="21"/>
        <v>#DIV/0!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" customHeight="1" x14ac:dyDescent="0.25">
      <c r="A775" s="209" t="str">
        <f>RIGHT($C$83,3)&amp;"*"&amp;RIGHT($C$82,4)&amp;"*"&amp;AR$55&amp;"*"&amp;"A"</f>
        <v>168*2018*7400*A</v>
      </c>
      <c r="B775" s="271">
        <f>ROUND(AR59,0)</f>
        <v>35707</v>
      </c>
      <c r="C775" s="273">
        <f>ROUND(AR60,2)</f>
        <v>63.88</v>
      </c>
      <c r="D775" s="271">
        <f>ROUND(AR61,0)</f>
        <v>5454423</v>
      </c>
      <c r="E775" s="271">
        <f>ROUND(AR62,0)</f>
        <v>1403749</v>
      </c>
      <c r="F775" s="271">
        <f>ROUND(AR63,0)</f>
        <v>518948</v>
      </c>
      <c r="G775" s="271">
        <f>ROUND(AR64,0)</f>
        <v>309224</v>
      </c>
      <c r="H775" s="271">
        <f>ROUND(AR65,0)</f>
        <v>4095</v>
      </c>
      <c r="I775" s="271">
        <f>ROUND(AR66,0)</f>
        <v>556637</v>
      </c>
      <c r="J775" s="271">
        <f>ROUND(AR67,0)</f>
        <v>22736</v>
      </c>
      <c r="K775" s="271">
        <f>ROUND(AR68,0)</f>
        <v>374569</v>
      </c>
      <c r="L775" s="271">
        <f>ROUND(AR69,0)</f>
        <v>235250</v>
      </c>
      <c r="M775" s="271">
        <f>ROUND(AR70,0)</f>
        <v>0</v>
      </c>
      <c r="N775" s="271">
        <f>ROUND(AR75,0)</f>
        <v>10564396</v>
      </c>
      <c r="O775" s="271">
        <f>ROUND(AR73,0)</f>
        <v>0</v>
      </c>
      <c r="P775" s="271">
        <f>IF(AR76&gt;0,ROUND(AR76,0),0)</f>
        <v>6442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24.21</v>
      </c>
      <c r="U775" s="271"/>
      <c r="V775" s="272"/>
      <c r="W775" s="271"/>
      <c r="X775" s="271"/>
      <c r="Y775" s="271" t="e">
        <f t="shared" si="21"/>
        <v>#DIV/0!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" customHeight="1" x14ac:dyDescent="0.25">
      <c r="A776" s="209" t="str">
        <f>RIGHT($C$83,3)&amp;"*"&amp;RIGHT($C$82,4)&amp;"*"&amp;AS$55&amp;"*"&amp;"A"</f>
        <v>168*2018*7410*A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 t="e">
        <f t="shared" si="21"/>
        <v>#DIV/0!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" customHeight="1" x14ac:dyDescent="0.25">
      <c r="A777" s="209" t="str">
        <f>RIGHT($C$83,3)&amp;"*"&amp;RIGHT($C$82,4)&amp;"*"&amp;AT$55&amp;"*"&amp;"A"</f>
        <v>168*2018*7420*A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 t="e">
        <f t="shared" si="21"/>
        <v>#DIV/0!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" customHeight="1" x14ac:dyDescent="0.25">
      <c r="A778" s="209" t="str">
        <f>RIGHT($C$83,3)&amp;"*"&amp;RIGHT($C$82,4)&amp;"*"&amp;AU$55&amp;"*"&amp;"A"</f>
        <v>168*2018*7430*A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 t="e">
        <f t="shared" si="21"/>
        <v>#DIV/0!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" customHeight="1" x14ac:dyDescent="0.25">
      <c r="A779" s="209" t="str">
        <f>RIGHT($C$83,3)&amp;"*"&amp;RIGHT($C$82,4)&amp;"*"&amp;AV$55&amp;"*"&amp;"A"</f>
        <v>168*2018*7490*A</v>
      </c>
      <c r="B779" s="271"/>
      <c r="C779" s="273">
        <f>ROUND(AV60,2)</f>
        <v>0</v>
      </c>
      <c r="D779" s="271">
        <f>ROUND(AV61,0)</f>
        <v>0</v>
      </c>
      <c r="E779" s="271">
        <f>ROUND(AV62,0)</f>
        <v>0</v>
      </c>
      <c r="F779" s="271">
        <f>ROUND(AV63,0)</f>
        <v>0</v>
      </c>
      <c r="G779" s="271">
        <f>ROUND(AV64,0)</f>
        <v>0</v>
      </c>
      <c r="H779" s="271">
        <f>ROUND(AV65,0)</f>
        <v>0</v>
      </c>
      <c r="I779" s="271">
        <f>ROUND(AV66,0)</f>
        <v>0</v>
      </c>
      <c r="J779" s="271">
        <f>ROUND(AV67,0)</f>
        <v>0</v>
      </c>
      <c r="K779" s="271">
        <f>ROUND(AV68,0)</f>
        <v>0</v>
      </c>
      <c r="L779" s="271">
        <f>ROUND(AV69,0)</f>
        <v>0</v>
      </c>
      <c r="M779" s="271">
        <f>ROUND(AV70,0)</f>
        <v>0</v>
      </c>
      <c r="N779" s="271">
        <f>ROUND(AV75,0)</f>
        <v>0</v>
      </c>
      <c r="O779" s="271">
        <f>ROUND(AV73,0)</f>
        <v>0</v>
      </c>
      <c r="P779" s="271">
        <f>IF(AV76&gt;0,ROUND(AV76,0),0)</f>
        <v>0</v>
      </c>
      <c r="Q779" s="271">
        <f>IF(AV77&gt;0,ROUND(AV77,0),0)</f>
        <v>0</v>
      </c>
      <c r="R779" s="271">
        <f>IF(AV78&gt;0,ROUND(AV78,0),0)</f>
        <v>0</v>
      </c>
      <c r="S779" s="271">
        <f>IF(AV79&gt;0,ROUND(AV79,0),0)</f>
        <v>0</v>
      </c>
      <c r="T779" s="273">
        <f>IF(AV80&gt;0,ROUND(AV80,2),0)</f>
        <v>0</v>
      </c>
      <c r="U779" s="271"/>
      <c r="V779" s="272"/>
      <c r="W779" s="271"/>
      <c r="X779" s="271"/>
      <c r="Y779" s="271" t="e">
        <f t="shared" si="21"/>
        <v>#DIV/0!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" customHeight="1" x14ac:dyDescent="0.25">
      <c r="A780" s="209" t="str">
        <f>RIGHT($C$83,3)&amp;"*"&amp;RIGHT($C$82,4)&amp;"*"&amp;AW$55&amp;"*"&amp;"A"</f>
        <v>168*2018*8200*A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" customHeight="1" x14ac:dyDescent="0.25">
      <c r="A781" s="209" t="str">
        <f>RIGHT($C$83,3)&amp;"*"&amp;RIGHT($C$82,4)&amp;"*"&amp;AX$55&amp;"*"&amp;"A"</f>
        <v>168*2018*8310*A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" customHeight="1" x14ac:dyDescent="0.25">
      <c r="A782" s="209" t="str">
        <f>RIGHT($C$83,3)&amp;"*"&amp;RIGHT($C$82,4)&amp;"*"&amp;AY$55&amp;"*"&amp;"A"</f>
        <v>168*2018*8320*A</v>
      </c>
      <c r="B782" s="271">
        <f>ROUND(AY59,0)</f>
        <v>1024722</v>
      </c>
      <c r="C782" s="273">
        <f>ROUND(AY60,2)</f>
        <v>62.45</v>
      </c>
      <c r="D782" s="271">
        <f>ROUND(AY61,0)</f>
        <v>2521205</v>
      </c>
      <c r="E782" s="271">
        <f>ROUND(AY62,0)</f>
        <v>806991</v>
      </c>
      <c r="F782" s="271">
        <f>ROUND(AY63,0)</f>
        <v>0</v>
      </c>
      <c r="G782" s="271">
        <f>ROUND(AY64,0)</f>
        <v>1478078</v>
      </c>
      <c r="H782" s="271">
        <f>ROUND(AY65,0)</f>
        <v>9862</v>
      </c>
      <c r="I782" s="271">
        <f>ROUND(AY66,0)</f>
        <v>94542</v>
      </c>
      <c r="J782" s="271">
        <f>ROUND(AY67,0)</f>
        <v>21597</v>
      </c>
      <c r="K782" s="271">
        <f>ROUND(AY68,0)</f>
        <v>0</v>
      </c>
      <c r="L782" s="271">
        <f>ROUND(AY69,0)</f>
        <v>53742</v>
      </c>
      <c r="M782" s="271">
        <f>ROUND(AY70,0)</f>
        <v>0</v>
      </c>
      <c r="N782" s="271"/>
      <c r="O782" s="271"/>
      <c r="P782" s="271">
        <f>IF(AY76&gt;0,ROUND(AY76,0),0)</f>
        <v>11488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" customHeight="1" x14ac:dyDescent="0.25">
      <c r="A783" s="209" t="str">
        <f>RIGHT($C$83,3)&amp;"*"&amp;RIGHT($C$82,4)&amp;"*"&amp;AZ$55&amp;"*"&amp;"A"</f>
        <v>168*2018*8330*A</v>
      </c>
      <c r="B783" s="271">
        <f>ROUND(AZ59,0)</f>
        <v>0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" customHeight="1" x14ac:dyDescent="0.25">
      <c r="A784" s="209" t="str">
        <f>RIGHT($C$83,3)&amp;"*"&amp;RIGHT($C$82,4)&amp;"*"&amp;BA$55&amp;"*"&amp;"A"</f>
        <v>168*2018*8350*A</v>
      </c>
      <c r="B784" s="271">
        <f>ROUND(BA59,0)</f>
        <v>0</v>
      </c>
      <c r="C784" s="273">
        <f>ROUND(BA60,2)</f>
        <v>15.57</v>
      </c>
      <c r="D784" s="271">
        <f>ROUND(BA61,0)</f>
        <v>592244</v>
      </c>
      <c r="E784" s="271">
        <f>ROUND(BA62,0)</f>
        <v>214204</v>
      </c>
      <c r="F784" s="271">
        <f>ROUND(BA63,0)</f>
        <v>0</v>
      </c>
      <c r="G784" s="271">
        <f>ROUND(BA64,0)</f>
        <v>267343</v>
      </c>
      <c r="H784" s="271">
        <f>ROUND(BA65,0)</f>
        <v>3904</v>
      </c>
      <c r="I784" s="271">
        <f>ROUND(BA66,0)</f>
        <v>77772</v>
      </c>
      <c r="J784" s="271">
        <f>ROUND(BA67,0)</f>
        <v>15443</v>
      </c>
      <c r="K784" s="271">
        <f>ROUND(BA68,0)</f>
        <v>0</v>
      </c>
      <c r="L784" s="271">
        <f>ROUND(BA69,0)</f>
        <v>657</v>
      </c>
      <c r="M784" s="271">
        <f>ROUND(BA70,0)</f>
        <v>0</v>
      </c>
      <c r="N784" s="271"/>
      <c r="O784" s="271"/>
      <c r="P784" s="271">
        <f>IF(BA76&gt;0,ROUND(BA76,0),0)</f>
        <v>13960</v>
      </c>
      <c r="Q784" s="271">
        <f>IF(BA77&gt;0,ROUND(BA77,0),0)</f>
        <v>0</v>
      </c>
      <c r="R784" s="271">
        <f>IF(BA78&gt;0,ROUND(BA78,0),0)</f>
        <v>0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" customHeight="1" x14ac:dyDescent="0.25">
      <c r="A785" s="209" t="str">
        <f>RIGHT($C$83,3)&amp;"*"&amp;RIGHT($C$82,4)&amp;"*"&amp;BB$55&amp;"*"&amp;"A"</f>
        <v>168*2018*8360*A</v>
      </c>
      <c r="B785" s="271"/>
      <c r="C785" s="273">
        <f>ROUND(BB60,2)</f>
        <v>32.76</v>
      </c>
      <c r="D785" s="271">
        <f>ROUND(BB61,0)</f>
        <v>2460709</v>
      </c>
      <c r="E785" s="271">
        <f>ROUND(BB62,0)</f>
        <v>710071</v>
      </c>
      <c r="F785" s="271">
        <f>ROUND(BB63,0)</f>
        <v>120388</v>
      </c>
      <c r="G785" s="271">
        <f>ROUND(BB64,0)</f>
        <v>13189</v>
      </c>
      <c r="H785" s="271">
        <f>ROUND(BB65,0)</f>
        <v>2378</v>
      </c>
      <c r="I785" s="271">
        <f>ROUND(BB66,0)</f>
        <v>261278</v>
      </c>
      <c r="J785" s="271">
        <f>ROUND(BB67,0)</f>
        <v>0</v>
      </c>
      <c r="K785" s="271">
        <f>ROUND(BB68,0)</f>
        <v>0</v>
      </c>
      <c r="L785" s="271">
        <f>ROUND(BB69,0)</f>
        <v>18062</v>
      </c>
      <c r="M785" s="271">
        <f>ROUND(BB70,0)</f>
        <v>0</v>
      </c>
      <c r="N785" s="271"/>
      <c r="O785" s="271"/>
      <c r="P785" s="271">
        <f>IF(BB76&gt;0,ROUND(BB76,0),0)</f>
        <v>1320</v>
      </c>
      <c r="Q785" s="271">
        <f>IF(BB77&gt;0,ROUND(BB77,0),0)</f>
        <v>0</v>
      </c>
      <c r="R785" s="271">
        <f>IF(BB78&gt;0,ROUND(BB78,0),0)</f>
        <v>0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" customHeight="1" x14ac:dyDescent="0.25">
      <c r="A786" s="209" t="str">
        <f>RIGHT($C$83,3)&amp;"*"&amp;RIGHT($C$82,4)&amp;"*"&amp;BC$55&amp;"*"&amp;"A"</f>
        <v>168*2018*8370*A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" customHeight="1" x14ac:dyDescent="0.25">
      <c r="A787" s="209" t="str">
        <f>RIGHT($C$83,3)&amp;"*"&amp;RIGHT($C$82,4)&amp;"*"&amp;BD$55&amp;"*"&amp;"A"</f>
        <v>168*2018*8420*A</v>
      </c>
      <c r="B787" s="271"/>
      <c r="C787" s="273">
        <f>ROUND(BD60,2)</f>
        <v>0</v>
      </c>
      <c r="D787" s="271">
        <f>ROUND(BD61,0)</f>
        <v>0</v>
      </c>
      <c r="E787" s="271">
        <f>ROUND(BD62,0)</f>
        <v>0</v>
      </c>
      <c r="F787" s="271">
        <f>ROUND(BD63,0)</f>
        <v>0</v>
      </c>
      <c r="G787" s="271">
        <f>ROUND(BD64,0)</f>
        <v>249569</v>
      </c>
      <c r="H787" s="271">
        <f>ROUND(BD65,0)</f>
        <v>3006</v>
      </c>
      <c r="I787" s="271">
        <f>ROUND(BD66,0)</f>
        <v>111402</v>
      </c>
      <c r="J787" s="271">
        <f>ROUND(BD67,0)</f>
        <v>0</v>
      </c>
      <c r="K787" s="271">
        <f>ROUND(BD68,0)</f>
        <v>0</v>
      </c>
      <c r="L787" s="271">
        <f>ROUND(BD69,0)</f>
        <v>0</v>
      </c>
      <c r="M787" s="271">
        <f>ROUND(BD70,0)</f>
        <v>0</v>
      </c>
      <c r="N787" s="271"/>
      <c r="O787" s="271"/>
      <c r="P787" s="271">
        <f>IF(BD76&gt;0,ROUND(BD76,0),0)</f>
        <v>5708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" customHeight="1" x14ac:dyDescent="0.25">
      <c r="A788" s="209" t="str">
        <f>RIGHT($C$83,3)&amp;"*"&amp;RIGHT($C$82,4)&amp;"*"&amp;BE$55&amp;"*"&amp;"A"</f>
        <v>168*2018*8430*A</v>
      </c>
      <c r="B788" s="271">
        <f>ROUND(BE59,0)</f>
        <v>506566</v>
      </c>
      <c r="C788" s="273">
        <f>ROUND(BE60,2)</f>
        <v>17.079999999999998</v>
      </c>
      <c r="D788" s="271">
        <f>ROUND(BE61,0)</f>
        <v>925749</v>
      </c>
      <c r="E788" s="271">
        <f>ROUND(BE62,0)</f>
        <v>290096</v>
      </c>
      <c r="F788" s="271">
        <f>ROUND(BE63,0)</f>
        <v>0</v>
      </c>
      <c r="G788" s="271">
        <f>ROUND(BE64,0)</f>
        <v>77931</v>
      </c>
      <c r="H788" s="271">
        <f>ROUND(BE65,0)</f>
        <v>946399</v>
      </c>
      <c r="I788" s="271">
        <f>ROUND(BE66,0)</f>
        <v>691935</v>
      </c>
      <c r="J788" s="271">
        <f>ROUND(BE67,0)</f>
        <v>235908</v>
      </c>
      <c r="K788" s="271">
        <f>ROUND(BE68,0)</f>
        <v>16506</v>
      </c>
      <c r="L788" s="271">
        <f>ROUND(BE69,0)</f>
        <v>16769</v>
      </c>
      <c r="M788" s="271">
        <f>ROUND(BE70,0)</f>
        <v>0</v>
      </c>
      <c r="N788" s="271"/>
      <c r="O788" s="271"/>
      <c r="P788" s="271">
        <f>IF(BE76&gt;0,ROUND(BE76,0),0)</f>
        <v>191334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" customHeight="1" x14ac:dyDescent="0.25">
      <c r="A789" s="209" t="str">
        <f>RIGHT($C$83,3)&amp;"*"&amp;RIGHT($C$82,4)&amp;"*"&amp;BF$55&amp;"*"&amp;"A"</f>
        <v>168*2018*8460*A</v>
      </c>
      <c r="B789" s="271"/>
      <c r="C789" s="273">
        <f>ROUND(BF60,2)</f>
        <v>61.51</v>
      </c>
      <c r="D789" s="271">
        <f>ROUND(BF61,0)</f>
        <v>2088216</v>
      </c>
      <c r="E789" s="271">
        <f>ROUND(BF62,0)</f>
        <v>837443</v>
      </c>
      <c r="F789" s="271">
        <f>ROUND(BF63,0)</f>
        <v>0</v>
      </c>
      <c r="G789" s="271">
        <f>ROUND(BF64,0)</f>
        <v>383171</v>
      </c>
      <c r="H789" s="271">
        <f>ROUND(BF65,0)</f>
        <v>273702</v>
      </c>
      <c r="I789" s="271">
        <f>ROUND(BF66,0)</f>
        <v>53365</v>
      </c>
      <c r="J789" s="271">
        <f>ROUND(BF67,0)</f>
        <v>4138</v>
      </c>
      <c r="K789" s="271">
        <f>ROUND(BF68,0)</f>
        <v>0</v>
      </c>
      <c r="L789" s="271">
        <f>ROUND(BF69,0)</f>
        <v>6988</v>
      </c>
      <c r="M789" s="271">
        <f>ROUND(BF70,0)</f>
        <v>0</v>
      </c>
      <c r="N789" s="271"/>
      <c r="O789" s="271"/>
      <c r="P789" s="271">
        <f>IF(BF76&gt;0,ROUND(BF76,0),0)</f>
        <v>3089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" customHeight="1" x14ac:dyDescent="0.25">
      <c r="A790" s="209" t="str">
        <f>RIGHT($C$83,3)&amp;"*"&amp;RIGHT($C$82,4)&amp;"*"&amp;BG$55&amp;"*"&amp;"A"</f>
        <v>168*2018*8470*A</v>
      </c>
      <c r="B790" s="271"/>
      <c r="C790" s="273">
        <f>ROUND(BG60,2)</f>
        <v>0</v>
      </c>
      <c r="D790" s="271">
        <f>ROUND(BG61,0)</f>
        <v>146491</v>
      </c>
      <c r="E790" s="271">
        <f>ROUND(BG62,0)</f>
        <v>44585</v>
      </c>
      <c r="F790" s="271">
        <f>ROUND(BG63,0)</f>
        <v>0</v>
      </c>
      <c r="G790" s="271">
        <f>ROUND(BG64,0)</f>
        <v>1154</v>
      </c>
      <c r="H790" s="271">
        <f>ROUND(BG65,0)</f>
        <v>180</v>
      </c>
      <c r="I790" s="271">
        <f>ROUND(BG66,0)</f>
        <v>0</v>
      </c>
      <c r="J790" s="271">
        <f>ROUND(BG67,0)</f>
        <v>116535</v>
      </c>
      <c r="K790" s="271">
        <f>ROUND(BG68,0)</f>
        <v>0</v>
      </c>
      <c r="L790" s="271">
        <f>ROUND(BG69,0)</f>
        <v>110</v>
      </c>
      <c r="M790" s="271">
        <f>ROUND(BG70,0)</f>
        <v>0</v>
      </c>
      <c r="N790" s="271"/>
      <c r="O790" s="271"/>
      <c r="P790" s="271">
        <f>IF(BG76&gt;0,ROUND(BG76,0),0)</f>
        <v>206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" customHeight="1" x14ac:dyDescent="0.25">
      <c r="A791" s="209" t="str">
        <f>RIGHT($C$83,3)&amp;"*"&amp;RIGHT($C$82,4)&amp;"*"&amp;BH$55&amp;"*"&amp;"A"</f>
        <v>168*2018*8480*A</v>
      </c>
      <c r="B791" s="271"/>
      <c r="C791" s="273">
        <f>ROUND(BH60,2)</f>
        <v>0</v>
      </c>
      <c r="D791" s="271">
        <f>ROUND(BH61,0)</f>
        <v>0</v>
      </c>
      <c r="E791" s="271">
        <f>ROUND(BH62,0)</f>
        <v>0</v>
      </c>
      <c r="F791" s="271">
        <f>ROUND(BH63,0)</f>
        <v>0</v>
      </c>
      <c r="G791" s="271">
        <f>ROUND(BH64,0)</f>
        <v>8098</v>
      </c>
      <c r="H791" s="271">
        <f>ROUND(BH65,0)</f>
        <v>2404</v>
      </c>
      <c r="I791" s="271">
        <f>ROUND(BH66,0)</f>
        <v>99495</v>
      </c>
      <c r="J791" s="271">
        <f>ROUND(BH67,0)</f>
        <v>1527184</v>
      </c>
      <c r="K791" s="271">
        <f>ROUND(BH68,0)</f>
        <v>0</v>
      </c>
      <c r="L791" s="271">
        <f>ROUND(BH69,0)</f>
        <v>203</v>
      </c>
      <c r="M791" s="271">
        <f>ROUND(BH70,0)</f>
        <v>0</v>
      </c>
      <c r="N791" s="271"/>
      <c r="O791" s="271"/>
      <c r="P791" s="271">
        <f>IF(BH76&gt;0,ROUND(BH76,0),0)</f>
        <v>2317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" customHeight="1" x14ac:dyDescent="0.25">
      <c r="A792" s="209" t="str">
        <f>RIGHT($C$83,3)&amp;"*"&amp;RIGHT($C$82,4)&amp;"*"&amp;BI$55&amp;"*"&amp;"A"</f>
        <v>168*2018*8490*A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0</v>
      </c>
      <c r="H792" s="271">
        <f>ROUND(BI65,0)</f>
        <v>0</v>
      </c>
      <c r="I792" s="271">
        <f>ROUND(BI66,0)</f>
        <v>119</v>
      </c>
      <c r="J792" s="271">
        <f>ROUND(BI67,0)</f>
        <v>0</v>
      </c>
      <c r="K792" s="271">
        <f>ROUND(BI68,0)</f>
        <v>0</v>
      </c>
      <c r="L792" s="271">
        <f>ROUND(BI69,0)</f>
        <v>0</v>
      </c>
      <c r="M792" s="271">
        <f>ROUND(BI70,0)</f>
        <v>0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0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" customHeight="1" x14ac:dyDescent="0.25">
      <c r="A793" s="209" t="str">
        <f>RIGHT($C$83,3)&amp;"*"&amp;RIGHT($C$82,4)&amp;"*"&amp;BJ$55&amp;"*"&amp;"A"</f>
        <v>168*2018*8510*A</v>
      </c>
      <c r="B793" s="271"/>
      <c r="C793" s="273">
        <f>ROUND(BJ60,2)</f>
        <v>0</v>
      </c>
      <c r="D793" s="271">
        <f>ROUND(BJ61,0)</f>
        <v>0</v>
      </c>
      <c r="E793" s="271">
        <f>ROUND(BJ62,0)</f>
        <v>0</v>
      </c>
      <c r="F793" s="271">
        <f>ROUND(BJ63,0)</f>
        <v>0</v>
      </c>
      <c r="G793" s="271">
        <f>ROUND(BJ64,0)</f>
        <v>0</v>
      </c>
      <c r="H793" s="271">
        <f>ROUND(BJ65,0)</f>
        <v>0</v>
      </c>
      <c r="I793" s="271">
        <f>ROUND(BJ66,0)</f>
        <v>0</v>
      </c>
      <c r="J793" s="271">
        <f>ROUND(BJ67,0)</f>
        <v>0</v>
      </c>
      <c r="K793" s="271">
        <f>ROUND(BJ68,0)</f>
        <v>0</v>
      </c>
      <c r="L793" s="271">
        <f>ROUND(BJ69,0)</f>
        <v>0</v>
      </c>
      <c r="M793" s="271">
        <f>ROUND(BJ70,0)</f>
        <v>0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" customHeight="1" x14ac:dyDescent="0.25">
      <c r="A794" s="209" t="str">
        <f>RIGHT($C$83,3)&amp;"*"&amp;RIGHT($C$82,4)&amp;"*"&amp;BK$55&amp;"*"&amp;"A"</f>
        <v>168*2018*8530*A</v>
      </c>
      <c r="B794" s="271"/>
      <c r="C794" s="273">
        <f>ROUND(BK60,2)</f>
        <v>0</v>
      </c>
      <c r="D794" s="271">
        <f>ROUND(BK61,0)</f>
        <v>0</v>
      </c>
      <c r="E794" s="271">
        <f>ROUND(BK62,0)</f>
        <v>0</v>
      </c>
      <c r="F794" s="271">
        <f>ROUND(BK63,0)</f>
        <v>0</v>
      </c>
      <c r="G794" s="271">
        <f>ROUND(BK64,0)</f>
        <v>41</v>
      </c>
      <c r="H794" s="271">
        <f>ROUND(BK65,0)</f>
        <v>0</v>
      </c>
      <c r="I794" s="271">
        <f>ROUND(BK66,0)</f>
        <v>0</v>
      </c>
      <c r="J794" s="271">
        <f>ROUND(BK67,0)</f>
        <v>0</v>
      </c>
      <c r="K794" s="271">
        <f>ROUND(BK68,0)</f>
        <v>0</v>
      </c>
      <c r="L794" s="271">
        <f>ROUND(BK69,0)</f>
        <v>0</v>
      </c>
      <c r="M794" s="271">
        <f>ROUND(BK70,0)</f>
        <v>0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0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" customHeight="1" x14ac:dyDescent="0.25">
      <c r="A795" s="209" t="str">
        <f>RIGHT($C$83,3)&amp;"*"&amp;RIGHT($C$82,4)&amp;"*"&amp;BL$55&amp;"*"&amp;"A"</f>
        <v>168*2018*8560*A</v>
      </c>
      <c r="B795" s="271"/>
      <c r="C795" s="273">
        <f>ROUND(BL60,2)</f>
        <v>32.700000000000003</v>
      </c>
      <c r="D795" s="271">
        <f>ROUND(BL61,0)</f>
        <v>1291063</v>
      </c>
      <c r="E795" s="271">
        <f>ROUND(BL62,0)</f>
        <v>453401</v>
      </c>
      <c r="F795" s="271">
        <f>ROUND(BL63,0)</f>
        <v>0</v>
      </c>
      <c r="G795" s="271">
        <f>ROUND(BL64,0)</f>
        <v>17705</v>
      </c>
      <c r="H795" s="271">
        <f>ROUND(BL65,0)</f>
        <v>1440</v>
      </c>
      <c r="I795" s="271">
        <f>ROUND(BL66,0)</f>
        <v>384</v>
      </c>
      <c r="J795" s="271">
        <f>ROUND(BL67,0)</f>
        <v>0</v>
      </c>
      <c r="K795" s="271">
        <f>ROUND(BL68,0)</f>
        <v>0</v>
      </c>
      <c r="L795" s="271">
        <f>ROUND(BL69,0)</f>
        <v>3359</v>
      </c>
      <c r="M795" s="271">
        <f>ROUND(BL70,0)</f>
        <v>0</v>
      </c>
      <c r="N795" s="271"/>
      <c r="O795" s="271"/>
      <c r="P795" s="271">
        <f>IF(BL76&gt;0,ROUND(BL76,0),0)</f>
        <v>2374</v>
      </c>
      <c r="Q795" s="271">
        <f>IF(BL77&gt;0,ROUND(BL77,0),0)</f>
        <v>0</v>
      </c>
      <c r="R795" s="271">
        <f>IF(BL78&gt;0,ROUND(BL78,0),0)</f>
        <v>0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" customHeight="1" x14ac:dyDescent="0.25">
      <c r="A796" s="209" t="str">
        <f>RIGHT($C$83,3)&amp;"*"&amp;RIGHT($C$82,4)&amp;"*"&amp;BM$55&amp;"*"&amp;"A"</f>
        <v>168*2018*8590*A</v>
      </c>
      <c r="B796" s="271"/>
      <c r="C796" s="273">
        <f>ROUND(BM60,2)</f>
        <v>0</v>
      </c>
      <c r="D796" s="271">
        <f>ROUND(BM61,0)</f>
        <v>0</v>
      </c>
      <c r="E796" s="271">
        <f>ROUND(BM62,0)</f>
        <v>0</v>
      </c>
      <c r="F796" s="271">
        <f>ROUND(BM63,0)</f>
        <v>0</v>
      </c>
      <c r="G796" s="271">
        <f>ROUND(BM64,0)</f>
        <v>0</v>
      </c>
      <c r="H796" s="271">
        <f>ROUND(BM65,0)</f>
        <v>0</v>
      </c>
      <c r="I796" s="271">
        <f>ROUND(BM66,0)</f>
        <v>0</v>
      </c>
      <c r="J796" s="271">
        <f>ROUND(BM67,0)</f>
        <v>0</v>
      </c>
      <c r="K796" s="271">
        <f>ROUND(BM68,0)</f>
        <v>0</v>
      </c>
      <c r="L796" s="271">
        <f>ROUND(BM69,0)</f>
        <v>0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" customHeight="1" x14ac:dyDescent="0.25">
      <c r="A797" s="209" t="str">
        <f>RIGHT($C$83,3)&amp;"*"&amp;RIGHT($C$82,4)&amp;"*"&amp;BN$55&amp;"*"&amp;"A"</f>
        <v>168*2018*8610*A</v>
      </c>
      <c r="B797" s="271"/>
      <c r="C797" s="273">
        <f>ROUND(BN60,2)</f>
        <v>0</v>
      </c>
      <c r="D797" s="271">
        <f>ROUND(BN61,0)</f>
        <v>518047</v>
      </c>
      <c r="E797" s="271">
        <f>ROUND(BN62,0)</f>
        <v>1971135</v>
      </c>
      <c r="F797" s="271">
        <f>ROUND(BN63,0)</f>
        <v>76737506</v>
      </c>
      <c r="G797" s="271">
        <f>ROUND(BN64,0)</f>
        <v>388161</v>
      </c>
      <c r="H797" s="271">
        <f>ROUND(BN65,0)</f>
        <v>13002</v>
      </c>
      <c r="I797" s="271">
        <f>ROUND(BN66,0)</f>
        <v>138981</v>
      </c>
      <c r="J797" s="271">
        <f>ROUND(BN67,0)</f>
        <v>5165066</v>
      </c>
      <c r="K797" s="271">
        <f>ROUND(BN68,0)</f>
        <v>295915</v>
      </c>
      <c r="L797" s="271">
        <f>ROUND(BN69,0)</f>
        <v>16260050</v>
      </c>
      <c r="M797" s="271">
        <f>ROUND(BN70,0)</f>
        <v>0</v>
      </c>
      <c r="N797" s="271"/>
      <c r="O797" s="271"/>
      <c r="P797" s="271">
        <f>IF(BN76&gt;0,ROUND(BN76,0),0)</f>
        <v>10363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" customHeight="1" x14ac:dyDescent="0.25">
      <c r="A798" s="209" t="str">
        <f>RIGHT($C$83,3)&amp;"*"&amp;RIGHT($C$82,4)&amp;"*"&amp;BO$55&amp;"*"&amp;"A"</f>
        <v>168*2018*8620*A</v>
      </c>
      <c r="B798" s="271"/>
      <c r="C798" s="273">
        <f>ROUND(BO60,2)</f>
        <v>0</v>
      </c>
      <c r="D798" s="271">
        <f>ROUND(BO61,0)</f>
        <v>0</v>
      </c>
      <c r="E798" s="271">
        <f>ROUND(BO62,0)</f>
        <v>0</v>
      </c>
      <c r="F798" s="271">
        <f>ROUND(BO63,0)</f>
        <v>0</v>
      </c>
      <c r="G798" s="271">
        <f>ROUND(BO64,0)</f>
        <v>0</v>
      </c>
      <c r="H798" s="271">
        <f>ROUND(BO65,0)</f>
        <v>0</v>
      </c>
      <c r="I798" s="271">
        <f>ROUND(BO66,0)</f>
        <v>0</v>
      </c>
      <c r="J798" s="271">
        <f>ROUND(BO67,0)</f>
        <v>0</v>
      </c>
      <c r="K798" s="271">
        <f>ROUND(BO68,0)</f>
        <v>0</v>
      </c>
      <c r="L798" s="271">
        <f>ROUND(BO69,0)</f>
        <v>0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" customHeight="1" x14ac:dyDescent="0.25">
      <c r="A799" s="209" t="str">
        <f>RIGHT($C$83,3)&amp;"*"&amp;RIGHT($C$82,4)&amp;"*"&amp;BP$55&amp;"*"&amp;"A"</f>
        <v>168*2018*8630*A</v>
      </c>
      <c r="B799" s="271"/>
      <c r="C799" s="273">
        <f>ROUND(BP60,2)</f>
        <v>0</v>
      </c>
      <c r="D799" s="271">
        <f>ROUND(BP61,0)</f>
        <v>0</v>
      </c>
      <c r="E799" s="271">
        <f>ROUND(BP62,0)</f>
        <v>0</v>
      </c>
      <c r="F799" s="271">
        <f>ROUND(BP63,0)</f>
        <v>0</v>
      </c>
      <c r="G799" s="271">
        <f>ROUND(BP64,0)</f>
        <v>0</v>
      </c>
      <c r="H799" s="271">
        <f>ROUND(BP65,0)</f>
        <v>0</v>
      </c>
      <c r="I799" s="271">
        <f>ROUND(BP66,0)</f>
        <v>0</v>
      </c>
      <c r="J799" s="271">
        <f>ROUND(BP67,0)</f>
        <v>0</v>
      </c>
      <c r="K799" s="271">
        <f>ROUND(BP68,0)</f>
        <v>0</v>
      </c>
      <c r="L799" s="271">
        <f>ROUND(BP69,0)</f>
        <v>0</v>
      </c>
      <c r="M799" s="271">
        <f>ROUND(BP70,0)</f>
        <v>0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" customHeight="1" x14ac:dyDescent="0.25">
      <c r="A800" s="209" t="str">
        <f>RIGHT($C$83,3)&amp;"*"&amp;RIGHT($C$82,4)&amp;"*"&amp;BQ$55&amp;"*"&amp;"A"</f>
        <v>168*2018*8640*A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" customHeight="1" x14ac:dyDescent="0.25">
      <c r="A801" s="209" t="str">
        <f>RIGHT($C$83,3)&amp;"*"&amp;RIGHT($C$82,4)&amp;"*"&amp;BR$55&amp;"*"&amp;"A"</f>
        <v>168*2018*8650*A</v>
      </c>
      <c r="B801" s="271"/>
      <c r="C801" s="273">
        <f>ROUND(BR60,2)</f>
        <v>0</v>
      </c>
      <c r="D801" s="271">
        <f>ROUND(BR61,0)</f>
        <v>0</v>
      </c>
      <c r="E801" s="271">
        <f>ROUND(BR62,0)</f>
        <v>0</v>
      </c>
      <c r="F801" s="271">
        <f>ROUND(BR63,0)</f>
        <v>30233</v>
      </c>
      <c r="G801" s="271">
        <f>ROUND(BR64,0)</f>
        <v>88997</v>
      </c>
      <c r="H801" s="271">
        <f>ROUND(BR65,0)</f>
        <v>405</v>
      </c>
      <c r="I801" s="271">
        <f>ROUND(BR66,0)</f>
        <v>17</v>
      </c>
      <c r="J801" s="271">
        <f>ROUND(BR67,0)</f>
        <v>0</v>
      </c>
      <c r="K801" s="271">
        <f>ROUND(BR68,0)</f>
        <v>0</v>
      </c>
      <c r="L801" s="271">
        <f>ROUND(BR69,0)</f>
        <v>50</v>
      </c>
      <c r="M801" s="271">
        <f>ROUND(BR70,0)</f>
        <v>0</v>
      </c>
      <c r="N801" s="271"/>
      <c r="O801" s="271"/>
      <c r="P801" s="271">
        <f>IF(BR76&gt;0,ROUND(BR76,0),0)</f>
        <v>1507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" customHeight="1" x14ac:dyDescent="0.25">
      <c r="A802" s="209" t="str">
        <f>RIGHT($C$83,3)&amp;"*"&amp;RIGHT($C$82,4)&amp;"*"&amp;BS$55&amp;"*"&amp;"A"</f>
        <v>168*2018*8660*A</v>
      </c>
      <c r="B802" s="271"/>
      <c r="C802" s="273">
        <f>ROUND(BS60,2)</f>
        <v>0</v>
      </c>
      <c r="D802" s="271">
        <f>ROUND(BS61,0)</f>
        <v>0</v>
      </c>
      <c r="E802" s="271">
        <f>ROUND(BS62,0)</f>
        <v>0</v>
      </c>
      <c r="F802" s="271">
        <f>ROUND(BS63,0)</f>
        <v>0</v>
      </c>
      <c r="G802" s="271">
        <f>ROUND(BS64,0)</f>
        <v>0</v>
      </c>
      <c r="H802" s="271">
        <f>ROUND(BS65,0)</f>
        <v>0</v>
      </c>
      <c r="I802" s="271">
        <f>ROUND(BS66,0)</f>
        <v>0</v>
      </c>
      <c r="J802" s="271">
        <f>ROUND(BS67,0)</f>
        <v>0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" customHeight="1" x14ac:dyDescent="0.25">
      <c r="A803" s="209" t="str">
        <f>RIGHT($C$83,3)&amp;"*"&amp;RIGHT($C$82,4)&amp;"*"&amp;BT$55&amp;"*"&amp;"A"</f>
        <v>168*2018*8670*A</v>
      </c>
      <c r="B803" s="271"/>
      <c r="C803" s="273">
        <f>ROUND(BT60,2)</f>
        <v>0</v>
      </c>
      <c r="D803" s="271">
        <f>ROUND(BT61,0)</f>
        <v>0</v>
      </c>
      <c r="E803" s="271">
        <f>ROUND(BT62,0)</f>
        <v>0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0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" customHeight="1" x14ac:dyDescent="0.25">
      <c r="A804" s="209" t="str">
        <f>RIGHT($C$83,3)&amp;"*"&amp;RIGHT($C$82,4)&amp;"*"&amp;BU$55&amp;"*"&amp;"A"</f>
        <v>168*2018*8680*A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" customHeight="1" x14ac:dyDescent="0.25">
      <c r="A805" s="209" t="str">
        <f>RIGHT($C$83,3)&amp;"*"&amp;RIGHT($C$82,4)&amp;"*"&amp;BV$55&amp;"*"&amp;"A"</f>
        <v>168*2018*8690*A</v>
      </c>
      <c r="B805" s="271"/>
      <c r="C805" s="273">
        <f>ROUND(BV60,2)</f>
        <v>0</v>
      </c>
      <c r="D805" s="271">
        <f>ROUND(BV61,0)</f>
        <v>0</v>
      </c>
      <c r="E805" s="271">
        <f>ROUND(BV62,0)</f>
        <v>0</v>
      </c>
      <c r="F805" s="271">
        <f>ROUND(BV63,0)</f>
        <v>0</v>
      </c>
      <c r="G805" s="271">
        <f>ROUND(BV64,0)</f>
        <v>0</v>
      </c>
      <c r="H805" s="271">
        <f>ROUND(BV65,0)</f>
        <v>0</v>
      </c>
      <c r="I805" s="271">
        <f>ROUND(BV66,0)</f>
        <v>0</v>
      </c>
      <c r="J805" s="271">
        <f>ROUND(BV67,0)</f>
        <v>0</v>
      </c>
      <c r="K805" s="271">
        <f>ROUND(BV68,0)</f>
        <v>0</v>
      </c>
      <c r="L805" s="271">
        <f>ROUND(BV69,0)</f>
        <v>0</v>
      </c>
      <c r="M805" s="271">
        <f>ROUND(BV70,0)</f>
        <v>0</v>
      </c>
      <c r="N805" s="271"/>
      <c r="O805" s="271"/>
      <c r="P805" s="271">
        <f>IF(BV76&gt;0,ROUND(BV76,0),0)</f>
        <v>2565</v>
      </c>
      <c r="Q805" s="271">
        <f>IF(BV77&gt;0,ROUND(BV77,0),0)</f>
        <v>0</v>
      </c>
      <c r="R805" s="271">
        <f>IF(BV78&gt;0,ROUND(BV78,0),0)</f>
        <v>0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" customHeight="1" x14ac:dyDescent="0.25">
      <c r="A806" s="209" t="str">
        <f>RIGHT($C$83,3)&amp;"*"&amp;RIGHT($C$82,4)&amp;"*"&amp;BW$55&amp;"*"&amp;"A"</f>
        <v>168*2018*8700*A</v>
      </c>
      <c r="B806" s="271"/>
      <c r="C806" s="273">
        <f>ROUND(BW60,2)</f>
        <v>0</v>
      </c>
      <c r="D806" s="271">
        <f>ROUND(BW61,0)</f>
        <v>0</v>
      </c>
      <c r="E806" s="271">
        <f>ROUND(BW62,0)</f>
        <v>0</v>
      </c>
      <c r="F806" s="271">
        <f>ROUND(BW63,0)</f>
        <v>0</v>
      </c>
      <c r="G806" s="271">
        <f>ROUND(BW64,0)</f>
        <v>22</v>
      </c>
      <c r="H806" s="271">
        <f>ROUND(BW65,0)</f>
        <v>0</v>
      </c>
      <c r="I806" s="271">
        <f>ROUND(BW66,0)</f>
        <v>497</v>
      </c>
      <c r="J806" s="271">
        <f>ROUND(BW67,0)</f>
        <v>0</v>
      </c>
      <c r="K806" s="271">
        <f>ROUND(BW68,0)</f>
        <v>0</v>
      </c>
      <c r="L806" s="271">
        <f>ROUND(BW69,0)</f>
        <v>0</v>
      </c>
      <c r="M806" s="271">
        <f>ROUND(BW70,0)</f>
        <v>0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" customHeight="1" x14ac:dyDescent="0.25">
      <c r="A807" s="209" t="str">
        <f>RIGHT($C$83,3)&amp;"*"&amp;RIGHT($C$82,4)&amp;"*"&amp;BX$55&amp;"*"&amp;"A"</f>
        <v>168*2018*8710*A</v>
      </c>
      <c r="B807" s="271"/>
      <c r="C807" s="273">
        <f>ROUND(BX60,2)</f>
        <v>0</v>
      </c>
      <c r="D807" s="271">
        <f>ROUND(BX61,0)</f>
        <v>0</v>
      </c>
      <c r="E807" s="271">
        <f>ROUND(BX62,0)</f>
        <v>0</v>
      </c>
      <c r="F807" s="271">
        <f>ROUND(BX63,0)</f>
        <v>0</v>
      </c>
      <c r="G807" s="271">
        <f>ROUND(BX64,0)</f>
        <v>0</v>
      </c>
      <c r="H807" s="271">
        <f>ROUND(BX65,0)</f>
        <v>0</v>
      </c>
      <c r="I807" s="271">
        <f>ROUND(BX66,0)</f>
        <v>0</v>
      </c>
      <c r="J807" s="271">
        <f>ROUND(BX67,0)</f>
        <v>0</v>
      </c>
      <c r="K807" s="271">
        <f>ROUND(BX68,0)</f>
        <v>0</v>
      </c>
      <c r="L807" s="271">
        <f>ROUND(BX69,0)</f>
        <v>0</v>
      </c>
      <c r="M807" s="271">
        <f>ROUND(BX70,0)</f>
        <v>0</v>
      </c>
      <c r="N807" s="271"/>
      <c r="O807" s="271"/>
      <c r="P807" s="271">
        <f>IF(BX76&gt;0,ROUND(BX76,0),0)</f>
        <v>586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" customHeight="1" x14ac:dyDescent="0.25">
      <c r="A808" s="209" t="str">
        <f>RIGHT($C$83,3)&amp;"*"&amp;RIGHT($C$82,4)&amp;"*"&amp;BY$55&amp;"*"&amp;"A"</f>
        <v>168*2018*8720*A</v>
      </c>
      <c r="B808" s="271"/>
      <c r="C808" s="273">
        <f>ROUND(BY60,2)</f>
        <v>4.0199999999999996</v>
      </c>
      <c r="D808" s="271">
        <f>ROUND(BY61,0)</f>
        <v>309238</v>
      </c>
      <c r="E808" s="271">
        <f>ROUND(BY62,0)</f>
        <v>83150</v>
      </c>
      <c r="F808" s="271">
        <f>ROUND(BY63,0)</f>
        <v>0</v>
      </c>
      <c r="G808" s="271">
        <f>ROUND(BY64,0)</f>
        <v>3556</v>
      </c>
      <c r="H808" s="271">
        <f>ROUND(BY65,0)</f>
        <v>880</v>
      </c>
      <c r="I808" s="271">
        <f>ROUND(BY66,0)</f>
        <v>23499</v>
      </c>
      <c r="J808" s="271">
        <f>ROUND(BY67,0)</f>
        <v>25725</v>
      </c>
      <c r="K808" s="271">
        <f>ROUND(BY68,0)</f>
        <v>890</v>
      </c>
      <c r="L808" s="271">
        <f>ROUND(BY69,0)</f>
        <v>148220</v>
      </c>
      <c r="M808" s="271">
        <f>ROUND(BY70,0)</f>
        <v>0</v>
      </c>
      <c r="N808" s="271"/>
      <c r="O808" s="271"/>
      <c r="P808" s="271">
        <f>IF(BY76&gt;0,ROUND(BY76,0),0)</f>
        <v>0</v>
      </c>
      <c r="Q808" s="271">
        <f>IF(BY77&gt;0,ROUND(BY77,0),0)</f>
        <v>0</v>
      </c>
      <c r="R808" s="271">
        <f>IF(BY78&gt;0,ROUND(BY78,0),0)</f>
        <v>0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" customHeight="1" x14ac:dyDescent="0.25">
      <c r="A809" s="209" t="str">
        <f>RIGHT($C$83,3)&amp;"*"&amp;RIGHT($C$82,4)&amp;"*"&amp;BZ$55&amp;"*"&amp;"A"</f>
        <v>168*2018*8730*A</v>
      </c>
      <c r="B809" s="271"/>
      <c r="C809" s="273">
        <f>ROUND(BZ60,2)</f>
        <v>0</v>
      </c>
      <c r="D809" s="271">
        <f>ROUND(BZ61,0)</f>
        <v>0</v>
      </c>
      <c r="E809" s="271">
        <f>ROUND(BZ62,0)</f>
        <v>0</v>
      </c>
      <c r="F809" s="271">
        <f>ROUND(BZ63,0)</f>
        <v>0</v>
      </c>
      <c r="G809" s="271">
        <f>ROUND(BZ64,0)</f>
        <v>0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0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" customHeight="1" x14ac:dyDescent="0.25">
      <c r="A810" s="209" t="str">
        <f>RIGHT($C$83,3)&amp;"*"&amp;RIGHT($C$82,4)&amp;"*"&amp;CA$55&amp;"*"&amp;"A"</f>
        <v>168*2018*8740*A</v>
      </c>
      <c r="B810" s="271"/>
      <c r="C810" s="273">
        <f>ROUND(CA60,2)</f>
        <v>73.569999999999993</v>
      </c>
      <c r="D810" s="271">
        <f>ROUND(CA61,0)</f>
        <v>5820094</v>
      </c>
      <c r="E810" s="271">
        <f>ROUND(CA62,0)</f>
        <v>1616184</v>
      </c>
      <c r="F810" s="271">
        <f>ROUND(CA63,0)</f>
        <v>0</v>
      </c>
      <c r="G810" s="271">
        <f>ROUND(CA64,0)</f>
        <v>27947</v>
      </c>
      <c r="H810" s="271">
        <f>ROUND(CA65,0)</f>
        <v>2652</v>
      </c>
      <c r="I810" s="271">
        <f>ROUND(CA66,0)</f>
        <v>2700</v>
      </c>
      <c r="J810" s="271">
        <f>ROUND(CA67,0)</f>
        <v>5876</v>
      </c>
      <c r="K810" s="271">
        <f>ROUND(CA68,0)</f>
        <v>0</v>
      </c>
      <c r="L810" s="271">
        <f>ROUND(CA69,0)</f>
        <v>6207</v>
      </c>
      <c r="M810" s="271">
        <f>ROUND(CA70,0)</f>
        <v>0</v>
      </c>
      <c r="N810" s="271"/>
      <c r="O810" s="271"/>
      <c r="P810" s="271">
        <f>IF(CA76&gt;0,ROUND(CA76,0),0)</f>
        <v>1470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" customHeight="1" x14ac:dyDescent="0.25">
      <c r="A811" s="209" t="str">
        <f>RIGHT($C$83,3)&amp;"*"&amp;RIGHT($C$82,4)&amp;"*"&amp;CB$55&amp;"*"&amp;"A"</f>
        <v>168*2018*8770*A</v>
      </c>
      <c r="B811" s="271"/>
      <c r="C811" s="273">
        <f>ROUND(CB60,2)</f>
        <v>0</v>
      </c>
      <c r="D811" s="271">
        <f>ROUND(CB61,0)</f>
        <v>0</v>
      </c>
      <c r="E811" s="271">
        <f>ROUND(CB62,0)</f>
        <v>0</v>
      </c>
      <c r="F811" s="271">
        <f>ROUND(CB63,0)</f>
        <v>0</v>
      </c>
      <c r="G811" s="271">
        <f>ROUND(CB64,0)</f>
        <v>0</v>
      </c>
      <c r="H811" s="271">
        <f>ROUND(CB65,0)</f>
        <v>0</v>
      </c>
      <c r="I811" s="271">
        <f>ROUND(CB66,0)</f>
        <v>0</v>
      </c>
      <c r="J811" s="271">
        <f>ROUND(CB67,0)</f>
        <v>0</v>
      </c>
      <c r="K811" s="271">
        <f>ROUND(CB68,0)</f>
        <v>0</v>
      </c>
      <c r="L811" s="271">
        <f>ROUND(CB69,0)</f>
        <v>0</v>
      </c>
      <c r="M811" s="271">
        <f>ROUND(CB70,0)</f>
        <v>0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" customHeight="1" x14ac:dyDescent="0.25">
      <c r="A812" s="209" t="str">
        <f>RIGHT($C$83,3)&amp;"*"&amp;RIGHT($C$82,4)&amp;"*"&amp;CC$55&amp;"*"&amp;"A"</f>
        <v>168*2018*8790*A</v>
      </c>
      <c r="B812" s="271"/>
      <c r="C812" s="273">
        <f>ROUND(CC60,2)</f>
        <v>0</v>
      </c>
      <c r="D812" s="271">
        <f>ROUND(CC61,0)</f>
        <v>0</v>
      </c>
      <c r="E812" s="271">
        <f>ROUND(CC62,0)</f>
        <v>0</v>
      </c>
      <c r="F812" s="271">
        <f>ROUND(CC63,0)</f>
        <v>0</v>
      </c>
      <c r="G812" s="271">
        <f>ROUND(CC64,0)</f>
        <v>0</v>
      </c>
      <c r="H812" s="271">
        <f>ROUND(CC65,0)</f>
        <v>0</v>
      </c>
      <c r="I812" s="271">
        <f>ROUND(CC66,0)</f>
        <v>0</v>
      </c>
      <c r="J812" s="271">
        <f>ROUND(CC67,0)</f>
        <v>0</v>
      </c>
      <c r="K812" s="271">
        <f>ROUND(CC68,0)</f>
        <v>0</v>
      </c>
      <c r="L812" s="271">
        <f>ROUND(CC69,0)</f>
        <v>0</v>
      </c>
      <c r="M812" s="271">
        <f>ROUND(CC70,0)</f>
        <v>0</v>
      </c>
      <c r="N812" s="271"/>
      <c r="O812" s="271"/>
      <c r="P812" s="271">
        <f>IF(CC76&gt;0,ROUND(CC76,0),0)</f>
        <v>0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" customHeight="1" x14ac:dyDescent="0.25">
      <c r="A813" s="209" t="str">
        <f>RIGHT($C$83,3)&amp;"*"&amp;RIGHT($C$82,4)&amp;"*"&amp;"9000"&amp;"*"&amp;"A"</f>
        <v>168*2018*9000*A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0</v>
      </c>
      <c r="V813" s="272">
        <f>ROUND(CD70,0)</f>
        <v>0</v>
      </c>
      <c r="W813" s="271">
        <f>ROUND(CE72,0)</f>
        <v>0</v>
      </c>
      <c r="X813" s="271">
        <f>ROUND(C131,0)</f>
        <v>2318508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" customHeight="1" x14ac:dyDescent="0.2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" customHeight="1" x14ac:dyDescent="0.25">
      <c r="B815" s="275" t="s">
        <v>1004</v>
      </c>
      <c r="C815" s="276">
        <f t="shared" ref="C815:K815" si="22">SUM(C734:C813)</f>
        <v>1436.86</v>
      </c>
      <c r="D815" s="272">
        <f t="shared" si="22"/>
        <v>103256899</v>
      </c>
      <c r="E815" s="272">
        <f t="shared" si="22"/>
        <v>31070523</v>
      </c>
      <c r="F815" s="272">
        <f t="shared" si="22"/>
        <v>97401758</v>
      </c>
      <c r="G815" s="272">
        <f t="shared" si="22"/>
        <v>89063237</v>
      </c>
      <c r="H815" s="272">
        <f t="shared" si="22"/>
        <v>1432617</v>
      </c>
      <c r="I815" s="272">
        <f t="shared" si="22"/>
        <v>13292764</v>
      </c>
      <c r="J815" s="272">
        <f t="shared" si="22"/>
        <v>11177142</v>
      </c>
      <c r="K815" s="272">
        <f t="shared" si="22"/>
        <v>1476700</v>
      </c>
      <c r="L815" s="272">
        <f>SUM(L734:L813)+SUM(U734:U813)</f>
        <v>17789443</v>
      </c>
      <c r="M815" s="272">
        <f>SUM(M734:M813)+SUM(V734:V813)</f>
        <v>0</v>
      </c>
      <c r="N815" s="272">
        <f t="shared" ref="N815:Y815" si="23">SUM(N734:N813)</f>
        <v>875753593</v>
      </c>
      <c r="O815" s="272">
        <f t="shared" si="23"/>
        <v>460168844</v>
      </c>
      <c r="P815" s="272">
        <f t="shared" si="23"/>
        <v>506566</v>
      </c>
      <c r="Q815" s="272">
        <f t="shared" si="23"/>
        <v>1024721</v>
      </c>
      <c r="R815" s="272">
        <f t="shared" si="23"/>
        <v>0</v>
      </c>
      <c r="S815" s="272">
        <f t="shared" si="23"/>
        <v>1976754</v>
      </c>
      <c r="T815" s="276">
        <f t="shared" si="23"/>
        <v>436.90999999999997</v>
      </c>
      <c r="U815" s="272">
        <f t="shared" si="23"/>
        <v>0</v>
      </c>
      <c r="V815" s="272">
        <f t="shared" si="23"/>
        <v>0</v>
      </c>
      <c r="W815" s="272">
        <f t="shared" si="23"/>
        <v>0</v>
      </c>
      <c r="X815" s="272">
        <f t="shared" si="23"/>
        <v>2318508</v>
      </c>
      <c r="Y815" s="272" t="e">
        <f t="shared" si="23"/>
        <v>#DIV/0!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" customHeight="1" x14ac:dyDescent="0.25">
      <c r="B816" s="272" t="s">
        <v>1005</v>
      </c>
      <c r="C816" s="276">
        <f>CE60</f>
        <v>1436.86</v>
      </c>
      <c r="D816" s="272">
        <f>CE61</f>
        <v>103256900.65000001</v>
      </c>
      <c r="E816" s="272">
        <f>CE62</f>
        <v>31070523</v>
      </c>
      <c r="F816" s="272">
        <f>CE63</f>
        <v>97401757.750000015</v>
      </c>
      <c r="G816" s="272">
        <f>CE64</f>
        <v>89063236.469999984</v>
      </c>
      <c r="H816" s="275">
        <f>CE65</f>
        <v>1432616.6699999997</v>
      </c>
      <c r="I816" s="275">
        <f>CE66</f>
        <v>13292765.220000003</v>
      </c>
      <c r="J816" s="275">
        <f>CE67</f>
        <v>11177142</v>
      </c>
      <c r="K816" s="275">
        <f>CE68</f>
        <v>1476698.47</v>
      </c>
      <c r="L816" s="275">
        <f>CE69</f>
        <v>17789442.539999999</v>
      </c>
      <c r="M816" s="275">
        <f>CE70</f>
        <v>0</v>
      </c>
      <c r="N816" s="272">
        <f>CE75</f>
        <v>875753593.19999993</v>
      </c>
      <c r="O816" s="272">
        <f>CE73</f>
        <v>460168841.38</v>
      </c>
      <c r="P816" s="272">
        <f>CE76</f>
        <v>506566</v>
      </c>
      <c r="Q816" s="272">
        <f>CE77</f>
        <v>1024721.9999999999</v>
      </c>
      <c r="R816" s="272">
        <f>CE78</f>
        <v>0</v>
      </c>
      <c r="S816" s="272">
        <f>CE79</f>
        <v>1976754</v>
      </c>
      <c r="T816" s="276">
        <f>CE80</f>
        <v>436.89574904974597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130354805.44000001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103256900.64999999</v>
      </c>
      <c r="E817" s="180">
        <f>C379</f>
        <v>31070523.410000004</v>
      </c>
      <c r="F817" s="180">
        <f>C380</f>
        <v>97401757.75</v>
      </c>
      <c r="G817" s="237">
        <f>C381</f>
        <v>89063236.470000029</v>
      </c>
      <c r="H817" s="237">
        <f>C382</f>
        <v>1432616.6699999997</v>
      </c>
      <c r="I817" s="237">
        <f>C383</f>
        <v>13292765.220000001</v>
      </c>
      <c r="J817" s="237">
        <f>C384</f>
        <v>11177141.169999996</v>
      </c>
      <c r="K817" s="237">
        <f>C385</f>
        <v>1476698.47</v>
      </c>
      <c r="L817" s="237">
        <f>C386+C387+C388+C389</f>
        <v>17817231.18</v>
      </c>
      <c r="M817" s="237">
        <f>C370</f>
        <v>13021191.719999969</v>
      </c>
      <c r="N817" s="180">
        <f>D361</f>
        <v>875753593.75</v>
      </c>
      <c r="O817" s="180">
        <f>C359</f>
        <v>460168841.92999995</v>
      </c>
    </row>
  </sheetData>
  <sheetProtection algorithmName="SHA-512" hashValue="rVuzyP1ti47lkw9l7kYouXqVKK6XCMhzJy2kvUt38yDkZjK9xpzVYJ6F30isf0OiW24s2bTDIIImZKdPdqsGog==" saltValue="ViS8uPiT4K8oYK2gVRv6dQ==" spinCount="100000" sheet="1" objects="1" scenarios="1"/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719"/>
  <sheetViews>
    <sheetView showGridLines="0" tabSelected="1" zoomScale="75" workbookViewId="0">
      <selection activeCell="J726" sqref="J72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2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25">
      <c r="A3" s="199"/>
      <c r="C3" s="233"/>
    </row>
    <row r="4" spans="1:6" ht="12.75" customHeight="1" x14ac:dyDescent="0.25">
      <c r="C4" s="233"/>
    </row>
    <row r="5" spans="1:6" ht="12.75" customHeight="1" x14ac:dyDescent="0.25">
      <c r="A5" s="199" t="s">
        <v>1258</v>
      </c>
      <c r="C5" s="233"/>
    </row>
    <row r="6" spans="1:6" ht="12.75" customHeight="1" x14ac:dyDescent="0.25">
      <c r="A6" s="199" t="s">
        <v>0</v>
      </c>
      <c r="C6" s="233"/>
    </row>
    <row r="7" spans="1:6" ht="12.75" customHeight="1" x14ac:dyDescent="0.25">
      <c r="A7" s="199" t="s">
        <v>1</v>
      </c>
      <c r="C7" s="233"/>
    </row>
    <row r="8" spans="1:6" ht="12.75" customHeight="1" x14ac:dyDescent="0.25">
      <c r="C8" s="233"/>
    </row>
    <row r="9" spans="1:6" ht="12.75" customHeight="1" x14ac:dyDescent="0.25">
      <c r="C9" s="233"/>
    </row>
    <row r="10" spans="1:6" ht="12.75" customHeight="1" x14ac:dyDescent="0.25">
      <c r="A10" s="198" t="s">
        <v>1228</v>
      </c>
      <c r="C10" s="233"/>
    </row>
    <row r="11" spans="1:6" ht="12.75" customHeight="1" x14ac:dyDescent="0.25">
      <c r="A11" s="198" t="s">
        <v>1231</v>
      </c>
      <c r="C11" s="233"/>
    </row>
    <row r="12" spans="1:6" ht="12.75" customHeight="1" x14ac:dyDescent="0.25">
      <c r="C12" s="233"/>
    </row>
    <row r="13" spans="1:6" ht="12.75" customHeight="1" x14ac:dyDescent="0.25">
      <c r="C13" s="233"/>
    </row>
    <row r="14" spans="1:6" ht="12.75" customHeight="1" x14ac:dyDescent="0.25">
      <c r="A14" s="199" t="s">
        <v>2</v>
      </c>
      <c r="C14" s="233"/>
    </row>
    <row r="15" spans="1:6" ht="12.75" customHeight="1" x14ac:dyDescent="0.25">
      <c r="A15" s="199"/>
      <c r="C15" s="233"/>
    </row>
    <row r="16" spans="1:6" ht="12.75" customHeight="1" x14ac:dyDescent="0.25">
      <c r="A16" s="180" t="s">
        <v>1260</v>
      </c>
      <c r="C16" s="233"/>
      <c r="F16" s="278" t="s">
        <v>1259</v>
      </c>
    </row>
    <row r="17" spans="1:6" ht="12.75" customHeight="1" x14ac:dyDescent="0.25">
      <c r="A17" s="180" t="s">
        <v>1230</v>
      </c>
      <c r="C17" s="278" t="s">
        <v>1259</v>
      </c>
    </row>
    <row r="18" spans="1:6" ht="12.75" customHeight="1" x14ac:dyDescent="0.25">
      <c r="A18" s="227"/>
      <c r="C18" s="233"/>
    </row>
    <row r="19" spans="1:6" ht="12.75" customHeight="1" x14ac:dyDescent="0.25">
      <c r="C19" s="233"/>
    </row>
    <row r="20" spans="1:6" ht="12.75" customHeight="1" x14ac:dyDescent="0.2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25">
      <c r="A21" s="199"/>
      <c r="C21" s="233"/>
    </row>
    <row r="22" spans="1:6" ht="12.6" customHeight="1" x14ac:dyDescent="0.25">
      <c r="A22" s="234" t="s">
        <v>1254</v>
      </c>
      <c r="B22" s="235"/>
      <c r="C22" s="236"/>
      <c r="D22" s="234"/>
      <c r="E22" s="234"/>
    </row>
    <row r="23" spans="1:6" ht="12.6" customHeight="1" x14ac:dyDescent="0.25">
      <c r="B23" s="199"/>
      <c r="C23" s="233"/>
    </row>
    <row r="24" spans="1:6" ht="12.6" customHeight="1" x14ac:dyDescent="0.25">
      <c r="A24" s="237" t="s">
        <v>3</v>
      </c>
      <c r="C24" s="233"/>
    </row>
    <row r="25" spans="1:6" ht="12.6" customHeight="1" x14ac:dyDescent="0.25">
      <c r="A25" s="198" t="s">
        <v>1235</v>
      </c>
      <c r="C25" s="233"/>
    </row>
    <row r="26" spans="1:6" ht="12.6" customHeight="1" x14ac:dyDescent="0.25">
      <c r="A26" s="199" t="s">
        <v>4</v>
      </c>
      <c r="C26" s="233"/>
    </row>
    <row r="27" spans="1:6" ht="12.6" customHeight="1" x14ac:dyDescent="0.25">
      <c r="A27" s="198" t="s">
        <v>1236</v>
      </c>
      <c r="C27" s="233"/>
    </row>
    <row r="28" spans="1:6" ht="12.6" customHeight="1" x14ac:dyDescent="0.25">
      <c r="A28" s="199" t="s">
        <v>5</v>
      </c>
      <c r="C28" s="233"/>
    </row>
    <row r="29" spans="1:6" ht="12.6" customHeight="1" x14ac:dyDescent="0.25">
      <c r="A29" s="198"/>
      <c r="C29" s="233"/>
    </row>
    <row r="30" spans="1:6" ht="12.6" customHeight="1" x14ac:dyDescent="0.25">
      <c r="A30" s="180" t="s">
        <v>6</v>
      </c>
      <c r="C30" s="233"/>
    </row>
    <row r="31" spans="1:6" ht="12.6" customHeight="1" x14ac:dyDescent="0.25">
      <c r="A31" s="199" t="s">
        <v>7</v>
      </c>
      <c r="C31" s="233"/>
    </row>
    <row r="32" spans="1:6" ht="12.6" customHeight="1" x14ac:dyDescent="0.25">
      <c r="A32" s="199" t="s">
        <v>8</v>
      </c>
      <c r="C32" s="233"/>
    </row>
    <row r="33" spans="1:83" ht="12.6" customHeight="1" x14ac:dyDescent="0.25">
      <c r="A33" s="198" t="s">
        <v>1237</v>
      </c>
      <c r="C33" s="233"/>
    </row>
    <row r="34" spans="1:83" ht="12.6" customHeight="1" x14ac:dyDescent="0.25">
      <c r="A34" s="199" t="s">
        <v>9</v>
      </c>
      <c r="C34" s="233"/>
    </row>
    <row r="35" spans="1:83" ht="12.6" customHeight="1" x14ac:dyDescent="0.25">
      <c r="A35" s="199"/>
      <c r="C35" s="233"/>
    </row>
    <row r="36" spans="1:83" ht="12.6" customHeight="1" x14ac:dyDescent="0.25">
      <c r="A36" s="198" t="s">
        <v>1238</v>
      </c>
      <c r="C36" s="233"/>
    </row>
    <row r="37" spans="1:83" ht="12.6" customHeight="1" x14ac:dyDescent="0.25">
      <c r="A37" s="199" t="s">
        <v>1229</v>
      </c>
      <c r="C37" s="233"/>
    </row>
    <row r="38" spans="1:83" ht="12" customHeight="1" x14ac:dyDescent="0.25">
      <c r="A38" s="198"/>
      <c r="C38" s="233"/>
    </row>
    <row r="39" spans="1:83" ht="12.6" customHeight="1" x14ac:dyDescent="0.25">
      <c r="A39" s="199"/>
      <c r="C39" s="233"/>
    </row>
    <row r="40" spans="1:83" ht="12" customHeight="1" x14ac:dyDescent="0.25">
      <c r="A40" s="199"/>
      <c r="C40" s="233"/>
    </row>
    <row r="41" spans="1:83" ht="12" customHeight="1" x14ac:dyDescent="0.2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2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25">
      <c r="A43" s="199"/>
      <c r="C43" s="233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25890135.809999999</v>
      </c>
      <c r="C47" s="184">
        <v>1285186.6599999999</v>
      </c>
      <c r="D47" s="184">
        <v>1691060.41</v>
      </c>
      <c r="E47" s="225">
        <v>4157229.65</v>
      </c>
      <c r="F47" s="184"/>
      <c r="G47" s="184"/>
      <c r="H47" s="184"/>
      <c r="I47" s="184"/>
      <c r="J47" s="184"/>
      <c r="K47" s="184">
        <v>606160.94999999995</v>
      </c>
      <c r="L47" s="184"/>
      <c r="M47" s="184"/>
      <c r="N47" s="184"/>
      <c r="O47" s="184">
        <v>675742.94</v>
      </c>
      <c r="P47" s="184">
        <v>1505465.15</v>
      </c>
      <c r="Q47" s="184">
        <v>291408.78999999998</v>
      </c>
      <c r="R47" s="184">
        <v>83391.210000000006</v>
      </c>
      <c r="S47" s="184">
        <v>251030.85</v>
      </c>
      <c r="T47" s="184">
        <v>97945.94</v>
      </c>
      <c r="U47" s="184">
        <v>905336.71</v>
      </c>
      <c r="V47" s="184">
        <v>7487.68</v>
      </c>
      <c r="W47" s="184">
        <v>136725.94</v>
      </c>
      <c r="X47" s="184">
        <v>151856.47</v>
      </c>
      <c r="Y47" s="184">
        <v>1285217.67</v>
      </c>
      <c r="Z47" s="184"/>
      <c r="AA47" s="184"/>
      <c r="AB47" s="184">
        <v>1496565.9</v>
      </c>
      <c r="AC47" s="184">
        <v>422004.15</v>
      </c>
      <c r="AD47" s="184"/>
      <c r="AE47" s="184">
        <v>581261.28</v>
      </c>
      <c r="AF47" s="184"/>
      <c r="AG47" s="184">
        <v>1006742.49</v>
      </c>
      <c r="AH47" s="184"/>
      <c r="AI47" s="184">
        <v>473661.6</v>
      </c>
      <c r="AJ47" s="184">
        <v>1043167.75</v>
      </c>
      <c r="AK47" s="184">
        <v>188512.17</v>
      </c>
      <c r="AL47" s="184">
        <v>129890.28</v>
      </c>
      <c r="AM47" s="184"/>
      <c r="AN47" s="184"/>
      <c r="AO47" s="184"/>
      <c r="AP47" s="184">
        <v>462423.73</v>
      </c>
      <c r="AQ47" s="184"/>
      <c r="AR47" s="184">
        <v>1134371</v>
      </c>
      <c r="AS47" s="184"/>
      <c r="AT47" s="184"/>
      <c r="AU47" s="184"/>
      <c r="AV47" s="184"/>
      <c r="AW47" s="184"/>
      <c r="AX47" s="184"/>
      <c r="AY47" s="184">
        <v>607004.36</v>
      </c>
      <c r="AZ47" s="184"/>
      <c r="BA47" s="184">
        <v>188295.73</v>
      </c>
      <c r="BB47" s="184">
        <v>588785.1</v>
      </c>
      <c r="BC47" s="184"/>
      <c r="BD47" s="184"/>
      <c r="BE47" s="184">
        <v>250864.63</v>
      </c>
      <c r="BF47" s="184">
        <v>688320.43</v>
      </c>
      <c r="BG47" s="184">
        <v>33700.120000000003</v>
      </c>
      <c r="BH47" s="184"/>
      <c r="BI47" s="184"/>
      <c r="BJ47" s="184"/>
      <c r="BK47" s="184"/>
      <c r="BL47" s="184">
        <v>382918.38</v>
      </c>
      <c r="BM47" s="184">
        <v>1642825.68</v>
      </c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>
        <v>2246.39</v>
      </c>
      <c r="BY47" s="184">
        <v>59628.23</v>
      </c>
      <c r="BZ47" s="184"/>
      <c r="CA47" s="184">
        <v>1375699.39</v>
      </c>
      <c r="CB47" s="184"/>
      <c r="CC47" s="184"/>
      <c r="CD47" s="195"/>
      <c r="CE47" s="195">
        <f>SUM(C47:CC47)</f>
        <v>25890135.810000002</v>
      </c>
    </row>
    <row r="48" spans="1:83" ht="12.6" customHeight="1" x14ac:dyDescent="0.25">
      <c r="A48" s="175" t="s">
        <v>205</v>
      </c>
      <c r="B48" s="183"/>
      <c r="C48" s="242">
        <f>ROUND(((B48/CE61)*C61),0)</f>
        <v>0</v>
      </c>
      <c r="D48" s="242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25890135.809999999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10802716.57</v>
      </c>
      <c r="C51" s="184">
        <v>103932.94</v>
      </c>
      <c r="D51" s="184">
        <v>88615.9</v>
      </c>
      <c r="E51" s="225">
        <v>211849.38</v>
      </c>
      <c r="F51" s="184"/>
      <c r="G51" s="184"/>
      <c r="H51" s="184"/>
      <c r="I51" s="184"/>
      <c r="J51" s="184"/>
      <c r="K51" s="184">
        <v>36255.589999999997</v>
      </c>
      <c r="L51" s="184"/>
      <c r="M51" s="184"/>
      <c r="N51" s="184"/>
      <c r="O51" s="184">
        <v>22938.400000000001</v>
      </c>
      <c r="P51" s="184">
        <v>761591.11</v>
      </c>
      <c r="Q51" s="184">
        <v>33789.300000000003</v>
      </c>
      <c r="R51" s="184">
        <v>8324</v>
      </c>
      <c r="S51" s="184">
        <v>203514.52</v>
      </c>
      <c r="T51" s="184"/>
      <c r="U51" s="184">
        <v>190223.34</v>
      </c>
      <c r="V51" s="184">
        <v>2838.63</v>
      </c>
      <c r="W51" s="184">
        <v>54135.65</v>
      </c>
      <c r="X51" s="184">
        <v>68798.05</v>
      </c>
      <c r="Y51" s="184">
        <v>1263104.8600000001</v>
      </c>
      <c r="Z51" s="184"/>
      <c r="AA51" s="184"/>
      <c r="AB51" s="184">
        <v>252013.83</v>
      </c>
      <c r="AC51" s="184">
        <v>29853.26</v>
      </c>
      <c r="AD51" s="184"/>
      <c r="AE51" s="184">
        <v>7114.3</v>
      </c>
      <c r="AF51" s="184"/>
      <c r="AG51" s="184">
        <v>49583.73</v>
      </c>
      <c r="AH51" s="184"/>
      <c r="AI51" s="184">
        <v>15050.07</v>
      </c>
      <c r="AJ51" s="184">
        <v>265752.38</v>
      </c>
      <c r="AK51" s="184">
        <v>15296.29</v>
      </c>
      <c r="AL51" s="184">
        <v>76363.039999999994</v>
      </c>
      <c r="AM51" s="184"/>
      <c r="AN51" s="184"/>
      <c r="AO51" s="184"/>
      <c r="AP51" s="184">
        <v>17570.939999999999</v>
      </c>
      <c r="AQ51" s="184"/>
      <c r="AR51" s="184">
        <v>110982.24</v>
      </c>
      <c r="AS51" s="184"/>
      <c r="AT51" s="184"/>
      <c r="AU51" s="184"/>
      <c r="AV51" s="184"/>
      <c r="AW51" s="184"/>
      <c r="AX51" s="184"/>
      <c r="AY51" s="184">
        <v>18134.830000000002</v>
      </c>
      <c r="AZ51" s="184"/>
      <c r="BA51" s="184">
        <v>18841.45</v>
      </c>
      <c r="BB51" s="184"/>
      <c r="BC51" s="184"/>
      <c r="BD51" s="184"/>
      <c r="BE51" s="184">
        <v>175630.5</v>
      </c>
      <c r="BF51" s="184">
        <v>5133.09</v>
      </c>
      <c r="BG51" s="184">
        <v>116534.72</v>
      </c>
      <c r="BH51" s="184">
        <v>841921.5</v>
      </c>
      <c r="BI51" s="184"/>
      <c r="BJ51" s="184"/>
      <c r="BK51" s="184"/>
      <c r="BL51" s="184"/>
      <c r="BM51" s="184">
        <v>3640.38</v>
      </c>
      <c r="BN51" s="184">
        <f>5538689.73</f>
        <v>5538689.7300000004</v>
      </c>
      <c r="BO51" s="184"/>
      <c r="BP51" s="184">
        <v>3131.42</v>
      </c>
      <c r="BQ51" s="184"/>
      <c r="BR51" s="184">
        <v>310.83999999999997</v>
      </c>
      <c r="BS51" s="184"/>
      <c r="BT51" s="184"/>
      <c r="BU51" s="184"/>
      <c r="BV51" s="184">
        <v>44392.68</v>
      </c>
      <c r="BW51" s="184"/>
      <c r="BX51" s="184">
        <v>77874.66</v>
      </c>
      <c r="BY51" s="184">
        <v>1339.03</v>
      </c>
      <c r="BZ51" s="184"/>
      <c r="CA51" s="184">
        <v>6853.07</v>
      </c>
      <c r="CB51" s="184"/>
      <c r="CC51" s="184"/>
      <c r="CD51" s="195"/>
      <c r="CE51" s="195">
        <f>SUM(C51:CD51)</f>
        <v>10741919.649999999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10802716.57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" customHeight="1" x14ac:dyDescent="0.25">
      <c r="A59" s="171" t="s">
        <v>233</v>
      </c>
      <c r="B59" s="175"/>
      <c r="C59" s="184">
        <f>3809+1080</f>
        <v>4889</v>
      </c>
      <c r="D59" s="184">
        <v>11492</v>
      </c>
      <c r="E59" s="225">
        <v>29514</v>
      </c>
      <c r="F59" s="184"/>
      <c r="G59" s="184"/>
      <c r="H59" s="184"/>
      <c r="I59" s="184"/>
      <c r="J59" s="184"/>
      <c r="K59" s="184">
        <v>5984</v>
      </c>
      <c r="L59" s="184"/>
      <c r="M59" s="184"/>
      <c r="N59" s="184"/>
      <c r="O59" s="184">
        <v>1351</v>
      </c>
      <c r="P59" s="185">
        <v>831174</v>
      </c>
      <c r="Q59" s="185">
        <v>831174</v>
      </c>
      <c r="R59" s="185">
        <v>831174</v>
      </c>
      <c r="S59" s="245"/>
      <c r="T59" s="245"/>
      <c r="U59" s="224">
        <v>1618554</v>
      </c>
      <c r="V59" s="185">
        <v>129896</v>
      </c>
      <c r="W59" s="185">
        <v>28311</v>
      </c>
      <c r="X59" s="185">
        <v>47317</v>
      </c>
      <c r="Y59" s="185">
        <v>56206</v>
      </c>
      <c r="Z59" s="185"/>
      <c r="AA59" s="185"/>
      <c r="AB59" s="245"/>
      <c r="AC59" s="185">
        <v>29898</v>
      </c>
      <c r="AD59" s="185"/>
      <c r="AE59" s="185">
        <v>25139</v>
      </c>
      <c r="AF59" s="185"/>
      <c r="AG59" s="185">
        <v>37006</v>
      </c>
      <c r="AH59" s="185"/>
      <c r="AI59" s="185">
        <v>6930</v>
      </c>
      <c r="AJ59" s="185">
        <f>SUM((90649/60)+2742+2497+12177+310+428+1293)</f>
        <v>20957.816666666666</v>
      </c>
      <c r="AK59" s="185">
        <v>15228</v>
      </c>
      <c r="AL59" s="185">
        <v>15859</v>
      </c>
      <c r="AM59" s="185"/>
      <c r="AN59" s="185"/>
      <c r="AO59" s="185"/>
      <c r="AP59" s="185">
        <v>0</v>
      </c>
      <c r="AQ59" s="185"/>
      <c r="AR59" s="185">
        <v>30904</v>
      </c>
      <c r="AS59" s="185"/>
      <c r="AT59" s="185"/>
      <c r="AU59" s="185"/>
      <c r="AV59" s="245"/>
      <c r="AW59" s="245"/>
      <c r="AX59" s="245"/>
      <c r="AY59" s="185">
        <v>645376</v>
      </c>
      <c r="AZ59" s="185"/>
      <c r="BA59" s="245"/>
      <c r="BB59" s="245"/>
      <c r="BC59" s="245"/>
      <c r="BD59" s="245"/>
      <c r="BE59" s="281">
        <v>466442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" customHeight="1" x14ac:dyDescent="0.25">
      <c r="A60" s="247" t="s">
        <v>234</v>
      </c>
      <c r="B60" s="175"/>
      <c r="C60" s="186">
        <v>58.57</v>
      </c>
      <c r="D60" s="187">
        <v>91.17</v>
      </c>
      <c r="E60" s="225">
        <v>208.7</v>
      </c>
      <c r="F60" s="223"/>
      <c r="G60" s="187"/>
      <c r="H60" s="187"/>
      <c r="I60" s="187"/>
      <c r="J60" s="223"/>
      <c r="K60" s="187">
        <v>35.78</v>
      </c>
      <c r="L60" s="187"/>
      <c r="M60" s="187"/>
      <c r="N60" s="187"/>
      <c r="O60" s="187">
        <v>27.48</v>
      </c>
      <c r="P60" s="221">
        <v>73.91</v>
      </c>
      <c r="Q60" s="221">
        <v>13.01</v>
      </c>
      <c r="R60" s="221">
        <v>5.24</v>
      </c>
      <c r="S60" s="221">
        <v>16.27</v>
      </c>
      <c r="T60" s="221">
        <v>4.82</v>
      </c>
      <c r="U60" s="221">
        <v>57.38</v>
      </c>
      <c r="V60" s="221">
        <v>0.46</v>
      </c>
      <c r="W60" s="221">
        <v>6.3</v>
      </c>
      <c r="X60" s="221">
        <v>10.77</v>
      </c>
      <c r="Y60" s="221">
        <v>69.28</v>
      </c>
      <c r="Z60" s="221"/>
      <c r="AA60" s="221"/>
      <c r="AB60" s="221">
        <v>85.33</v>
      </c>
      <c r="AC60" s="221">
        <v>22.65</v>
      </c>
      <c r="AD60" s="221"/>
      <c r="AE60" s="221">
        <v>32.74</v>
      </c>
      <c r="AF60" s="221"/>
      <c r="AG60" s="221">
        <v>53.26</v>
      </c>
      <c r="AH60" s="221"/>
      <c r="AI60" s="221">
        <v>22.77</v>
      </c>
      <c r="AJ60" s="221">
        <v>62.36</v>
      </c>
      <c r="AK60" s="221">
        <v>9.52</v>
      </c>
      <c r="AL60" s="221">
        <v>6.02</v>
      </c>
      <c r="AM60" s="221"/>
      <c r="AN60" s="221"/>
      <c r="AO60" s="221"/>
      <c r="AP60" s="221">
        <v>35.68</v>
      </c>
      <c r="AQ60" s="221"/>
      <c r="AR60" s="221">
        <v>57.74</v>
      </c>
      <c r="AS60" s="221"/>
      <c r="AT60" s="221"/>
      <c r="AU60" s="221"/>
      <c r="AV60" s="221"/>
      <c r="AW60" s="221"/>
      <c r="AX60" s="221"/>
      <c r="AY60" s="221">
        <v>57.47</v>
      </c>
      <c r="AZ60" s="221"/>
      <c r="BA60" s="221">
        <v>15.69</v>
      </c>
      <c r="BB60" s="221">
        <v>29.55</v>
      </c>
      <c r="BC60" s="221"/>
      <c r="BD60" s="221"/>
      <c r="BE60" s="221">
        <v>18.45</v>
      </c>
      <c r="BF60" s="221">
        <v>60.42</v>
      </c>
      <c r="BG60" s="221">
        <v>6.08</v>
      </c>
      <c r="BH60" s="221"/>
      <c r="BI60" s="221"/>
      <c r="BJ60" s="221"/>
      <c r="BK60" s="221"/>
      <c r="BL60" s="221">
        <v>29.83</v>
      </c>
      <c r="BM60" s="221"/>
      <c r="BN60" s="221">
        <v>7.0000000000000007E-2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>
        <v>0.03</v>
      </c>
      <c r="BY60" s="221">
        <v>3.18</v>
      </c>
      <c r="BZ60" s="221"/>
      <c r="CA60" s="221">
        <v>71.37</v>
      </c>
      <c r="CB60" s="221"/>
      <c r="CC60" s="221">
        <v>1</v>
      </c>
      <c r="CD60" s="246" t="s">
        <v>221</v>
      </c>
      <c r="CE60" s="248">
        <f t="shared" ref="CE60:CE70" si="0">SUM(C60:CD60)</f>
        <v>1360.35</v>
      </c>
    </row>
    <row r="61" spans="1:84" ht="12.6" customHeight="1" x14ac:dyDescent="0.25">
      <c r="A61" s="171" t="s">
        <v>235</v>
      </c>
      <c r="B61" s="175"/>
      <c r="C61" s="184">
        <v>5204779</v>
      </c>
      <c r="D61" s="184">
        <v>6538639</v>
      </c>
      <c r="E61" s="225">
        <v>15940276</v>
      </c>
      <c r="F61" s="185"/>
      <c r="G61" s="184"/>
      <c r="H61" s="184"/>
      <c r="I61" s="185"/>
      <c r="J61" s="185"/>
      <c r="K61" s="185">
        <v>2353935</v>
      </c>
      <c r="L61" s="185"/>
      <c r="M61" s="184"/>
      <c r="N61" s="184"/>
      <c r="O61" s="184">
        <v>2618707</v>
      </c>
      <c r="P61" s="185">
        <v>5735801</v>
      </c>
      <c r="Q61" s="185">
        <v>1396014</v>
      </c>
      <c r="R61" s="185">
        <v>364566</v>
      </c>
      <c r="S61" s="185">
        <v>777072</v>
      </c>
      <c r="T61" s="185">
        <v>469588</v>
      </c>
      <c r="U61" s="185">
        <v>3459296</v>
      </c>
      <c r="V61" s="185">
        <v>26891.06</v>
      </c>
      <c r="W61" s="185">
        <v>606961.99</v>
      </c>
      <c r="X61" s="185">
        <v>849929.67</v>
      </c>
      <c r="Y61" s="185">
        <v>5258593.0999999996</v>
      </c>
      <c r="Z61" s="185"/>
      <c r="AA61" s="185"/>
      <c r="AB61" s="185">
        <v>6616737.5700000003</v>
      </c>
      <c r="AC61" s="185">
        <v>1787677.22</v>
      </c>
      <c r="AD61" s="185"/>
      <c r="AE61" s="185">
        <v>2295712.63</v>
      </c>
      <c r="AF61" s="185"/>
      <c r="AG61" s="185">
        <v>4360255.99</v>
      </c>
      <c r="AH61" s="185"/>
      <c r="AI61" s="185">
        <v>1967079.87</v>
      </c>
      <c r="AJ61" s="185">
        <v>4508171.3600000003</v>
      </c>
      <c r="AK61" s="185">
        <v>781371.07</v>
      </c>
      <c r="AL61" s="185">
        <v>532196.71</v>
      </c>
      <c r="AM61" s="185"/>
      <c r="AN61" s="185"/>
      <c r="AO61" s="185"/>
      <c r="AP61" s="185">
        <v>1372613.69</v>
      </c>
      <c r="AQ61" s="185"/>
      <c r="AR61" s="185">
        <v>4958202.55</v>
      </c>
      <c r="AS61" s="185"/>
      <c r="AT61" s="185"/>
      <c r="AU61" s="185"/>
      <c r="AV61" s="185"/>
      <c r="AW61" s="185"/>
      <c r="AX61" s="185"/>
      <c r="AY61" s="185">
        <v>2205597.64</v>
      </c>
      <c r="AZ61" s="185"/>
      <c r="BA61" s="185">
        <v>577694.07999999996</v>
      </c>
      <c r="BB61" s="185">
        <v>2318548.64</v>
      </c>
      <c r="BC61" s="185"/>
      <c r="BD61" s="185"/>
      <c r="BE61" s="185">
        <v>840390.12</v>
      </c>
      <c r="BF61" s="185">
        <v>1990726.89</v>
      </c>
      <c r="BG61" s="185">
        <v>131340.47</v>
      </c>
      <c r="BH61" s="185"/>
      <c r="BI61" s="185"/>
      <c r="BJ61" s="185"/>
      <c r="BK61" s="185"/>
      <c r="BL61" s="185">
        <v>1283735.55</v>
      </c>
      <c r="BM61" s="185"/>
      <c r="BN61" s="185">
        <v>1027591.08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16155.42</v>
      </c>
      <c r="BY61" s="185">
        <v>194817.89</v>
      </c>
      <c r="BZ61" s="185"/>
      <c r="CA61" s="185">
        <v>5430164.3300000001</v>
      </c>
      <c r="CB61" s="185"/>
      <c r="CC61" s="185"/>
      <c r="CD61" s="246" t="s">
        <v>221</v>
      </c>
      <c r="CE61" s="195">
        <f t="shared" si="0"/>
        <v>96797829.589999989</v>
      </c>
      <c r="CF61" s="249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1285187</v>
      </c>
      <c r="D62" s="195">
        <f t="shared" si="1"/>
        <v>1691060</v>
      </c>
      <c r="E62" s="195">
        <f t="shared" si="1"/>
        <v>4157230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606161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675743</v>
      </c>
      <c r="P62" s="195">
        <f t="shared" si="1"/>
        <v>1505465</v>
      </c>
      <c r="Q62" s="195">
        <f t="shared" si="1"/>
        <v>291409</v>
      </c>
      <c r="R62" s="195">
        <f t="shared" si="1"/>
        <v>83391</v>
      </c>
      <c r="S62" s="195">
        <f t="shared" si="1"/>
        <v>251031</v>
      </c>
      <c r="T62" s="195">
        <f t="shared" si="1"/>
        <v>97946</v>
      </c>
      <c r="U62" s="195">
        <f t="shared" si="1"/>
        <v>905337</v>
      </c>
      <c r="V62" s="195">
        <f t="shared" si="1"/>
        <v>7488</v>
      </c>
      <c r="W62" s="195">
        <f t="shared" si="1"/>
        <v>136726</v>
      </c>
      <c r="X62" s="195">
        <f t="shared" si="1"/>
        <v>151856</v>
      </c>
      <c r="Y62" s="195">
        <f t="shared" si="1"/>
        <v>1285218</v>
      </c>
      <c r="Z62" s="195">
        <f t="shared" si="1"/>
        <v>0</v>
      </c>
      <c r="AA62" s="195">
        <f t="shared" si="1"/>
        <v>0</v>
      </c>
      <c r="AB62" s="195">
        <f t="shared" si="1"/>
        <v>1496566</v>
      </c>
      <c r="AC62" s="195">
        <f t="shared" si="1"/>
        <v>422004</v>
      </c>
      <c r="AD62" s="195">
        <f t="shared" si="1"/>
        <v>0</v>
      </c>
      <c r="AE62" s="195">
        <f t="shared" si="1"/>
        <v>581261</v>
      </c>
      <c r="AF62" s="195">
        <f t="shared" si="1"/>
        <v>0</v>
      </c>
      <c r="AG62" s="195">
        <f t="shared" si="1"/>
        <v>1006742</v>
      </c>
      <c r="AH62" s="195">
        <f t="shared" si="1"/>
        <v>0</v>
      </c>
      <c r="AI62" s="195">
        <f t="shared" si="1"/>
        <v>473662</v>
      </c>
      <c r="AJ62" s="195">
        <f t="shared" si="1"/>
        <v>1043168</v>
      </c>
      <c r="AK62" s="195">
        <f t="shared" si="1"/>
        <v>188512</v>
      </c>
      <c r="AL62" s="195">
        <f t="shared" si="1"/>
        <v>129890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462424</v>
      </c>
      <c r="AQ62" s="195">
        <f t="shared" si="1"/>
        <v>0</v>
      </c>
      <c r="AR62" s="195">
        <f t="shared" si="1"/>
        <v>1134371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607004</v>
      </c>
      <c r="AZ62" s="195">
        <f>ROUND(AZ47+AZ48,0)</f>
        <v>0</v>
      </c>
      <c r="BA62" s="195">
        <f>ROUND(BA47+BA48,0)</f>
        <v>188296</v>
      </c>
      <c r="BB62" s="195">
        <f t="shared" si="1"/>
        <v>588785</v>
      </c>
      <c r="BC62" s="195">
        <f t="shared" si="1"/>
        <v>0</v>
      </c>
      <c r="BD62" s="195">
        <f t="shared" si="1"/>
        <v>0</v>
      </c>
      <c r="BE62" s="195">
        <f t="shared" si="1"/>
        <v>250865</v>
      </c>
      <c r="BF62" s="195">
        <f t="shared" si="1"/>
        <v>688320</v>
      </c>
      <c r="BG62" s="195">
        <f t="shared" si="1"/>
        <v>33700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382918</v>
      </c>
      <c r="BM62" s="195">
        <f t="shared" si="1"/>
        <v>1642826</v>
      </c>
      <c r="BN62" s="195">
        <f t="shared" si="1"/>
        <v>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2246</v>
      </c>
      <c r="BY62" s="195">
        <f t="shared" si="2"/>
        <v>59628</v>
      </c>
      <c r="BZ62" s="195">
        <f t="shared" si="2"/>
        <v>0</v>
      </c>
      <c r="CA62" s="195">
        <f t="shared" si="2"/>
        <v>1375699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25890135</v>
      </c>
      <c r="CF62" s="249"/>
    </row>
    <row r="63" spans="1:84" ht="12.6" customHeight="1" x14ac:dyDescent="0.25">
      <c r="A63" s="171" t="s">
        <v>236</v>
      </c>
      <c r="B63" s="175"/>
      <c r="C63" s="184">
        <v>887361.05</v>
      </c>
      <c r="D63" s="184">
        <v>420450.75</v>
      </c>
      <c r="E63" s="225">
        <v>1180468</v>
      </c>
      <c r="F63" s="185"/>
      <c r="G63" s="184"/>
      <c r="H63" s="184"/>
      <c r="I63" s="185"/>
      <c r="J63" s="185"/>
      <c r="K63" s="185">
        <v>119644</v>
      </c>
      <c r="L63" s="185"/>
      <c r="M63" s="184"/>
      <c r="N63" s="184"/>
      <c r="O63" s="184">
        <v>1137.5</v>
      </c>
      <c r="P63" s="185">
        <v>1522921.14</v>
      </c>
      <c r="Q63" s="185">
        <v>150</v>
      </c>
      <c r="R63" s="185">
        <v>1890254.1</v>
      </c>
      <c r="S63" s="185">
        <v>62583.75</v>
      </c>
      <c r="T63" s="185">
        <v>0</v>
      </c>
      <c r="U63" s="185">
        <v>127952.25</v>
      </c>
      <c r="V63" s="185">
        <v>0</v>
      </c>
      <c r="W63" s="185">
        <v>0</v>
      </c>
      <c r="X63" s="185">
        <v>0</v>
      </c>
      <c r="Y63" s="185">
        <v>141810.46</v>
      </c>
      <c r="Z63" s="185"/>
      <c r="AA63" s="185"/>
      <c r="AB63" s="185">
        <v>143488.12</v>
      </c>
      <c r="AC63" s="185">
        <v>350838.43</v>
      </c>
      <c r="AD63" s="185">
        <v>772041.04</v>
      </c>
      <c r="AE63" s="185">
        <v>125435.14</v>
      </c>
      <c r="AF63" s="185"/>
      <c r="AG63" s="185">
        <v>6093999.2199999997</v>
      </c>
      <c r="AH63" s="185"/>
      <c r="AI63" s="185">
        <v>0</v>
      </c>
      <c r="AJ63" s="185">
        <v>286857</v>
      </c>
      <c r="AK63" s="185">
        <v>130588</v>
      </c>
      <c r="AL63" s="185">
        <v>25760</v>
      </c>
      <c r="AM63" s="185"/>
      <c r="AN63" s="185"/>
      <c r="AO63" s="185"/>
      <c r="AP63" s="185">
        <v>5000000</v>
      </c>
      <c r="AQ63" s="185"/>
      <c r="AR63" s="185">
        <v>181556.52</v>
      </c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>
        <v>113051.5</v>
      </c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v>57535235.899999999</v>
      </c>
      <c r="BO63" s="185"/>
      <c r="BP63" s="185"/>
      <c r="BQ63" s="185"/>
      <c r="BR63" s="185">
        <v>3589.31</v>
      </c>
      <c r="BS63" s="185"/>
      <c r="BT63" s="185"/>
      <c r="BU63" s="185"/>
      <c r="BV63" s="185"/>
      <c r="BW63" s="185"/>
      <c r="BX63" s="185">
        <v>4148.5</v>
      </c>
      <c r="BY63" s="185">
        <v>1645.28</v>
      </c>
      <c r="BZ63" s="185"/>
      <c r="CA63" s="185">
        <v>139029</v>
      </c>
      <c r="CB63" s="185"/>
      <c r="CC63" s="185"/>
      <c r="CD63" s="246" t="s">
        <v>221</v>
      </c>
      <c r="CE63" s="195">
        <f t="shared" si="0"/>
        <v>77261995.960000008</v>
      </c>
      <c r="CF63" s="249"/>
    </row>
    <row r="64" spans="1:84" ht="12.6" customHeight="1" x14ac:dyDescent="0.25">
      <c r="A64" s="171" t="s">
        <v>237</v>
      </c>
      <c r="B64" s="175"/>
      <c r="C64" s="184">
        <v>480712.22</v>
      </c>
      <c r="D64" s="184">
        <v>487781.59</v>
      </c>
      <c r="E64" s="225">
        <v>1080866.3500000001</v>
      </c>
      <c r="F64" s="185"/>
      <c r="G64" s="184"/>
      <c r="H64" s="184"/>
      <c r="I64" s="185"/>
      <c r="J64" s="185"/>
      <c r="K64" s="185">
        <v>177670.98</v>
      </c>
      <c r="L64" s="185"/>
      <c r="M64" s="184"/>
      <c r="N64" s="184"/>
      <c r="O64" s="184">
        <v>238034.69</v>
      </c>
      <c r="P64" s="185">
        <v>4504545.04</v>
      </c>
      <c r="Q64" s="185">
        <v>65586.62</v>
      </c>
      <c r="R64" s="185">
        <v>498341.48</v>
      </c>
      <c r="S64" s="185">
        <v>31412579.440000001</v>
      </c>
      <c r="T64" s="185">
        <v>613605.93999999994</v>
      </c>
      <c r="U64" s="185">
        <v>3742296.73</v>
      </c>
      <c r="V64" s="185">
        <v>1757.65</v>
      </c>
      <c r="W64" s="185">
        <v>125230.57</v>
      </c>
      <c r="X64" s="185">
        <v>182116.47</v>
      </c>
      <c r="Y64" s="185">
        <v>692440.23</v>
      </c>
      <c r="Z64" s="185"/>
      <c r="AA64" s="185"/>
      <c r="AB64" s="185">
        <v>9616795.1699999999</v>
      </c>
      <c r="AC64" s="185">
        <v>211775.25</v>
      </c>
      <c r="AD64" s="185">
        <v>24327.23</v>
      </c>
      <c r="AE64" s="185">
        <v>527716.36</v>
      </c>
      <c r="AF64" s="185"/>
      <c r="AG64" s="185">
        <v>570749.25</v>
      </c>
      <c r="AH64" s="185"/>
      <c r="AI64" s="185">
        <v>196400.1</v>
      </c>
      <c r="AJ64" s="185">
        <v>24624429.16</v>
      </c>
      <c r="AK64" s="185">
        <v>27903.55</v>
      </c>
      <c r="AL64" s="185">
        <v>18627.87</v>
      </c>
      <c r="AM64" s="185"/>
      <c r="AN64" s="185"/>
      <c r="AO64" s="185"/>
      <c r="AP64" s="185">
        <v>17326.07</v>
      </c>
      <c r="AQ64" s="185"/>
      <c r="AR64" s="185">
        <v>358919.08</v>
      </c>
      <c r="AS64" s="185"/>
      <c r="AT64" s="185"/>
      <c r="AU64" s="185"/>
      <c r="AV64" s="185"/>
      <c r="AW64" s="185"/>
      <c r="AX64" s="185"/>
      <c r="AY64" s="185">
        <v>1342816.56</v>
      </c>
      <c r="AZ64" s="185"/>
      <c r="BA64" s="185">
        <v>203671.54</v>
      </c>
      <c r="BB64" s="185">
        <v>40700.879999999997</v>
      </c>
      <c r="BC64" s="185"/>
      <c r="BD64" s="282">
        <v>-204831.12</v>
      </c>
      <c r="BE64" s="185">
        <v>96632.44</v>
      </c>
      <c r="BF64" s="185">
        <v>426361.72</v>
      </c>
      <c r="BG64" s="185">
        <v>2113.4299999999998</v>
      </c>
      <c r="BH64" s="185">
        <v>10685.12</v>
      </c>
      <c r="BI64" s="185"/>
      <c r="BJ64" s="185"/>
      <c r="BK64" s="185">
        <v>198.94</v>
      </c>
      <c r="BL64" s="185">
        <v>23419.39</v>
      </c>
      <c r="BM64" s="185"/>
      <c r="BN64" s="185">
        <v>507278.5</v>
      </c>
      <c r="BO64" s="185"/>
      <c r="BP64" s="185"/>
      <c r="BQ64" s="185"/>
      <c r="BR64" s="185">
        <v>84700.33</v>
      </c>
      <c r="BS64" s="185"/>
      <c r="BT64" s="185"/>
      <c r="BU64" s="185"/>
      <c r="BV64" s="185">
        <v>667.01</v>
      </c>
      <c r="BW64" s="185">
        <v>103.4</v>
      </c>
      <c r="BX64" s="185">
        <v>1075.51</v>
      </c>
      <c r="BY64" s="185">
        <v>4958.54</v>
      </c>
      <c r="BZ64" s="185"/>
      <c r="CA64" s="185">
        <v>48571.29</v>
      </c>
      <c r="CB64" s="185"/>
      <c r="CC64" s="185"/>
      <c r="CD64" s="246" t="s">
        <v>221</v>
      </c>
      <c r="CE64" s="195">
        <f t="shared" si="0"/>
        <v>83087658.570000023</v>
      </c>
      <c r="CF64" s="249"/>
    </row>
    <row r="65" spans="1:84" ht="12.6" customHeight="1" x14ac:dyDescent="0.25">
      <c r="A65" s="171" t="s">
        <v>238</v>
      </c>
      <c r="B65" s="175"/>
      <c r="C65" s="184">
        <v>2469.2399999999998</v>
      </c>
      <c r="D65" s="184">
        <v>1000</v>
      </c>
      <c r="E65" s="225">
        <v>2840</v>
      </c>
      <c r="F65" s="184"/>
      <c r="G65" s="184"/>
      <c r="H65" s="184"/>
      <c r="I65" s="185"/>
      <c r="J65" s="184"/>
      <c r="K65" s="185">
        <v>400</v>
      </c>
      <c r="L65" s="185"/>
      <c r="M65" s="184"/>
      <c r="N65" s="184"/>
      <c r="O65" s="184">
        <v>80</v>
      </c>
      <c r="P65" s="185">
        <v>2280</v>
      </c>
      <c r="Q65" s="185">
        <v>0</v>
      </c>
      <c r="R65" s="185">
        <v>0</v>
      </c>
      <c r="S65" s="185">
        <v>80</v>
      </c>
      <c r="T65" s="185">
        <v>400</v>
      </c>
      <c r="U65" s="185">
        <v>360</v>
      </c>
      <c r="V65" s="185">
        <v>0</v>
      </c>
      <c r="W65" s="185">
        <v>0</v>
      </c>
      <c r="X65" s="185">
        <v>0</v>
      </c>
      <c r="Y65" s="185">
        <v>1360</v>
      </c>
      <c r="Z65" s="185"/>
      <c r="AA65" s="185"/>
      <c r="AB65" s="185">
        <v>1360</v>
      </c>
      <c r="AC65" s="185">
        <v>840</v>
      </c>
      <c r="AD65" s="185">
        <v>0</v>
      </c>
      <c r="AE65" s="185">
        <v>2320</v>
      </c>
      <c r="AF65" s="185"/>
      <c r="AG65" s="185">
        <v>1834.32</v>
      </c>
      <c r="AH65" s="185"/>
      <c r="AI65" s="185">
        <v>480</v>
      </c>
      <c r="AJ65" s="185">
        <v>2535.71</v>
      </c>
      <c r="AK65" s="185">
        <v>0</v>
      </c>
      <c r="AL65" s="185">
        <v>0</v>
      </c>
      <c r="AM65" s="185"/>
      <c r="AN65" s="185"/>
      <c r="AO65" s="185"/>
      <c r="AP65" s="185">
        <v>7296.01</v>
      </c>
      <c r="AQ65" s="185"/>
      <c r="AR65" s="185">
        <v>6021.15</v>
      </c>
      <c r="AS65" s="185"/>
      <c r="AT65" s="185"/>
      <c r="AU65" s="185"/>
      <c r="AV65" s="185"/>
      <c r="AW65" s="185"/>
      <c r="AX65" s="185"/>
      <c r="AY65" s="185">
        <v>2272.2800000000002</v>
      </c>
      <c r="AZ65" s="185"/>
      <c r="BA65" s="185">
        <v>0</v>
      </c>
      <c r="BB65" s="185">
        <v>920</v>
      </c>
      <c r="BC65" s="185"/>
      <c r="BD65" s="185">
        <v>0</v>
      </c>
      <c r="BE65" s="185">
        <v>1011579.05</v>
      </c>
      <c r="BF65" s="185">
        <v>228638.12</v>
      </c>
      <c r="BG65" s="185">
        <v>51644.160000000003</v>
      </c>
      <c r="BH65" s="185">
        <v>0</v>
      </c>
      <c r="BI65" s="185"/>
      <c r="BJ65" s="185"/>
      <c r="BK65" s="185">
        <v>0</v>
      </c>
      <c r="BL65" s="185">
        <v>1520</v>
      </c>
      <c r="BM65" s="185"/>
      <c r="BN65" s="185">
        <v>5013.01</v>
      </c>
      <c r="BO65" s="185"/>
      <c r="BP65" s="185"/>
      <c r="BQ65" s="185"/>
      <c r="BR65" s="185">
        <v>0</v>
      </c>
      <c r="BS65" s="185"/>
      <c r="BT65" s="185"/>
      <c r="BU65" s="185"/>
      <c r="BV65" s="185">
        <v>0</v>
      </c>
      <c r="BW65" s="185">
        <v>0</v>
      </c>
      <c r="BX65" s="185">
        <v>80</v>
      </c>
      <c r="BY65" s="185">
        <v>520</v>
      </c>
      <c r="BZ65" s="185"/>
      <c r="CA65" s="185">
        <v>840</v>
      </c>
      <c r="CB65" s="185"/>
      <c r="CC65" s="185"/>
      <c r="CD65" s="246" t="s">
        <v>221</v>
      </c>
      <c r="CE65" s="195">
        <f t="shared" si="0"/>
        <v>1336983.0499999998</v>
      </c>
      <c r="CF65" s="249"/>
    </row>
    <row r="66" spans="1:84" ht="12.6" customHeight="1" x14ac:dyDescent="0.25">
      <c r="A66" s="171" t="s">
        <v>239</v>
      </c>
      <c r="B66" s="175"/>
      <c r="C66" s="184">
        <v>68845.919999999998</v>
      </c>
      <c r="D66" s="184">
        <v>22245.84</v>
      </c>
      <c r="E66" s="225">
        <v>308993.51</v>
      </c>
      <c r="F66" s="184"/>
      <c r="G66" s="184"/>
      <c r="H66" s="184"/>
      <c r="I66" s="184"/>
      <c r="J66" s="184">
        <v>140.26</v>
      </c>
      <c r="K66" s="185">
        <v>27378.04</v>
      </c>
      <c r="L66" s="185"/>
      <c r="M66" s="184"/>
      <c r="N66" s="184"/>
      <c r="O66" s="185">
        <v>49938.67</v>
      </c>
      <c r="P66" s="185">
        <v>395460.88</v>
      </c>
      <c r="Q66" s="185">
        <v>1042.52</v>
      </c>
      <c r="R66" s="185">
        <v>46734.74</v>
      </c>
      <c r="S66" s="184">
        <v>117705.36</v>
      </c>
      <c r="T66" s="184">
        <v>66801.850000000006</v>
      </c>
      <c r="U66" s="185">
        <v>4921521.7300000004</v>
      </c>
      <c r="V66" s="185"/>
      <c r="W66" s="185">
        <v>163118.10999999999</v>
      </c>
      <c r="X66" s="185">
        <v>231612.91</v>
      </c>
      <c r="Y66" s="185">
        <v>1059046</v>
      </c>
      <c r="Z66" s="185"/>
      <c r="AA66" s="185"/>
      <c r="AB66" s="185">
        <v>478887.35</v>
      </c>
      <c r="AC66" s="185">
        <v>27126.7</v>
      </c>
      <c r="AD66" s="185">
        <v>1271.95</v>
      </c>
      <c r="AE66" s="185">
        <v>10299.84</v>
      </c>
      <c r="AF66" s="185"/>
      <c r="AG66" s="185">
        <v>48795.63</v>
      </c>
      <c r="AH66" s="185"/>
      <c r="AI66" s="185">
        <v>9067.76</v>
      </c>
      <c r="AJ66" s="185">
        <v>153637.79</v>
      </c>
      <c r="AK66" s="185">
        <v>60.62</v>
      </c>
      <c r="AL66" s="185">
        <v>158.38999999999999</v>
      </c>
      <c r="AM66" s="185"/>
      <c r="AN66" s="185"/>
      <c r="AO66" s="185"/>
      <c r="AP66" s="185">
        <v>457456.9</v>
      </c>
      <c r="AQ66" s="185"/>
      <c r="AR66" s="185">
        <v>551213.34</v>
      </c>
      <c r="AS66" s="185"/>
      <c r="AT66" s="185"/>
      <c r="AU66" s="185"/>
      <c r="AV66" s="185"/>
      <c r="AW66" s="185"/>
      <c r="AX66" s="185"/>
      <c r="AY66" s="185">
        <v>113391.8</v>
      </c>
      <c r="AZ66" s="185"/>
      <c r="BA66" s="185">
        <v>25932.01</v>
      </c>
      <c r="BB66" s="185">
        <v>147423.75</v>
      </c>
      <c r="BC66" s="185"/>
      <c r="BD66" s="185">
        <v>14505.87</v>
      </c>
      <c r="BE66" s="185">
        <v>675491.18</v>
      </c>
      <c r="BF66" s="185">
        <v>41381.199999999997</v>
      </c>
      <c r="BG66" s="185">
        <v>7.34</v>
      </c>
      <c r="BH66" s="185">
        <v>778140.94</v>
      </c>
      <c r="BI66" s="185">
        <v>1599.62</v>
      </c>
      <c r="BJ66" s="185"/>
      <c r="BK66" s="185">
        <v>2283.65</v>
      </c>
      <c r="BL66" s="185">
        <v>6471.29</v>
      </c>
      <c r="BM66" s="185"/>
      <c r="BN66" s="185">
        <v>69954.429999999993</v>
      </c>
      <c r="BO66" s="185"/>
      <c r="BP66" s="185"/>
      <c r="BQ66" s="185"/>
      <c r="BR66" s="185">
        <v>2246.34</v>
      </c>
      <c r="BS66" s="185"/>
      <c r="BT66" s="185"/>
      <c r="BU66" s="185"/>
      <c r="BV66" s="185">
        <v>210.3</v>
      </c>
      <c r="BW66" s="185">
        <v>-2100</v>
      </c>
      <c r="BX66" s="185">
        <v>32763.599999999999</v>
      </c>
      <c r="BY66" s="185">
        <v>30547.7</v>
      </c>
      <c r="BZ66" s="185"/>
      <c r="CA66" s="185">
        <v>19131.57</v>
      </c>
      <c r="CB66" s="185"/>
      <c r="CC66" s="185"/>
      <c r="CD66" s="246" t="s">
        <v>221</v>
      </c>
      <c r="CE66" s="195">
        <f t="shared" si="0"/>
        <v>11177945.199999996</v>
      </c>
      <c r="CF66" s="249"/>
    </row>
    <row r="67" spans="1:84" ht="12.6" customHeight="1" x14ac:dyDescent="0.25">
      <c r="A67" s="171" t="s">
        <v>6</v>
      </c>
      <c r="B67" s="175"/>
      <c r="C67" s="195">
        <f>ROUND(C51+C52,0)</f>
        <v>103933</v>
      </c>
      <c r="D67" s="195">
        <f>ROUND(D51+D52,0)</f>
        <v>88616</v>
      </c>
      <c r="E67" s="195">
        <f t="shared" ref="E67:BP67" si="3">ROUND(E51+E52,0)</f>
        <v>211849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36256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22938</v>
      </c>
      <c r="P67" s="195">
        <f t="shared" si="3"/>
        <v>761591</v>
      </c>
      <c r="Q67" s="195">
        <f t="shared" si="3"/>
        <v>33789</v>
      </c>
      <c r="R67" s="195">
        <f t="shared" si="3"/>
        <v>8324</v>
      </c>
      <c r="S67" s="195">
        <f t="shared" si="3"/>
        <v>203515</v>
      </c>
      <c r="T67" s="195">
        <f t="shared" si="3"/>
        <v>0</v>
      </c>
      <c r="U67" s="195">
        <f t="shared" si="3"/>
        <v>190223</v>
      </c>
      <c r="V67" s="195">
        <f t="shared" si="3"/>
        <v>2839</v>
      </c>
      <c r="W67" s="195">
        <f t="shared" si="3"/>
        <v>54136</v>
      </c>
      <c r="X67" s="195">
        <f t="shared" si="3"/>
        <v>68798</v>
      </c>
      <c r="Y67" s="195">
        <f t="shared" si="3"/>
        <v>1263105</v>
      </c>
      <c r="Z67" s="195">
        <f t="shared" si="3"/>
        <v>0</v>
      </c>
      <c r="AA67" s="195">
        <f t="shared" si="3"/>
        <v>0</v>
      </c>
      <c r="AB67" s="195">
        <f t="shared" si="3"/>
        <v>252014</v>
      </c>
      <c r="AC67" s="195">
        <f t="shared" si="3"/>
        <v>29853</v>
      </c>
      <c r="AD67" s="195">
        <f t="shared" si="3"/>
        <v>0</v>
      </c>
      <c r="AE67" s="195">
        <f t="shared" si="3"/>
        <v>7114</v>
      </c>
      <c r="AF67" s="195">
        <f t="shared" si="3"/>
        <v>0</v>
      </c>
      <c r="AG67" s="195">
        <f t="shared" si="3"/>
        <v>49584</v>
      </c>
      <c r="AH67" s="195">
        <f t="shared" si="3"/>
        <v>0</v>
      </c>
      <c r="AI67" s="195">
        <f t="shared" si="3"/>
        <v>15050</v>
      </c>
      <c r="AJ67" s="195">
        <f t="shared" si="3"/>
        <v>265752</v>
      </c>
      <c r="AK67" s="195">
        <f t="shared" si="3"/>
        <v>15296</v>
      </c>
      <c r="AL67" s="195">
        <f t="shared" si="3"/>
        <v>76363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17571</v>
      </c>
      <c r="AQ67" s="195">
        <f t="shared" si="3"/>
        <v>0</v>
      </c>
      <c r="AR67" s="195">
        <f t="shared" si="3"/>
        <v>110982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18135</v>
      </c>
      <c r="AZ67" s="195">
        <f>ROUND(AZ51+AZ52,0)</f>
        <v>0</v>
      </c>
      <c r="BA67" s="195">
        <f>ROUND(BA51+BA52,0)</f>
        <v>18841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175631</v>
      </c>
      <c r="BF67" s="195">
        <f t="shared" si="3"/>
        <v>5133</v>
      </c>
      <c r="BG67" s="195">
        <f t="shared" si="3"/>
        <v>116535</v>
      </c>
      <c r="BH67" s="195">
        <f t="shared" si="3"/>
        <v>841922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3640</v>
      </c>
      <c r="BN67" s="195">
        <f t="shared" si="3"/>
        <v>5538690</v>
      </c>
      <c r="BO67" s="195">
        <f t="shared" si="3"/>
        <v>0</v>
      </c>
      <c r="BP67" s="195">
        <f t="shared" si="3"/>
        <v>3131</v>
      </c>
      <c r="BQ67" s="195">
        <f t="shared" ref="BQ67:CC67" si="4">ROUND(BQ51+BQ52,0)</f>
        <v>0</v>
      </c>
      <c r="BR67" s="195">
        <f t="shared" si="4"/>
        <v>311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44393</v>
      </c>
      <c r="BW67" s="195">
        <f t="shared" si="4"/>
        <v>0</v>
      </c>
      <c r="BX67" s="195">
        <f t="shared" si="4"/>
        <v>77875</v>
      </c>
      <c r="BY67" s="195">
        <f t="shared" si="4"/>
        <v>1339</v>
      </c>
      <c r="BZ67" s="195">
        <f t="shared" si="4"/>
        <v>0</v>
      </c>
      <c r="CA67" s="195">
        <f t="shared" si="4"/>
        <v>6853</v>
      </c>
      <c r="CB67" s="195">
        <f t="shared" si="4"/>
        <v>0</v>
      </c>
      <c r="CC67" s="195">
        <f t="shared" si="4"/>
        <v>0</v>
      </c>
      <c r="CD67" s="246" t="s">
        <v>221</v>
      </c>
      <c r="CE67" s="195">
        <f t="shared" si="0"/>
        <v>10741920</v>
      </c>
      <c r="CF67" s="249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225">
        <v>0</v>
      </c>
      <c r="F68" s="184"/>
      <c r="G68" s="184"/>
      <c r="H68" s="184"/>
      <c r="I68" s="184"/>
      <c r="J68" s="184"/>
      <c r="K68" s="185">
        <v>0</v>
      </c>
      <c r="L68" s="185"/>
      <c r="M68" s="184"/>
      <c r="N68" s="184"/>
      <c r="O68" s="184">
        <v>0</v>
      </c>
      <c r="P68" s="185">
        <v>14602.88</v>
      </c>
      <c r="Q68" s="185">
        <v>0</v>
      </c>
      <c r="R68" s="185">
        <v>846.18</v>
      </c>
      <c r="S68" s="185">
        <v>75616.58</v>
      </c>
      <c r="T68" s="185"/>
      <c r="U68" s="185">
        <v>11577.16</v>
      </c>
      <c r="V68" s="185"/>
      <c r="W68" s="185"/>
      <c r="X68" s="185"/>
      <c r="Y68" s="185">
        <v>-2700</v>
      </c>
      <c r="Z68" s="185"/>
      <c r="AA68" s="185"/>
      <c r="AB68" s="185">
        <v>52109.05</v>
      </c>
      <c r="AC68" s="185">
        <v>2771.57</v>
      </c>
      <c r="AD68" s="185"/>
      <c r="AE68" s="185"/>
      <c r="AF68" s="185"/>
      <c r="AG68" s="185"/>
      <c r="AH68" s="185"/>
      <c r="AI68" s="185"/>
      <c r="AJ68" s="185">
        <v>245093.04</v>
      </c>
      <c r="AK68" s="185"/>
      <c r="AL68" s="185"/>
      <c r="AM68" s="185"/>
      <c r="AN68" s="185"/>
      <c r="AO68" s="185"/>
      <c r="AP68" s="185">
        <v>92257.78</v>
      </c>
      <c r="AQ68" s="185"/>
      <c r="AR68" s="185">
        <v>226281.72</v>
      </c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10793.84</v>
      </c>
      <c r="BF68" s="185"/>
      <c r="BG68" s="185"/>
      <c r="BH68" s="185"/>
      <c r="BI68" s="185"/>
      <c r="BJ68" s="185"/>
      <c r="BK68" s="185"/>
      <c r="BL68" s="185"/>
      <c r="BM68" s="185"/>
      <c r="BN68" s="185">
        <v>317441.87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6" t="s">
        <v>221</v>
      </c>
      <c r="CE68" s="195">
        <f t="shared" si="0"/>
        <v>1046691.6699999999</v>
      </c>
      <c r="CF68" s="249"/>
    </row>
    <row r="69" spans="1:84" ht="12.6" customHeight="1" x14ac:dyDescent="0.25">
      <c r="A69" s="171" t="s">
        <v>241</v>
      </c>
      <c r="B69" s="175"/>
      <c r="C69" s="184">
        <v>40309.35</v>
      </c>
      <c r="D69" s="184">
        <v>12827.47</v>
      </c>
      <c r="E69" s="225">
        <v>21497.93</v>
      </c>
      <c r="F69" s="185"/>
      <c r="G69" s="184"/>
      <c r="H69" s="184"/>
      <c r="I69" s="185"/>
      <c r="J69" s="185"/>
      <c r="K69" s="185">
        <v>13696.81</v>
      </c>
      <c r="L69" s="185"/>
      <c r="M69" s="184"/>
      <c r="N69" s="184"/>
      <c r="O69" s="184">
        <v>15332.72</v>
      </c>
      <c r="P69" s="185">
        <v>51446.720000000001</v>
      </c>
      <c r="Q69" s="185">
        <v>846.37</v>
      </c>
      <c r="R69" s="224">
        <v>17734.73</v>
      </c>
      <c r="S69" s="185">
        <v>2091.6799999999998</v>
      </c>
      <c r="T69" s="184">
        <v>2717.08</v>
      </c>
      <c r="U69" s="185">
        <v>-407570.36</v>
      </c>
      <c r="V69" s="185">
        <v>352</v>
      </c>
      <c r="W69" s="184">
        <v>4994.3999999999996</v>
      </c>
      <c r="X69" s="185">
        <v>380</v>
      </c>
      <c r="Y69" s="185">
        <v>55224.79</v>
      </c>
      <c r="Z69" s="185"/>
      <c r="AA69" s="185"/>
      <c r="AB69" s="185">
        <v>214928.06</v>
      </c>
      <c r="AC69" s="185">
        <v>10368.31</v>
      </c>
      <c r="AD69" s="185"/>
      <c r="AE69" s="185">
        <v>24985.73</v>
      </c>
      <c r="AF69" s="185"/>
      <c r="AG69" s="185">
        <v>68233.37</v>
      </c>
      <c r="AH69" s="185"/>
      <c r="AI69" s="185">
        <v>2149.6799999999998</v>
      </c>
      <c r="AJ69" s="185">
        <v>196565.91</v>
      </c>
      <c r="AK69" s="185">
        <v>5855.57</v>
      </c>
      <c r="AL69" s="185">
        <v>14882.79</v>
      </c>
      <c r="AM69" s="185"/>
      <c r="AN69" s="185"/>
      <c r="AO69" s="184"/>
      <c r="AP69" s="185">
        <v>9144.24</v>
      </c>
      <c r="AQ69" s="184"/>
      <c r="AR69" s="184">
        <v>220116.65</v>
      </c>
      <c r="AS69" s="184"/>
      <c r="AT69" s="184"/>
      <c r="AU69" s="185"/>
      <c r="AV69" s="185"/>
      <c r="AW69" s="185"/>
      <c r="AX69" s="185"/>
      <c r="AY69" s="185">
        <v>89485.19</v>
      </c>
      <c r="AZ69" s="185"/>
      <c r="BA69" s="185">
        <v>139</v>
      </c>
      <c r="BB69" s="185">
        <v>24224.12</v>
      </c>
      <c r="BC69" s="185"/>
      <c r="BD69" s="185">
        <v>26</v>
      </c>
      <c r="BE69" s="185">
        <v>14837.9</v>
      </c>
      <c r="BF69" s="185">
        <v>2702.89</v>
      </c>
      <c r="BG69" s="185"/>
      <c r="BH69" s="224"/>
      <c r="BI69" s="185"/>
      <c r="BJ69" s="185"/>
      <c r="BK69" s="185"/>
      <c r="BL69" s="185">
        <v>5643.91</v>
      </c>
      <c r="BM69" s="185"/>
      <c r="BN69" s="185">
        <v>13156539</v>
      </c>
      <c r="BO69" s="185"/>
      <c r="BP69" s="185">
        <v>-235</v>
      </c>
      <c r="BQ69" s="185"/>
      <c r="BR69" s="185"/>
      <c r="BS69" s="185"/>
      <c r="BT69" s="185"/>
      <c r="BU69" s="185"/>
      <c r="BV69" s="185">
        <v>250.5</v>
      </c>
      <c r="BW69" s="185">
        <v>3</v>
      </c>
      <c r="BX69" s="185">
        <v>90441.79</v>
      </c>
      <c r="BY69" s="185">
        <v>159474.60999999999</v>
      </c>
      <c r="BZ69" s="185"/>
      <c r="CA69" s="185">
        <v>8640.69</v>
      </c>
      <c r="CB69" s="185"/>
      <c r="CC69" s="185">
        <v>27788</v>
      </c>
      <c r="CD69" s="188"/>
      <c r="CE69" s="195">
        <f t="shared" si="0"/>
        <v>14179073.599999998</v>
      </c>
      <c r="CF69" s="249"/>
    </row>
    <row r="70" spans="1:84" ht="12.6" customHeight="1" x14ac:dyDescent="0.25">
      <c r="A70" s="171" t="s">
        <v>242</v>
      </c>
      <c r="B70" s="175"/>
      <c r="C70" s="184"/>
      <c r="D70" s="184">
        <v>1349.69</v>
      </c>
      <c r="E70" s="225">
        <v>143.02000000000001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32953.19</v>
      </c>
      <c r="Q70" s="184"/>
      <c r="R70" s="184">
        <v>224.38</v>
      </c>
      <c r="S70" s="184"/>
      <c r="T70" s="184"/>
      <c r="U70" s="185">
        <v>2488155.56</v>
      </c>
      <c r="V70" s="184"/>
      <c r="W70" s="184"/>
      <c r="X70" s="185">
        <v>1139.76</v>
      </c>
      <c r="Y70" s="185">
        <v>10257.81</v>
      </c>
      <c r="Z70" s="185"/>
      <c r="AA70" s="185"/>
      <c r="AB70" s="185">
        <v>159696</v>
      </c>
      <c r="AC70" s="185">
        <v>15933.94</v>
      </c>
      <c r="AD70" s="185"/>
      <c r="AE70" s="185">
        <v>1500</v>
      </c>
      <c r="AF70" s="185"/>
      <c r="AG70" s="185">
        <v>20821.86</v>
      </c>
      <c r="AH70" s="185"/>
      <c r="AI70" s="185">
        <v>15</v>
      </c>
      <c r="AJ70" s="185">
        <v>699465.43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1690294.47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1182471.69</v>
      </c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6304421.7999999989</v>
      </c>
      <c r="CF70" s="249"/>
    </row>
    <row r="71" spans="1:84" ht="12.6" customHeight="1" x14ac:dyDescent="0.25">
      <c r="A71" s="171" t="s">
        <v>243</v>
      </c>
      <c r="B71" s="175"/>
      <c r="C71" s="195">
        <f>SUM(C61:C68)+C69-C70</f>
        <v>8073596.7799999993</v>
      </c>
      <c r="D71" s="195">
        <f t="shared" ref="D71:AI71" si="5">SUM(D61:D69)-D70</f>
        <v>9261270.9600000009</v>
      </c>
      <c r="E71" s="195">
        <f t="shared" si="5"/>
        <v>22903877.770000003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140.26</v>
      </c>
      <c r="K71" s="195">
        <f t="shared" si="5"/>
        <v>3335141.83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3621911.58</v>
      </c>
      <c r="P71" s="195">
        <f t="shared" si="5"/>
        <v>14461160.470000003</v>
      </c>
      <c r="Q71" s="195">
        <f t="shared" si="5"/>
        <v>1788837.5100000002</v>
      </c>
      <c r="R71" s="195">
        <f t="shared" si="5"/>
        <v>2909967.8500000006</v>
      </c>
      <c r="S71" s="195">
        <f t="shared" si="5"/>
        <v>32902274.809999999</v>
      </c>
      <c r="T71" s="195">
        <f t="shared" si="5"/>
        <v>1251058.8700000001</v>
      </c>
      <c r="U71" s="195">
        <f t="shared" si="5"/>
        <v>10462837.950000001</v>
      </c>
      <c r="V71" s="195">
        <f t="shared" si="5"/>
        <v>39327.71</v>
      </c>
      <c r="W71" s="195">
        <f t="shared" si="5"/>
        <v>1091167.0699999998</v>
      </c>
      <c r="X71" s="195">
        <f t="shared" si="5"/>
        <v>1483553.29</v>
      </c>
      <c r="Y71" s="195">
        <f t="shared" si="5"/>
        <v>9743839.7699999977</v>
      </c>
      <c r="Z71" s="195">
        <f t="shared" si="5"/>
        <v>0</v>
      </c>
      <c r="AA71" s="195">
        <f t="shared" si="5"/>
        <v>0</v>
      </c>
      <c r="AB71" s="195">
        <f t="shared" si="5"/>
        <v>18713189.32</v>
      </c>
      <c r="AC71" s="195">
        <f t="shared" si="5"/>
        <v>2827320.54</v>
      </c>
      <c r="AD71" s="195">
        <f t="shared" si="5"/>
        <v>797640.22</v>
      </c>
      <c r="AE71" s="195">
        <f t="shared" si="5"/>
        <v>3573344.6999999997</v>
      </c>
      <c r="AF71" s="195">
        <f t="shared" si="5"/>
        <v>0</v>
      </c>
      <c r="AG71" s="195">
        <f t="shared" si="5"/>
        <v>12179371.920000002</v>
      </c>
      <c r="AH71" s="195">
        <f t="shared" si="5"/>
        <v>0</v>
      </c>
      <c r="AI71" s="195">
        <f t="shared" si="5"/>
        <v>2663874.41</v>
      </c>
      <c r="AJ71" s="195">
        <f t="shared" ref="AJ71:BO71" si="6">SUM(AJ61:AJ69)-AJ70</f>
        <v>30626744.539999999</v>
      </c>
      <c r="AK71" s="195">
        <f t="shared" si="6"/>
        <v>1149586.81</v>
      </c>
      <c r="AL71" s="195">
        <f t="shared" si="6"/>
        <v>797878.76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7436089.6900000004</v>
      </c>
      <c r="AQ71" s="195">
        <f t="shared" si="6"/>
        <v>0</v>
      </c>
      <c r="AR71" s="195">
        <f t="shared" si="6"/>
        <v>7747664.0099999998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2688408.0000000009</v>
      </c>
      <c r="AZ71" s="195">
        <f t="shared" si="6"/>
        <v>0</v>
      </c>
      <c r="BA71" s="195">
        <f t="shared" si="6"/>
        <v>1014573.63</v>
      </c>
      <c r="BB71" s="195">
        <f t="shared" si="6"/>
        <v>3233653.89</v>
      </c>
      <c r="BC71" s="195">
        <f t="shared" si="6"/>
        <v>0</v>
      </c>
      <c r="BD71" s="195">
        <f t="shared" si="6"/>
        <v>-190299.25</v>
      </c>
      <c r="BE71" s="195">
        <f t="shared" si="6"/>
        <v>3076220.5300000003</v>
      </c>
      <c r="BF71" s="195">
        <f t="shared" si="6"/>
        <v>3383263.82</v>
      </c>
      <c r="BG71" s="195">
        <f t="shared" si="6"/>
        <v>335340.40000000002</v>
      </c>
      <c r="BH71" s="195">
        <f t="shared" si="6"/>
        <v>1630748.06</v>
      </c>
      <c r="BI71" s="195">
        <f t="shared" si="6"/>
        <v>1599.62</v>
      </c>
      <c r="BJ71" s="195">
        <f t="shared" si="6"/>
        <v>0</v>
      </c>
      <c r="BK71" s="195">
        <f t="shared" si="6"/>
        <v>2482.59</v>
      </c>
      <c r="BL71" s="195">
        <f t="shared" si="6"/>
        <v>1703708.14</v>
      </c>
      <c r="BM71" s="195">
        <f t="shared" si="6"/>
        <v>1646466</v>
      </c>
      <c r="BN71" s="195">
        <f t="shared" si="6"/>
        <v>76975272.099999994</v>
      </c>
      <c r="BO71" s="195">
        <f t="shared" si="6"/>
        <v>0</v>
      </c>
      <c r="BP71" s="195">
        <f t="shared" ref="BP71:CC71" si="7">SUM(BP61:BP69)-BP70</f>
        <v>2896</v>
      </c>
      <c r="BQ71" s="195">
        <f t="shared" si="7"/>
        <v>0</v>
      </c>
      <c r="BR71" s="195">
        <f t="shared" si="7"/>
        <v>90846.98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45520.81</v>
      </c>
      <c r="BW71" s="195">
        <f t="shared" si="7"/>
        <v>-1993.6</v>
      </c>
      <c r="BX71" s="195">
        <f t="shared" si="7"/>
        <v>224785.82</v>
      </c>
      <c r="BY71" s="195">
        <f t="shared" si="7"/>
        <v>452931.02</v>
      </c>
      <c r="BZ71" s="195">
        <f t="shared" si="7"/>
        <v>0</v>
      </c>
      <c r="CA71" s="195">
        <f t="shared" si="7"/>
        <v>7028928.8800000008</v>
      </c>
      <c r="CB71" s="195">
        <f t="shared" si="7"/>
        <v>0</v>
      </c>
      <c r="CC71" s="195">
        <f t="shared" si="7"/>
        <v>27788</v>
      </c>
      <c r="CD71" s="242">
        <f>CD69-CD70</f>
        <v>0</v>
      </c>
      <c r="CE71" s="195">
        <f>SUM(CE61:CE69)-CE70</f>
        <v>315215810.84000003</v>
      </c>
      <c r="CF71" s="249"/>
    </row>
    <row r="72" spans="1:84" ht="12.6" customHeight="1" x14ac:dyDescent="0.2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0</v>
      </c>
      <c r="CF72" s="249"/>
    </row>
    <row r="73" spans="1:84" ht="12.6" customHeight="1" x14ac:dyDescent="0.25">
      <c r="A73" s="171" t="s">
        <v>245</v>
      </c>
      <c r="B73" s="175"/>
      <c r="C73" s="184">
        <v>31174445.34</v>
      </c>
      <c r="D73" s="184">
        <v>45004748.149999999</v>
      </c>
      <c r="E73" s="225">
        <v>93359128.079999998</v>
      </c>
      <c r="F73" s="185"/>
      <c r="G73" s="184"/>
      <c r="H73" s="184"/>
      <c r="I73" s="185"/>
      <c r="J73" s="185">
        <v>4228435</v>
      </c>
      <c r="K73" s="185">
        <v>5256188.26</v>
      </c>
      <c r="L73" s="185"/>
      <c r="M73" s="184"/>
      <c r="N73" s="184"/>
      <c r="O73" s="184">
        <v>11114987.67</v>
      </c>
      <c r="P73" s="185">
        <v>83049405.109999999</v>
      </c>
      <c r="Q73" s="185">
        <v>3594355</v>
      </c>
      <c r="R73" s="185">
        <v>2404489.63</v>
      </c>
      <c r="S73" s="185">
        <v>65180154.539999999</v>
      </c>
      <c r="T73" s="185">
        <v>0</v>
      </c>
      <c r="U73" s="185">
        <v>16799789.52</v>
      </c>
      <c r="V73" s="185">
        <v>1022816.86</v>
      </c>
      <c r="W73" s="185">
        <v>3219354.86</v>
      </c>
      <c r="X73" s="185">
        <v>10193426.369999999</v>
      </c>
      <c r="Y73" s="185">
        <v>21661604.059999999</v>
      </c>
      <c r="Z73" s="185"/>
      <c r="AA73" s="185"/>
      <c r="AB73" s="185">
        <v>20617399.789999999</v>
      </c>
      <c r="AC73" s="185">
        <v>8293739.9000000004</v>
      </c>
      <c r="AD73" s="185">
        <v>1445757</v>
      </c>
      <c r="AE73" s="185">
        <v>4916003.62</v>
      </c>
      <c r="AF73" s="185"/>
      <c r="AG73" s="185">
        <v>10990681.970000001</v>
      </c>
      <c r="AH73" s="185"/>
      <c r="AI73" s="185">
        <v>12783</v>
      </c>
      <c r="AJ73" s="185">
        <v>2547412.98</v>
      </c>
      <c r="AK73" s="185">
        <v>3346900.1</v>
      </c>
      <c r="AL73" s="185">
        <v>1216452.1499999999</v>
      </c>
      <c r="AM73" s="185"/>
      <c r="AN73" s="185"/>
      <c r="AO73" s="185"/>
      <c r="AP73" s="185">
        <v>0</v>
      </c>
      <c r="AQ73" s="185"/>
      <c r="AR73" s="185">
        <v>0</v>
      </c>
      <c r="AS73" s="185"/>
      <c r="AT73" s="185"/>
      <c r="AU73" s="185"/>
      <c r="AV73" s="185"/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450650458.96000004</v>
      </c>
      <c r="CF73" s="249"/>
    </row>
    <row r="74" spans="1:84" ht="12.6" customHeight="1" x14ac:dyDescent="0.25">
      <c r="A74" s="171" t="s">
        <v>246</v>
      </c>
      <c r="B74" s="175"/>
      <c r="C74" s="184">
        <v>171586.56</v>
      </c>
      <c r="D74" s="184">
        <v>2723843.75</v>
      </c>
      <c r="E74" s="225">
        <v>5998689.0800000001</v>
      </c>
      <c r="F74" s="185"/>
      <c r="G74" s="184"/>
      <c r="H74" s="184"/>
      <c r="I74" s="184"/>
      <c r="J74" s="185">
        <v>8860</v>
      </c>
      <c r="K74" s="185">
        <v>-875</v>
      </c>
      <c r="L74" s="185"/>
      <c r="M74" s="184"/>
      <c r="N74" s="184"/>
      <c r="O74" s="184">
        <v>949236.62</v>
      </c>
      <c r="P74" s="185">
        <f>49640823.96+165388.66</f>
        <v>49806212.619999997</v>
      </c>
      <c r="Q74" s="185">
        <v>1963664</v>
      </c>
      <c r="R74" s="185">
        <v>2543827.11</v>
      </c>
      <c r="S74" s="185">
        <v>20674946.07</v>
      </c>
      <c r="T74" s="185">
        <v>2530525.36</v>
      </c>
      <c r="U74" s="185">
        <f>9508922.97+764077.86</f>
        <v>10273000.83</v>
      </c>
      <c r="V74" s="185">
        <v>351484.26</v>
      </c>
      <c r="W74" s="185">
        <f>4613670.34+2581.94</f>
        <v>4616252.28</v>
      </c>
      <c r="X74" s="185">
        <f>13433625.58+4124.79</f>
        <v>13437750.369999999</v>
      </c>
      <c r="Y74" s="185">
        <f>23090080.05+4291.53</f>
        <v>23094371.580000002</v>
      </c>
      <c r="Z74" s="185"/>
      <c r="AA74" s="185"/>
      <c r="AB74" s="185">
        <v>8045385.4299999997</v>
      </c>
      <c r="AC74" s="185">
        <v>1213598.1000000001</v>
      </c>
      <c r="AD74" s="185">
        <v>173802</v>
      </c>
      <c r="AE74" s="185">
        <v>3353154.71</v>
      </c>
      <c r="AF74" s="185"/>
      <c r="AG74" s="185">
        <f>37056888.17+6974010.99</f>
        <v>44030899.160000004</v>
      </c>
      <c r="AH74" s="185"/>
      <c r="AI74" s="185">
        <v>2302024.94</v>
      </c>
      <c r="AJ74" s="185">
        <f>132064711.05+3638710.57</f>
        <v>135703421.62</v>
      </c>
      <c r="AK74" s="185">
        <v>562123.27</v>
      </c>
      <c r="AL74" s="185">
        <v>877573.69</v>
      </c>
      <c r="AM74" s="185"/>
      <c r="AN74" s="185"/>
      <c r="AO74" s="185"/>
      <c r="AP74" s="185">
        <f>927.39+348.87</f>
        <v>1276.26</v>
      </c>
      <c r="AQ74" s="185"/>
      <c r="AR74" s="185">
        <v>8860168.2200000007</v>
      </c>
      <c r="AS74" s="185"/>
      <c r="AT74" s="185"/>
      <c r="AU74" s="185"/>
      <c r="AV74" s="282">
        <v>-626802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343640000.89000005</v>
      </c>
      <c r="CF74" s="249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31346031.899999999</v>
      </c>
      <c r="D75" s="195">
        <f t="shared" si="9"/>
        <v>47728591.899999999</v>
      </c>
      <c r="E75" s="195">
        <f t="shared" si="9"/>
        <v>99357817.159999996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4237295</v>
      </c>
      <c r="K75" s="195">
        <f t="shared" si="9"/>
        <v>5255313.26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12064224.289999999</v>
      </c>
      <c r="P75" s="195">
        <f t="shared" si="9"/>
        <v>132855617.72999999</v>
      </c>
      <c r="Q75" s="195">
        <f t="shared" si="9"/>
        <v>5558019</v>
      </c>
      <c r="R75" s="195">
        <f t="shared" si="9"/>
        <v>4948316.74</v>
      </c>
      <c r="S75" s="195">
        <f t="shared" si="9"/>
        <v>85855100.609999999</v>
      </c>
      <c r="T75" s="195">
        <f t="shared" si="9"/>
        <v>2530525.36</v>
      </c>
      <c r="U75" s="195">
        <f t="shared" si="9"/>
        <v>27072790.350000001</v>
      </c>
      <c r="V75" s="195">
        <f t="shared" si="9"/>
        <v>1374301.12</v>
      </c>
      <c r="W75" s="195">
        <f t="shared" si="9"/>
        <v>7835607.1400000006</v>
      </c>
      <c r="X75" s="195">
        <f t="shared" si="9"/>
        <v>23631176.739999998</v>
      </c>
      <c r="Y75" s="195">
        <f t="shared" si="9"/>
        <v>44755975.640000001</v>
      </c>
      <c r="Z75" s="195">
        <f t="shared" si="9"/>
        <v>0</v>
      </c>
      <c r="AA75" s="195">
        <f t="shared" si="9"/>
        <v>0</v>
      </c>
      <c r="AB75" s="195">
        <f t="shared" si="9"/>
        <v>28662785.219999999</v>
      </c>
      <c r="AC75" s="195">
        <f t="shared" si="9"/>
        <v>9507338</v>
      </c>
      <c r="AD75" s="195">
        <f t="shared" si="9"/>
        <v>1619559</v>
      </c>
      <c r="AE75" s="195">
        <f t="shared" si="9"/>
        <v>8269158.3300000001</v>
      </c>
      <c r="AF75" s="195">
        <f t="shared" si="9"/>
        <v>0</v>
      </c>
      <c r="AG75" s="195">
        <f t="shared" si="9"/>
        <v>55021581.130000003</v>
      </c>
      <c r="AH75" s="195">
        <f t="shared" si="9"/>
        <v>0</v>
      </c>
      <c r="AI75" s="195">
        <f t="shared" si="9"/>
        <v>2314807.94</v>
      </c>
      <c r="AJ75" s="195">
        <f t="shared" si="9"/>
        <v>138250834.59999999</v>
      </c>
      <c r="AK75" s="195">
        <f t="shared" si="9"/>
        <v>3909023.37</v>
      </c>
      <c r="AL75" s="195">
        <f t="shared" si="9"/>
        <v>2094025.8399999999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1276.26</v>
      </c>
      <c r="AQ75" s="195">
        <f t="shared" si="9"/>
        <v>0</v>
      </c>
      <c r="AR75" s="195">
        <f t="shared" si="9"/>
        <v>8860168.2200000007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-626802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794290459.85000014</v>
      </c>
      <c r="CF75" s="249"/>
    </row>
    <row r="76" spans="1:84" ht="12.6" customHeight="1" x14ac:dyDescent="0.25">
      <c r="A76" s="171" t="s">
        <v>248</v>
      </c>
      <c r="B76" s="175"/>
      <c r="C76" s="184">
        <v>15277</v>
      </c>
      <c r="D76" s="184">
        <v>23280</v>
      </c>
      <c r="E76" s="225">
        <v>83230</v>
      </c>
      <c r="F76" s="184"/>
      <c r="G76" s="184"/>
      <c r="H76" s="184"/>
      <c r="I76" s="184"/>
      <c r="J76" s="184"/>
      <c r="K76" s="184">
        <v>12239</v>
      </c>
      <c r="L76" s="184"/>
      <c r="M76" s="184"/>
      <c r="N76" s="184"/>
      <c r="O76" s="184">
        <v>3417</v>
      </c>
      <c r="P76" s="184">
        <v>11716</v>
      </c>
      <c r="Q76" s="184">
        <v>4116</v>
      </c>
      <c r="R76" s="184"/>
      <c r="S76" s="184">
        <v>5728</v>
      </c>
      <c r="T76" s="184"/>
      <c r="U76" s="184">
        <v>4515</v>
      </c>
      <c r="V76" s="184"/>
      <c r="W76" s="184">
        <v>1204</v>
      </c>
      <c r="X76" s="184">
        <v>1500</v>
      </c>
      <c r="Y76" s="184">
        <v>7880</v>
      </c>
      <c r="Z76" s="184"/>
      <c r="AA76" s="184"/>
      <c r="AB76" s="184">
        <v>7285</v>
      </c>
      <c r="AC76" s="184">
        <v>2510</v>
      </c>
      <c r="AD76" s="184"/>
      <c r="AE76" s="184">
        <v>9336</v>
      </c>
      <c r="AF76" s="184"/>
      <c r="AG76" s="184">
        <v>10892</v>
      </c>
      <c r="AH76" s="184"/>
      <c r="AI76" s="184">
        <v>10231</v>
      </c>
      <c r="AJ76" s="184">
        <v>3395</v>
      </c>
      <c r="AK76" s="184"/>
      <c r="AL76" s="184"/>
      <c r="AM76" s="184"/>
      <c r="AN76" s="184"/>
      <c r="AO76" s="184"/>
      <c r="AP76" s="184">
        <v>3898</v>
      </c>
      <c r="AQ76" s="184"/>
      <c r="AR76" s="184">
        <v>9146</v>
      </c>
      <c r="AS76" s="184"/>
      <c r="AT76" s="184"/>
      <c r="AU76" s="184"/>
      <c r="AV76" s="184"/>
      <c r="AW76" s="184"/>
      <c r="AX76" s="184"/>
      <c r="AY76" s="184">
        <v>11488</v>
      </c>
      <c r="AZ76" s="184"/>
      <c r="BA76" s="184">
        <v>6995</v>
      </c>
      <c r="BB76" s="184">
        <v>3603</v>
      </c>
      <c r="BC76" s="184"/>
      <c r="BD76" s="184">
        <v>5708</v>
      </c>
      <c r="BE76" s="184">
        <v>180898</v>
      </c>
      <c r="BF76" s="184">
        <v>3089</v>
      </c>
      <c r="BG76" s="184">
        <v>472</v>
      </c>
      <c r="BH76" s="184">
        <v>4565</v>
      </c>
      <c r="BI76" s="184"/>
      <c r="BJ76" s="184"/>
      <c r="BK76" s="184"/>
      <c r="BL76" s="184">
        <v>2374</v>
      </c>
      <c r="BM76" s="184"/>
      <c r="BN76" s="184">
        <v>5929</v>
      </c>
      <c r="BO76" s="184"/>
      <c r="BP76" s="184"/>
      <c r="BQ76" s="184"/>
      <c r="BR76" s="184">
        <v>1507</v>
      </c>
      <c r="BS76" s="184"/>
      <c r="BT76" s="184"/>
      <c r="BU76" s="184"/>
      <c r="BV76" s="184">
        <v>2738</v>
      </c>
      <c r="BW76" s="184">
        <v>2023</v>
      </c>
      <c r="BX76" s="184">
        <v>586</v>
      </c>
      <c r="BY76" s="184"/>
      <c r="BZ76" s="184"/>
      <c r="CA76" s="184">
        <v>3672</v>
      </c>
      <c r="CB76" s="184"/>
      <c r="CC76" s="184"/>
      <c r="CD76" s="246" t="s">
        <v>221</v>
      </c>
      <c r="CE76" s="195">
        <f t="shared" si="8"/>
        <v>466442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38121</v>
      </c>
      <c r="D77" s="184">
        <v>115013</v>
      </c>
      <c r="E77" s="225">
        <v>295379</v>
      </c>
      <c r="F77" s="184"/>
      <c r="G77" s="184"/>
      <c r="H77" s="184"/>
      <c r="I77" s="184"/>
      <c r="J77" s="184"/>
      <c r="K77" s="184">
        <v>59889</v>
      </c>
      <c r="L77" s="184"/>
      <c r="M77" s="184"/>
      <c r="N77" s="184"/>
      <c r="O77" s="184">
        <v>13521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123453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645376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15277</v>
      </c>
      <c r="D78" s="184">
        <v>23280</v>
      </c>
      <c r="E78" s="225">
        <v>83230</v>
      </c>
      <c r="F78" s="184"/>
      <c r="G78" s="184"/>
      <c r="H78" s="184"/>
      <c r="I78" s="184"/>
      <c r="J78" s="184"/>
      <c r="K78" s="184">
        <v>12239</v>
      </c>
      <c r="L78" s="184"/>
      <c r="M78" s="184"/>
      <c r="N78" s="184"/>
      <c r="O78" s="184">
        <v>3417</v>
      </c>
      <c r="P78" s="184">
        <v>11716</v>
      </c>
      <c r="Q78" s="184">
        <v>4116</v>
      </c>
      <c r="R78" s="184"/>
      <c r="S78" s="184">
        <v>5728</v>
      </c>
      <c r="T78" s="184"/>
      <c r="U78" s="184">
        <v>4515</v>
      </c>
      <c r="V78" s="184"/>
      <c r="W78" s="184">
        <v>1204</v>
      </c>
      <c r="X78" s="184">
        <v>1500</v>
      </c>
      <c r="Y78" s="184">
        <v>7880</v>
      </c>
      <c r="Z78" s="184"/>
      <c r="AA78" s="184"/>
      <c r="AB78" s="184">
        <v>7285</v>
      </c>
      <c r="AC78" s="184">
        <v>2510</v>
      </c>
      <c r="AD78" s="184"/>
      <c r="AE78" s="184">
        <v>9336</v>
      </c>
      <c r="AF78" s="184"/>
      <c r="AG78" s="184">
        <v>10892</v>
      </c>
      <c r="AH78" s="184"/>
      <c r="AI78" s="184">
        <v>10231</v>
      </c>
      <c r="AJ78" s="184">
        <v>3395</v>
      </c>
      <c r="AK78" s="184"/>
      <c r="AL78" s="184"/>
      <c r="AM78" s="184"/>
      <c r="AN78" s="184"/>
      <c r="AO78" s="184"/>
      <c r="AP78" s="184">
        <v>3898</v>
      </c>
      <c r="AQ78" s="184"/>
      <c r="AR78" s="184">
        <v>9146</v>
      </c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>
        <v>6995</v>
      </c>
      <c r="BB78" s="184">
        <v>3603</v>
      </c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>
        <v>4565</v>
      </c>
      <c r="BI78" s="184"/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>
        <v>2738</v>
      </c>
      <c r="BW78" s="184">
        <v>2023</v>
      </c>
      <c r="BX78" s="184">
        <v>586</v>
      </c>
      <c r="BY78" s="184"/>
      <c r="BZ78" s="184"/>
      <c r="CA78" s="184">
        <v>3672</v>
      </c>
      <c r="CB78" s="184"/>
      <c r="CC78" s="246" t="s">
        <v>221</v>
      </c>
      <c r="CD78" s="246" t="s">
        <v>221</v>
      </c>
      <c r="CE78" s="195">
        <f t="shared" si="8"/>
        <v>254977</v>
      </c>
      <c r="CF78" s="195"/>
    </row>
    <row r="79" spans="1:84" ht="12.6" customHeight="1" x14ac:dyDescent="0.25">
      <c r="A79" s="171" t="s">
        <v>251</v>
      </c>
      <c r="B79" s="175"/>
      <c r="C79" s="225">
        <v>70482</v>
      </c>
      <c r="D79" s="225">
        <v>118081</v>
      </c>
      <c r="E79" s="225">
        <v>266191</v>
      </c>
      <c r="F79" s="184"/>
      <c r="G79" s="184"/>
      <c r="H79" s="184"/>
      <c r="I79" s="184"/>
      <c r="J79" s="184"/>
      <c r="K79" s="184">
        <v>55195</v>
      </c>
      <c r="L79" s="184"/>
      <c r="M79" s="184"/>
      <c r="N79" s="184"/>
      <c r="O79" s="184">
        <v>67079</v>
      </c>
      <c r="P79" s="184"/>
      <c r="Q79" s="184">
        <v>53357</v>
      </c>
      <c r="R79" s="184"/>
      <c r="S79" s="184"/>
      <c r="T79" s="184"/>
      <c r="U79" s="184"/>
      <c r="V79" s="184"/>
      <c r="W79" s="184"/>
      <c r="X79" s="184"/>
      <c r="Y79" s="184">
        <v>55029</v>
      </c>
      <c r="Z79" s="184"/>
      <c r="AA79" s="184"/>
      <c r="AB79" s="184"/>
      <c r="AC79" s="184"/>
      <c r="AD79" s="184"/>
      <c r="AE79" s="184"/>
      <c r="AF79" s="184"/>
      <c r="AG79" s="184">
        <v>89196</v>
      </c>
      <c r="AH79" s="184"/>
      <c r="AI79" s="184">
        <v>100692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1279742</v>
      </c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2155044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41.719310198945742</v>
      </c>
      <c r="D80" s="187">
        <v>57.022279602180951</v>
      </c>
      <c r="E80" s="225">
        <v>136.4490829125177</v>
      </c>
      <c r="F80" s="187"/>
      <c r="G80" s="187"/>
      <c r="H80" s="187"/>
      <c r="I80" s="187"/>
      <c r="J80" s="187"/>
      <c r="K80" s="187">
        <v>14.582260131170541</v>
      </c>
      <c r="L80" s="187"/>
      <c r="M80" s="187"/>
      <c r="N80" s="187"/>
      <c r="O80" s="187">
        <v>20.309732731423157</v>
      </c>
      <c r="P80" s="187">
        <v>31.088229711942105</v>
      </c>
      <c r="Q80" s="187">
        <v>11.806486665152432</v>
      </c>
      <c r="R80" s="187"/>
      <c r="S80" s="187"/>
      <c r="T80" s="187"/>
      <c r="U80" s="187"/>
      <c r="V80" s="187"/>
      <c r="W80" s="187"/>
      <c r="X80" s="187"/>
      <c r="Y80" s="187">
        <v>10.299650727778857</v>
      </c>
      <c r="Z80" s="187"/>
      <c r="AA80" s="187"/>
      <c r="AB80" s="187"/>
      <c r="AC80" s="187"/>
      <c r="AD80" s="187"/>
      <c r="AE80" s="187"/>
      <c r="AF80" s="187"/>
      <c r="AG80" s="187">
        <v>30.932299030853379</v>
      </c>
      <c r="AH80" s="187"/>
      <c r="AI80" s="187">
        <v>14.980019454556771</v>
      </c>
      <c r="AJ80" s="187">
        <v>22.327839997795376</v>
      </c>
      <c r="AK80" s="187"/>
      <c r="AL80" s="187"/>
      <c r="AM80" s="187"/>
      <c r="AN80" s="187"/>
      <c r="AO80" s="187"/>
      <c r="AP80" s="187"/>
      <c r="AQ80" s="187"/>
      <c r="AR80" s="187">
        <v>22.543496131004083</v>
      </c>
      <c r="AS80" s="187"/>
      <c r="AT80" s="187"/>
      <c r="AU80" s="187"/>
      <c r="AV80" s="187">
        <v>39.369999999999997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453.43068729532104</v>
      </c>
      <c r="CF80" s="252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7" t="s">
        <v>1265</v>
      </c>
      <c r="D82" s="253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1269</v>
      </c>
      <c r="D83" s="253"/>
      <c r="E83" s="175"/>
    </row>
    <row r="84" spans="1:5" ht="12.6" customHeight="1" x14ac:dyDescent="0.25">
      <c r="A84" s="173" t="s">
        <v>257</v>
      </c>
      <c r="B84" s="172" t="s">
        <v>256</v>
      </c>
      <c r="C84" s="283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84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5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3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3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3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3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3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6" t="s">
        <v>1277</v>
      </c>
      <c r="D92" s="253"/>
      <c r="E92" s="175"/>
    </row>
    <row r="93" spans="1:5" ht="12.6" customHeight="1" x14ac:dyDescent="0.25">
      <c r="A93" s="173" t="s">
        <v>264</v>
      </c>
      <c r="B93" s="172" t="s">
        <v>256</v>
      </c>
      <c r="C93" s="287" t="s">
        <v>1278</v>
      </c>
      <c r="D93" s="253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4" t="s">
        <v>266</v>
      </c>
      <c r="B96" s="254"/>
      <c r="C96" s="254"/>
      <c r="D96" s="254"/>
      <c r="E96" s="254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4" t="s">
        <v>269</v>
      </c>
      <c r="B100" s="254"/>
      <c r="C100" s="254"/>
      <c r="D100" s="254"/>
      <c r="E100" s="254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4" t="s">
        <v>271</v>
      </c>
      <c r="B103" s="254"/>
      <c r="C103" s="254"/>
      <c r="D103" s="254"/>
      <c r="E103" s="254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11382</v>
      </c>
      <c r="D111" s="174">
        <v>45895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392</v>
      </c>
      <c r="D112" s="174">
        <v>5984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1351</v>
      </c>
      <c r="D114" s="174">
        <v>1918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22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22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198</v>
      </c>
    </row>
    <row r="128" spans="1:5" ht="12.6" customHeight="1" x14ac:dyDescent="0.25">
      <c r="A128" s="173" t="s">
        <v>292</v>
      </c>
      <c r="B128" s="172" t="s">
        <v>256</v>
      </c>
      <c r="C128" s="189">
        <v>198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288">
        <v>5912</v>
      </c>
      <c r="C138" s="288">
        <v>2552</v>
      </c>
      <c r="D138" s="288">
        <v>2918</v>
      </c>
      <c r="E138" s="175">
        <f>SUM(B138:D138)</f>
        <v>11382</v>
      </c>
    </row>
    <row r="139" spans="1:6" ht="12.6" customHeight="1" x14ac:dyDescent="0.25">
      <c r="A139" s="173" t="s">
        <v>215</v>
      </c>
      <c r="B139" s="288">
        <v>26587</v>
      </c>
      <c r="C139" s="288">
        <v>9491</v>
      </c>
      <c r="D139" s="288">
        <v>9817</v>
      </c>
      <c r="E139" s="175">
        <f>SUM(B139:D139)</f>
        <v>45895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288">
        <f>236275904+19886068</f>
        <v>256161972</v>
      </c>
      <c r="C141" s="288">
        <f>68040095+10948920</f>
        <v>78989015</v>
      </c>
      <c r="D141" s="288">
        <v>106693955</v>
      </c>
      <c r="E141" s="175">
        <f>SUM(B141:D141)</f>
        <v>441844942</v>
      </c>
      <c r="F141" s="199"/>
    </row>
    <row r="142" spans="1:6" ht="12.6" customHeight="1" x14ac:dyDescent="0.25">
      <c r="A142" s="173" t="s">
        <v>246</v>
      </c>
      <c r="B142" s="288">
        <v>173896417</v>
      </c>
      <c r="C142" s="288">
        <v>63876143</v>
      </c>
      <c r="D142" s="288">
        <v>105867440</v>
      </c>
      <c r="E142" s="175">
        <f>SUM(B142:D142)</f>
        <v>343640000</v>
      </c>
      <c r="F142" s="199"/>
    </row>
    <row r="143" spans="1:6" ht="12.6" customHeight="1" x14ac:dyDescent="0.2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314</v>
      </c>
      <c r="C144" s="189">
        <v>41</v>
      </c>
      <c r="D144" s="174">
        <v>37</v>
      </c>
      <c r="E144" s="175">
        <f>SUM(B144:D144)</f>
        <v>392</v>
      </c>
    </row>
    <row r="145" spans="1:5" ht="12.6" customHeight="1" x14ac:dyDescent="0.25">
      <c r="A145" s="173" t="s">
        <v>215</v>
      </c>
      <c r="B145" s="288">
        <v>4685</v>
      </c>
      <c r="C145" s="288">
        <v>760</v>
      </c>
      <c r="D145" s="288">
        <v>539</v>
      </c>
      <c r="E145" s="175">
        <f>SUM(B145:D145)</f>
        <v>5984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288">
        <v>6916688</v>
      </c>
      <c r="C147" s="288">
        <v>1047451</v>
      </c>
      <c r="D147" s="288">
        <v>841379</v>
      </c>
      <c r="E147" s="175">
        <f>SUM(B147:D147)</f>
        <v>8805518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288">
        <v>3131830</v>
      </c>
      <c r="C157" s="288">
        <v>5478960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4" t="s">
        <v>306</v>
      </c>
      <c r="B164" s="254"/>
      <c r="C164" s="254"/>
      <c r="D164" s="254"/>
      <c r="E164" s="254"/>
    </row>
    <row r="165" spans="1:5" ht="11.4" customHeight="1" x14ac:dyDescent="0.25">
      <c r="A165" s="173" t="s">
        <v>307</v>
      </c>
      <c r="B165" s="172" t="s">
        <v>256</v>
      </c>
      <c r="C165" s="189">
        <v>7139115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108586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842964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12706308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79511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4469868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543783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25890135</v>
      </c>
      <c r="E173" s="175"/>
    </row>
    <row r="174" spans="1:5" ht="11.4" customHeight="1" x14ac:dyDescent="0.25">
      <c r="A174" s="254" t="s">
        <v>314</v>
      </c>
      <c r="B174" s="254"/>
      <c r="C174" s="254"/>
      <c r="D174" s="254"/>
      <c r="E174" s="254"/>
    </row>
    <row r="175" spans="1:5" ht="11.4" customHeight="1" x14ac:dyDescent="0.25">
      <c r="A175" s="173" t="s">
        <v>315</v>
      </c>
      <c r="B175" s="172" t="s">
        <v>256</v>
      </c>
      <c r="C175" s="189">
        <v>1046691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1046691</v>
      </c>
      <c r="E177" s="175"/>
    </row>
    <row r="178" spans="1:5" ht="11.4" customHeight="1" x14ac:dyDescent="0.25">
      <c r="A178" s="254" t="s">
        <v>317</v>
      </c>
      <c r="B178" s="254"/>
      <c r="C178" s="254"/>
      <c r="D178" s="254"/>
      <c r="E178" s="254"/>
    </row>
    <row r="179" spans="1:5" ht="11.4" customHeight="1" x14ac:dyDescent="0.25">
      <c r="A179" s="173" t="s">
        <v>318</v>
      </c>
      <c r="B179" s="172" t="s">
        <v>256</v>
      </c>
      <c r="C179" s="189">
        <v>-1043069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337078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-705991</v>
      </c>
      <c r="E181" s="175"/>
    </row>
    <row r="182" spans="1:5" ht="11.4" customHeight="1" x14ac:dyDescent="0.25">
      <c r="A182" s="254" t="s">
        <v>320</v>
      </c>
      <c r="B182" s="254"/>
      <c r="C182" s="254"/>
      <c r="D182" s="254"/>
      <c r="E182" s="254"/>
    </row>
    <row r="183" spans="1:5" ht="11.4" customHeight="1" x14ac:dyDescent="0.25">
      <c r="A183" s="173" t="s">
        <v>321</v>
      </c>
      <c r="B183" s="172" t="s">
        <v>256</v>
      </c>
      <c r="C183" s="189">
        <v>215664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2379961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5941941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8537566</v>
      </c>
      <c r="E186" s="175"/>
    </row>
    <row r="187" spans="1:5" ht="11.4" customHeight="1" x14ac:dyDescent="0.25">
      <c r="A187" s="254" t="s">
        <v>323</v>
      </c>
      <c r="B187" s="254"/>
      <c r="C187" s="254"/>
      <c r="D187" s="254"/>
      <c r="E187" s="254"/>
    </row>
    <row r="188" spans="1:5" ht="11.4" customHeight="1" x14ac:dyDescent="0.25">
      <c r="A188" s="173" t="s">
        <v>324</v>
      </c>
      <c r="B188" s="172" t="s">
        <v>256</v>
      </c>
      <c r="C188" s="189">
        <v>5243832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5473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5249305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89">
        <v>8276004</v>
      </c>
      <c r="C195" s="289"/>
      <c r="D195" s="289"/>
      <c r="E195" s="175">
        <f t="shared" ref="E195:E203" si="10">SUM(B195:C195)-D195</f>
        <v>8276004</v>
      </c>
    </row>
    <row r="196" spans="1:8" ht="12.6" customHeight="1" x14ac:dyDescent="0.25">
      <c r="A196" s="173" t="s">
        <v>333</v>
      </c>
      <c r="B196" s="289">
        <v>4298672</v>
      </c>
      <c r="C196" s="289"/>
      <c r="D196" s="289">
        <v>231647</v>
      </c>
      <c r="E196" s="175">
        <f t="shared" si="10"/>
        <v>4067025</v>
      </c>
    </row>
    <row r="197" spans="1:8" ht="12.6" customHeight="1" x14ac:dyDescent="0.25">
      <c r="A197" s="173" t="s">
        <v>334</v>
      </c>
      <c r="B197" s="289">
        <v>116035513</v>
      </c>
      <c r="C197" s="289">
        <v>4352204</v>
      </c>
      <c r="D197" s="289">
        <v>869532</v>
      </c>
      <c r="E197" s="175">
        <f t="shared" si="10"/>
        <v>119518185</v>
      </c>
    </row>
    <row r="198" spans="1:8" ht="12.6" customHeight="1" x14ac:dyDescent="0.25">
      <c r="A198" s="173" t="s">
        <v>335</v>
      </c>
      <c r="B198" s="289">
        <v>75332246</v>
      </c>
      <c r="C198" s="289">
        <v>83568</v>
      </c>
      <c r="D198" s="289">
        <v>342783</v>
      </c>
      <c r="E198" s="175">
        <f t="shared" si="10"/>
        <v>75073031</v>
      </c>
    </row>
    <row r="199" spans="1:8" ht="12.6" customHeight="1" x14ac:dyDescent="0.25">
      <c r="A199" s="173" t="s">
        <v>336</v>
      </c>
      <c r="B199" s="289"/>
      <c r="C199" s="289"/>
      <c r="D199" s="290"/>
      <c r="E199" s="175">
        <f t="shared" si="10"/>
        <v>0</v>
      </c>
    </row>
    <row r="200" spans="1:8" ht="12.6" customHeight="1" x14ac:dyDescent="0.25">
      <c r="A200" s="173" t="s">
        <v>337</v>
      </c>
      <c r="B200" s="291">
        <v>103379760</v>
      </c>
      <c r="C200" s="291">
        <v>11362589</v>
      </c>
      <c r="D200" s="291">
        <v>6345526</v>
      </c>
      <c r="E200" s="175">
        <f t="shared" si="10"/>
        <v>108396823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8337445</v>
      </c>
      <c r="C203" s="189">
        <f>-970456+8832</f>
        <v>-961624</v>
      </c>
      <c r="D203" s="174"/>
      <c r="E203" s="175">
        <f t="shared" si="10"/>
        <v>7375821</v>
      </c>
    </row>
    <row r="204" spans="1:8" ht="12.6" customHeight="1" x14ac:dyDescent="0.25">
      <c r="A204" s="173" t="s">
        <v>203</v>
      </c>
      <c r="B204" s="175">
        <f>SUM(B195:B203)</f>
        <v>315659640</v>
      </c>
      <c r="C204" s="191">
        <f>SUM(C195:C203)</f>
        <v>14836737</v>
      </c>
      <c r="D204" s="175">
        <f>SUM(D195:D203)</f>
        <v>7789488</v>
      </c>
      <c r="E204" s="175">
        <f>SUM(E195:E203)</f>
        <v>322706889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6"/>
    </row>
    <row r="209" spans="1:8" ht="12.6" customHeight="1" x14ac:dyDescent="0.25">
      <c r="A209" s="173" t="s">
        <v>333</v>
      </c>
      <c r="B209" s="174">
        <v>3337890</v>
      </c>
      <c r="C209" s="189">
        <v>88724</v>
      </c>
      <c r="D209" s="174">
        <v>224997</v>
      </c>
      <c r="E209" s="175">
        <f t="shared" ref="E209:E216" si="11">SUM(B209:C209)-D209</f>
        <v>3201617</v>
      </c>
      <c r="H209" s="256"/>
    </row>
    <row r="210" spans="1:8" ht="12.6" customHeight="1" x14ac:dyDescent="0.25">
      <c r="A210" s="173" t="s">
        <v>334</v>
      </c>
      <c r="B210" s="292">
        <v>44986317</v>
      </c>
      <c r="C210" s="292">
        <v>2158266</v>
      </c>
      <c r="D210" s="292">
        <v>790384</v>
      </c>
      <c r="E210" s="175">
        <f t="shared" si="11"/>
        <v>46354199</v>
      </c>
      <c r="H210" s="256"/>
    </row>
    <row r="211" spans="1:8" ht="12.6" customHeight="1" x14ac:dyDescent="0.25">
      <c r="A211" s="173" t="s">
        <v>335</v>
      </c>
      <c r="B211" s="292">
        <v>39730871</v>
      </c>
      <c r="C211" s="292">
        <v>1103450</v>
      </c>
      <c r="D211" s="292">
        <v>103292</v>
      </c>
      <c r="E211" s="175">
        <f t="shared" si="11"/>
        <v>40731029</v>
      </c>
      <c r="H211" s="256"/>
    </row>
    <row r="212" spans="1:8" ht="12.6" customHeight="1" x14ac:dyDescent="0.25">
      <c r="A212" s="173" t="s">
        <v>336</v>
      </c>
      <c r="B212" s="292"/>
      <c r="C212" s="292"/>
      <c r="D212" s="292"/>
      <c r="E212" s="175">
        <f t="shared" si="11"/>
        <v>0</v>
      </c>
      <c r="H212" s="256"/>
    </row>
    <row r="213" spans="1:8" ht="12.6" customHeight="1" x14ac:dyDescent="0.25">
      <c r="A213" s="173" t="s">
        <v>337</v>
      </c>
      <c r="B213" s="289">
        <v>90599231</v>
      </c>
      <c r="C213" s="289">
        <f>2986774+4785768</f>
        <v>7772542</v>
      </c>
      <c r="D213" s="289">
        <f>290012+5209355</f>
        <v>5499367</v>
      </c>
      <c r="E213" s="175">
        <f t="shared" si="11"/>
        <v>92872406</v>
      </c>
      <c r="H213" s="256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6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" customHeight="1" x14ac:dyDescent="0.25">
      <c r="A217" s="173" t="s">
        <v>203</v>
      </c>
      <c r="B217" s="175">
        <f>SUM(B208:B216)</f>
        <v>178654309</v>
      </c>
      <c r="C217" s="191">
        <f>SUM(C208:C216)</f>
        <v>11122982</v>
      </c>
      <c r="D217" s="175">
        <f>SUM(D208:D216)</f>
        <v>6618040</v>
      </c>
      <c r="E217" s="175">
        <f>SUM(E208:E216)</f>
        <v>183159251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7" t="s">
        <v>1255</v>
      </c>
      <c r="C220" s="297"/>
      <c r="D220" s="208"/>
      <c r="E220" s="208"/>
    </row>
    <row r="221" spans="1:8" ht="12.6" customHeight="1" x14ac:dyDescent="0.25">
      <c r="A221" s="267" t="s">
        <v>1255</v>
      </c>
      <c r="B221" s="208"/>
      <c r="C221" s="189">
        <v>7347428</v>
      </c>
      <c r="D221" s="172">
        <f>C221</f>
        <v>7347428</v>
      </c>
      <c r="E221" s="208"/>
    </row>
    <row r="222" spans="1:8" ht="12.6" customHeight="1" x14ac:dyDescent="0.25">
      <c r="A222" s="254" t="s">
        <v>343</v>
      </c>
      <c r="B222" s="254"/>
      <c r="C222" s="254"/>
      <c r="D222" s="254"/>
      <c r="E222" s="254"/>
    </row>
    <row r="223" spans="1:8" ht="12.6" customHeight="1" x14ac:dyDescent="0.25">
      <c r="A223" s="173" t="s">
        <v>344</v>
      </c>
      <c r="B223" s="172" t="s">
        <v>256</v>
      </c>
      <c r="C223" s="189">
        <v>290627613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99837478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6895435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44590201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441950727</v>
      </c>
      <c r="E229" s="175"/>
    </row>
    <row r="230" spans="1:5" ht="12.6" customHeight="1" x14ac:dyDescent="0.25">
      <c r="A230" s="254" t="s">
        <v>351</v>
      </c>
      <c r="B230" s="254"/>
      <c r="C230" s="254"/>
      <c r="D230" s="254"/>
      <c r="E230" s="254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5207842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5207842</v>
      </c>
      <c r="E236" s="175"/>
    </row>
    <row r="237" spans="1:5" ht="12.6" customHeight="1" x14ac:dyDescent="0.25">
      <c r="A237" s="254" t="s">
        <v>356</v>
      </c>
      <c r="B237" s="254"/>
      <c r="C237" s="254"/>
      <c r="D237" s="254"/>
      <c r="E237" s="254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3906247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3906247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458412244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4" t="s">
        <v>361</v>
      </c>
      <c r="B249" s="254"/>
      <c r="C249" s="254"/>
      <c r="D249" s="254"/>
      <c r="E249" s="254"/>
    </row>
    <row r="250" spans="1:5" ht="12.45" customHeight="1" x14ac:dyDescent="0.25">
      <c r="A250" s="173" t="s">
        <v>362</v>
      </c>
      <c r="B250" s="172" t="s">
        <v>256</v>
      </c>
      <c r="C250" s="189">
        <v>59267519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122457602-129744</f>
        <v>122327858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72188054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8054716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4163356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5615227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1166215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128406837</v>
      </c>
      <c r="E260" s="175"/>
    </row>
    <row r="261" spans="1:5" ht="11.25" customHeight="1" x14ac:dyDescent="0.25">
      <c r="A261" s="254" t="s">
        <v>372</v>
      </c>
      <c r="B261" s="254"/>
      <c r="C261" s="254"/>
      <c r="D261" s="254"/>
      <c r="E261" s="254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116782819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f>2315000+1453000+3220718</f>
        <v>6988718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123771537</v>
      </c>
      <c r="E265" s="175"/>
    </row>
    <row r="266" spans="1:5" ht="11.25" customHeight="1" x14ac:dyDescent="0.25">
      <c r="A266" s="254" t="s">
        <v>375</v>
      </c>
      <c r="B266" s="254"/>
      <c r="C266" s="254"/>
      <c r="D266" s="254"/>
      <c r="E266" s="254"/>
    </row>
    <row r="267" spans="1:5" ht="12.45" customHeight="1" x14ac:dyDescent="0.25">
      <c r="A267" s="173" t="s">
        <v>332</v>
      </c>
      <c r="B267" s="172" t="s">
        <v>256</v>
      </c>
      <c r="C267" s="189">
        <v>8276004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4067025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93516627+26001558</f>
        <v>119518185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75073031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108396823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7375821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322706889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183159253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139547636</v>
      </c>
      <c r="E277" s="175"/>
    </row>
    <row r="278" spans="1:5" ht="12.6" customHeight="1" x14ac:dyDescent="0.25">
      <c r="A278" s="254" t="s">
        <v>382</v>
      </c>
      <c r="B278" s="254"/>
      <c r="C278" s="254"/>
      <c r="D278" s="254"/>
      <c r="E278" s="254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248624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16393114+722068</f>
        <v>17115182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17363806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4" t="s">
        <v>387</v>
      </c>
      <c r="B285" s="254"/>
      <c r="C285" s="254"/>
      <c r="D285" s="254"/>
      <c r="E285" s="254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409089816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4" t="s">
        <v>395</v>
      </c>
      <c r="B303" s="254"/>
      <c r="C303" s="254"/>
      <c r="D303" s="254"/>
      <c r="E303" s="254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5352076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4846553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7412779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2705856+290657+510000+3784193</f>
        <v>7290706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2929516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27831630</v>
      </c>
      <c r="E314" s="175"/>
    </row>
    <row r="315" spans="1:5" ht="12.6" customHeight="1" x14ac:dyDescent="0.25">
      <c r="A315" s="254" t="s">
        <v>406</v>
      </c>
      <c r="B315" s="254"/>
      <c r="C315" s="254"/>
      <c r="D315" s="254"/>
      <c r="E315" s="254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4" t="s">
        <v>411</v>
      </c>
      <c r="B320" s="254"/>
      <c r="C320" s="254"/>
      <c r="D320" s="254"/>
      <c r="E320" s="254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114626806+2929516</f>
        <v>117556322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3238777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120795099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2929516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117865583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263392603</v>
      </c>
      <c r="D332" s="175"/>
      <c r="E332" s="175"/>
    </row>
    <row r="333" spans="1:5" ht="12.6" customHeight="1" x14ac:dyDescent="0.25">
      <c r="A333" s="173"/>
      <c r="B333" s="172"/>
      <c r="C333" s="229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409089816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409089816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4" t="s">
        <v>427</v>
      </c>
      <c r="B358" s="254"/>
      <c r="C358" s="254"/>
      <c r="D358" s="254"/>
      <c r="E358" s="254"/>
    </row>
    <row r="359" spans="1:5" ht="12.6" customHeight="1" x14ac:dyDescent="0.25">
      <c r="A359" s="173" t="s">
        <v>428</v>
      </c>
      <c r="B359" s="172" t="s">
        <v>256</v>
      </c>
      <c r="C359" s="189">
        <f>441844941+8805518</f>
        <v>450650459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237941558+11553535+94144908</f>
        <v>343640001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794290460</v>
      </c>
      <c r="E361" s="175"/>
    </row>
    <row r="362" spans="1:5" ht="12.6" customHeight="1" x14ac:dyDescent="0.25">
      <c r="A362" s="254" t="s">
        <v>431</v>
      </c>
      <c r="B362" s="254"/>
      <c r="C362" s="254"/>
      <c r="D362" s="254"/>
      <c r="E362" s="254"/>
    </row>
    <row r="363" spans="1:5" ht="12.6" customHeight="1" x14ac:dyDescent="0.25">
      <c r="A363" s="173" t="s">
        <v>1255</v>
      </c>
      <c r="B363" s="254"/>
      <c r="C363" s="189">
        <v>7347428</v>
      </c>
      <c r="D363" s="175"/>
      <c r="E363" s="254"/>
    </row>
    <row r="364" spans="1:5" ht="12.6" customHeight="1" x14ac:dyDescent="0.25">
      <c r="A364" s="173" t="s">
        <v>432</v>
      </c>
      <c r="B364" s="172" t="s">
        <v>256</v>
      </c>
      <c r="C364" s="189">
        <f>450535762-7892932-692103</f>
        <v>441950727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5207842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3906247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458412244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335878216</v>
      </c>
      <c r="E368" s="175"/>
    </row>
    <row r="369" spans="1:5" ht="12.6" customHeight="1" x14ac:dyDescent="0.25">
      <c r="A369" s="254" t="s">
        <v>436</v>
      </c>
      <c r="B369" s="254"/>
      <c r="C369" s="254"/>
      <c r="D369" s="254"/>
      <c r="E369" s="254"/>
    </row>
    <row r="370" spans="1:5" ht="12.6" customHeight="1" x14ac:dyDescent="0.25">
      <c r="A370" s="173" t="s">
        <v>437</v>
      </c>
      <c r="B370" s="172" t="s">
        <v>256</v>
      </c>
      <c r="C370" s="189">
        <v>6304422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6304422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342182638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4" t="s">
        <v>441</v>
      </c>
      <c r="B377" s="254"/>
      <c r="C377" s="254"/>
      <c r="D377" s="254"/>
      <c r="E377" s="254"/>
    </row>
    <row r="378" spans="1:5" ht="12.6" customHeight="1" x14ac:dyDescent="0.25">
      <c r="A378" s="173" t="s">
        <v>442</v>
      </c>
      <c r="B378" s="172" t="s">
        <v>256</v>
      </c>
      <c r="C378" s="189">
        <v>96797830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25890135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77261996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83087659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1336983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11177945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10741920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1046691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-705991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8537566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5249304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1098193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321520231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20662407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20662407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10511091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31173498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7"/>
    </row>
    <row r="412" spans="1:5" ht="12.6" customHeight="1" x14ac:dyDescent="0.25">
      <c r="A412" s="179" t="str">
        <f>C84&amp;"   "&amp;"H-"&amp;FIXED(C83,0,TRUE)&amp;"     FYE "&amp;C82</f>
        <v>Confluence Health:Central Washington Hospital   H-0     FYE 12/31/2017</v>
      </c>
      <c r="B412" s="179"/>
      <c r="C412" s="179"/>
      <c r="D412" s="179"/>
      <c r="E412" s="257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11382</v>
      </c>
      <c r="C414" s="194">
        <f>E138</f>
        <v>11382</v>
      </c>
      <c r="D414" s="179"/>
    </row>
    <row r="415" spans="1:5" ht="12.6" customHeight="1" x14ac:dyDescent="0.25">
      <c r="A415" s="179" t="s">
        <v>464</v>
      </c>
      <c r="B415" s="179">
        <f>D111</f>
        <v>45895</v>
      </c>
      <c r="C415" s="179">
        <f>E139</f>
        <v>45895</v>
      </c>
      <c r="D415" s="194">
        <f>SUM(C59:H59)+N59</f>
        <v>45895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392</v>
      </c>
      <c r="C417" s="194">
        <f>E144</f>
        <v>392</v>
      </c>
      <c r="D417" s="179"/>
    </row>
    <row r="418" spans="1:7" ht="12.6" customHeight="1" x14ac:dyDescent="0.25">
      <c r="A418" s="179" t="s">
        <v>466</v>
      </c>
      <c r="B418" s="179">
        <f>D112</f>
        <v>5984</v>
      </c>
      <c r="C418" s="179">
        <f>E145</f>
        <v>5984</v>
      </c>
      <c r="D418" s="179">
        <f>K59+L59</f>
        <v>5984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1351</v>
      </c>
    </row>
    <row r="424" spans="1:7" ht="12.6" customHeight="1" x14ac:dyDescent="0.25">
      <c r="A424" s="179" t="s">
        <v>1244</v>
      </c>
      <c r="B424" s="179">
        <f>D114</f>
        <v>1918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96797830</v>
      </c>
      <c r="C427" s="179">
        <f t="shared" ref="C427:C434" si="13">CE61</f>
        <v>96797829.589999989</v>
      </c>
      <c r="D427" s="179"/>
    </row>
    <row r="428" spans="1:7" ht="12.6" customHeight="1" x14ac:dyDescent="0.25">
      <c r="A428" s="179" t="s">
        <v>3</v>
      </c>
      <c r="B428" s="179">
        <f t="shared" si="12"/>
        <v>25890135</v>
      </c>
      <c r="C428" s="179">
        <f t="shared" si="13"/>
        <v>25890135</v>
      </c>
      <c r="D428" s="179">
        <f>D173</f>
        <v>25890135</v>
      </c>
    </row>
    <row r="429" spans="1:7" ht="12.6" customHeight="1" x14ac:dyDescent="0.25">
      <c r="A429" s="179" t="s">
        <v>236</v>
      </c>
      <c r="B429" s="179">
        <f t="shared" si="12"/>
        <v>77261996</v>
      </c>
      <c r="C429" s="179">
        <f t="shared" si="13"/>
        <v>77261995.960000008</v>
      </c>
      <c r="D429" s="179"/>
    </row>
    <row r="430" spans="1:7" ht="12.6" customHeight="1" x14ac:dyDescent="0.25">
      <c r="A430" s="179" t="s">
        <v>237</v>
      </c>
      <c r="B430" s="179">
        <f t="shared" si="12"/>
        <v>83087659</v>
      </c>
      <c r="C430" s="179">
        <f t="shared" si="13"/>
        <v>83087658.570000023</v>
      </c>
      <c r="D430" s="179"/>
    </row>
    <row r="431" spans="1:7" ht="12.6" customHeight="1" x14ac:dyDescent="0.25">
      <c r="A431" s="179" t="s">
        <v>444</v>
      </c>
      <c r="B431" s="179">
        <f t="shared" si="12"/>
        <v>1336983</v>
      </c>
      <c r="C431" s="179">
        <f t="shared" si="13"/>
        <v>1336983.0499999998</v>
      </c>
      <c r="D431" s="179"/>
    </row>
    <row r="432" spans="1:7" ht="12.6" customHeight="1" x14ac:dyDescent="0.25">
      <c r="A432" s="179" t="s">
        <v>445</v>
      </c>
      <c r="B432" s="179">
        <f t="shared" si="12"/>
        <v>11177945</v>
      </c>
      <c r="C432" s="179">
        <f t="shared" si="13"/>
        <v>11177945.199999996</v>
      </c>
      <c r="D432" s="179"/>
    </row>
    <row r="433" spans="1:7" ht="12.6" customHeight="1" x14ac:dyDescent="0.25">
      <c r="A433" s="179" t="s">
        <v>6</v>
      </c>
      <c r="B433" s="179">
        <f t="shared" si="12"/>
        <v>10741920</v>
      </c>
      <c r="C433" s="179">
        <f t="shared" si="13"/>
        <v>10741920</v>
      </c>
      <c r="D433" s="179">
        <f>C217</f>
        <v>11122982</v>
      </c>
    </row>
    <row r="434" spans="1:7" ht="12.6" customHeight="1" x14ac:dyDescent="0.25">
      <c r="A434" s="179" t="s">
        <v>474</v>
      </c>
      <c r="B434" s="179">
        <f t="shared" si="12"/>
        <v>1046691</v>
      </c>
      <c r="C434" s="179">
        <f t="shared" si="13"/>
        <v>1046691.6699999999</v>
      </c>
      <c r="D434" s="179">
        <f>D177</f>
        <v>1046691</v>
      </c>
    </row>
    <row r="435" spans="1:7" ht="12.6" customHeight="1" x14ac:dyDescent="0.25">
      <c r="A435" s="179" t="s">
        <v>447</v>
      </c>
      <c r="B435" s="179">
        <f t="shared" si="12"/>
        <v>-705991</v>
      </c>
      <c r="C435" s="179"/>
      <c r="D435" s="179">
        <f>D181</f>
        <v>-705991</v>
      </c>
    </row>
    <row r="436" spans="1:7" ht="12.6" customHeight="1" x14ac:dyDescent="0.25">
      <c r="A436" s="179" t="s">
        <v>475</v>
      </c>
      <c r="B436" s="179">
        <f t="shared" si="12"/>
        <v>8537566</v>
      </c>
      <c r="C436" s="179"/>
      <c r="D436" s="179">
        <f>D186</f>
        <v>8537566</v>
      </c>
    </row>
    <row r="437" spans="1:7" ht="12.6" customHeight="1" x14ac:dyDescent="0.25">
      <c r="A437" s="194" t="s">
        <v>449</v>
      </c>
      <c r="B437" s="194">
        <f t="shared" si="12"/>
        <v>5249304</v>
      </c>
      <c r="C437" s="194"/>
      <c r="D437" s="194">
        <f>D190</f>
        <v>5249305</v>
      </c>
    </row>
    <row r="438" spans="1:7" ht="12.6" customHeight="1" x14ac:dyDescent="0.25">
      <c r="A438" s="194" t="s">
        <v>476</v>
      </c>
      <c r="B438" s="194">
        <f>C386+C387+C388</f>
        <v>13080879</v>
      </c>
      <c r="C438" s="194">
        <f>CD69</f>
        <v>0</v>
      </c>
      <c r="D438" s="194">
        <f>D181+D186+D190</f>
        <v>13080880</v>
      </c>
    </row>
    <row r="439" spans="1:7" ht="12.6" customHeight="1" x14ac:dyDescent="0.25">
      <c r="A439" s="179" t="s">
        <v>451</v>
      </c>
      <c r="B439" s="194">
        <f>C389</f>
        <v>1098193</v>
      </c>
      <c r="C439" s="194">
        <f>SUM(C69:CC69)</f>
        <v>14179073.599999998</v>
      </c>
      <c r="D439" s="179"/>
    </row>
    <row r="440" spans="1:7" ht="12.6" customHeight="1" x14ac:dyDescent="0.25">
      <c r="A440" s="179" t="s">
        <v>477</v>
      </c>
      <c r="B440" s="194">
        <f>B438+B439</f>
        <v>14179072</v>
      </c>
      <c r="C440" s="194">
        <f>CE69</f>
        <v>14179073.599999998</v>
      </c>
      <c r="D440" s="179"/>
    </row>
    <row r="441" spans="1:7" ht="12.6" customHeight="1" x14ac:dyDescent="0.25">
      <c r="A441" s="179" t="s">
        <v>478</v>
      </c>
      <c r="B441" s="179">
        <f>D390</f>
        <v>321520231</v>
      </c>
      <c r="C441" s="179">
        <f>SUM(C427:C437)+C440</f>
        <v>321520232.64000005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7347428</v>
      </c>
      <c r="C444" s="179">
        <f>C363</f>
        <v>7347428</v>
      </c>
      <c r="D444" s="179"/>
    </row>
    <row r="445" spans="1:7" ht="12.6" customHeight="1" x14ac:dyDescent="0.25">
      <c r="A445" s="179" t="s">
        <v>343</v>
      </c>
      <c r="B445" s="179">
        <f>D229</f>
        <v>441950727</v>
      </c>
      <c r="C445" s="179">
        <f>C364</f>
        <v>441950727</v>
      </c>
      <c r="D445" s="179"/>
    </row>
    <row r="446" spans="1:7" ht="12.6" customHeight="1" x14ac:dyDescent="0.25">
      <c r="A446" s="179" t="s">
        <v>351</v>
      </c>
      <c r="B446" s="179">
        <f>D236</f>
        <v>5207842</v>
      </c>
      <c r="C446" s="179">
        <f>C365</f>
        <v>5207842</v>
      </c>
      <c r="D446" s="179"/>
    </row>
    <row r="447" spans="1:7" ht="12.6" customHeight="1" x14ac:dyDescent="0.25">
      <c r="A447" s="179" t="s">
        <v>356</v>
      </c>
      <c r="B447" s="179">
        <f>D240</f>
        <v>3906247</v>
      </c>
      <c r="C447" s="179">
        <f>C366</f>
        <v>3906247</v>
      </c>
      <c r="D447" s="179"/>
    </row>
    <row r="448" spans="1:7" ht="12.6" customHeight="1" x14ac:dyDescent="0.25">
      <c r="A448" s="179" t="s">
        <v>358</v>
      </c>
      <c r="B448" s="179">
        <f>D242</f>
        <v>458412244</v>
      </c>
      <c r="C448" s="179">
        <f>D367</f>
        <v>458412244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5207842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6304422</v>
      </c>
      <c r="C458" s="194">
        <f>CE70</f>
        <v>6304421.7999999989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450650459</v>
      </c>
      <c r="C463" s="194">
        <f>CE73</f>
        <v>450650458.96000004</v>
      </c>
      <c r="D463" s="194">
        <f>E141+E147+E153</f>
        <v>450650460</v>
      </c>
    </row>
    <row r="464" spans="1:7" ht="12.6" customHeight="1" x14ac:dyDescent="0.25">
      <c r="A464" s="179" t="s">
        <v>246</v>
      </c>
      <c r="B464" s="194">
        <f>C360</f>
        <v>343640001</v>
      </c>
      <c r="C464" s="194">
        <f>CE74</f>
        <v>343640000.89000005</v>
      </c>
      <c r="D464" s="194">
        <f>E142+E148+E154</f>
        <v>343640000</v>
      </c>
    </row>
    <row r="465" spans="1:7" ht="12.6" customHeight="1" x14ac:dyDescent="0.25">
      <c r="A465" s="179" t="s">
        <v>247</v>
      </c>
      <c r="B465" s="194">
        <f>D361</f>
        <v>794290460</v>
      </c>
      <c r="C465" s="194">
        <f>CE75</f>
        <v>794290459.85000014</v>
      </c>
      <c r="D465" s="194">
        <f>D463+D464</f>
        <v>794290460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8276004</v>
      </c>
      <c r="C468" s="179">
        <f>E195</f>
        <v>8276004</v>
      </c>
      <c r="D468" s="179"/>
    </row>
    <row r="469" spans="1:7" ht="12.6" customHeight="1" x14ac:dyDescent="0.25">
      <c r="A469" s="179" t="s">
        <v>333</v>
      </c>
      <c r="B469" s="179">
        <f t="shared" si="14"/>
        <v>4067025</v>
      </c>
      <c r="C469" s="179">
        <f>E196</f>
        <v>4067025</v>
      </c>
      <c r="D469" s="179"/>
    </row>
    <row r="470" spans="1:7" ht="12.6" customHeight="1" x14ac:dyDescent="0.25">
      <c r="A470" s="179" t="s">
        <v>334</v>
      </c>
      <c r="B470" s="179">
        <f t="shared" si="14"/>
        <v>119518185</v>
      </c>
      <c r="C470" s="179">
        <f>E197</f>
        <v>119518185</v>
      </c>
      <c r="D470" s="179"/>
    </row>
    <row r="471" spans="1:7" ht="12.6" customHeight="1" x14ac:dyDescent="0.25">
      <c r="A471" s="179" t="s">
        <v>494</v>
      </c>
      <c r="B471" s="179">
        <f t="shared" si="14"/>
        <v>75073031</v>
      </c>
      <c r="C471" s="179">
        <f>E198</f>
        <v>75073031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108396823</v>
      </c>
      <c r="C473" s="179">
        <f>SUM(E200:E201)</f>
        <v>108396823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7375821</v>
      </c>
      <c r="C475" s="179">
        <f>E203</f>
        <v>7375821</v>
      </c>
      <c r="D475" s="179"/>
    </row>
    <row r="476" spans="1:7" ht="12.6" customHeight="1" x14ac:dyDescent="0.25">
      <c r="A476" s="179" t="s">
        <v>203</v>
      </c>
      <c r="B476" s="179">
        <f>D275</f>
        <v>322706889</v>
      </c>
      <c r="C476" s="179">
        <f>E204</f>
        <v>322706889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183159253</v>
      </c>
      <c r="C478" s="179">
        <f>E217</f>
        <v>183159251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409089816</v>
      </c>
    </row>
    <row r="482" spans="1:12" ht="12.6" customHeight="1" x14ac:dyDescent="0.25">
      <c r="A482" s="180" t="s">
        <v>499</v>
      </c>
      <c r="C482" s="180">
        <f>D339</f>
        <v>409089816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Confluence Health:Central Washington Hospital   H-0     FYE 12/31/2017</v>
      </c>
      <c r="B493" s="258" t="s">
        <v>1266</v>
      </c>
      <c r="C493" s="258" t="str">
        <f>RIGHT(C82,4)</f>
        <v>2017</v>
      </c>
      <c r="D493" s="258" t="s">
        <v>1266</v>
      </c>
      <c r="E493" s="258" t="str">
        <f>RIGHT(C82,4)</f>
        <v>2017</v>
      </c>
      <c r="F493" s="258" t="s">
        <v>1266</v>
      </c>
      <c r="G493" s="258" t="str">
        <f>RIGHT(C82,4)</f>
        <v>2017</v>
      </c>
      <c r="H493" s="258"/>
      <c r="K493" s="258"/>
      <c r="L493" s="258"/>
    </row>
    <row r="494" spans="1:12" ht="12.6" customHeight="1" x14ac:dyDescent="0.2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" customHeight="1" x14ac:dyDescent="0.25">
      <c r="A496" s="180" t="s">
        <v>512</v>
      </c>
      <c r="B496" s="237">
        <v>7265168</v>
      </c>
      <c r="C496" s="237">
        <f>C71</f>
        <v>8073596.7799999993</v>
      </c>
      <c r="D496" s="237">
        <v>4915</v>
      </c>
      <c r="E496" s="180">
        <f>C59</f>
        <v>4889</v>
      </c>
      <c r="F496" s="260">
        <f t="shared" ref="F496:G511" si="15">IF(B496=0,"",IF(D496=0,"",B496/D496))</f>
        <v>1478.1623601220754</v>
      </c>
      <c r="G496" s="261">
        <f t="shared" si="15"/>
        <v>1651.3799918183677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" customHeight="1" x14ac:dyDescent="0.25">
      <c r="A497" s="180" t="s">
        <v>513</v>
      </c>
      <c r="B497" s="237">
        <v>8358277</v>
      </c>
      <c r="C497" s="237">
        <f>D71</f>
        <v>9261270.9600000009</v>
      </c>
      <c r="D497" s="237">
        <v>11220</v>
      </c>
      <c r="E497" s="180">
        <f>D59</f>
        <v>11492</v>
      </c>
      <c r="F497" s="260">
        <f t="shared" si="15"/>
        <v>744.94447415329773</v>
      </c>
      <c r="G497" s="260">
        <f t="shared" si="15"/>
        <v>805.88852767142373</v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" customHeight="1" x14ac:dyDescent="0.25">
      <c r="A498" s="180" t="s">
        <v>514</v>
      </c>
      <c r="B498" s="237">
        <v>20834138</v>
      </c>
      <c r="C498" s="237">
        <f>E71</f>
        <v>22903877.770000003</v>
      </c>
      <c r="D498" s="237">
        <v>29319</v>
      </c>
      <c r="E498" s="180">
        <f>E59</f>
        <v>29514</v>
      </c>
      <c r="F498" s="260">
        <f t="shared" si="15"/>
        <v>710.60193048876158</v>
      </c>
      <c r="G498" s="260">
        <f t="shared" si="15"/>
        <v>776.03434878362827</v>
      </c>
      <c r="H498" s="262" t="str">
        <f t="shared" si="16"/>
        <v/>
      </c>
      <c r="I498" s="264"/>
      <c r="K498" s="258"/>
      <c r="L498" s="258"/>
    </row>
    <row r="499" spans="1:12" ht="12.6" customHeight="1" x14ac:dyDescent="0.25">
      <c r="A499" s="180" t="s">
        <v>515</v>
      </c>
      <c r="B499" s="237">
        <v>0</v>
      </c>
      <c r="C499" s="237">
        <f>F71</f>
        <v>0</v>
      </c>
      <c r="D499" s="237"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" customHeight="1" x14ac:dyDescent="0.25">
      <c r="A500" s="180" t="s">
        <v>516</v>
      </c>
      <c r="B500" s="237">
        <v>0</v>
      </c>
      <c r="C500" s="237">
        <f>G71</f>
        <v>0</v>
      </c>
      <c r="D500" s="237"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" customHeight="1" x14ac:dyDescent="0.25">
      <c r="A501" s="180" t="s">
        <v>517</v>
      </c>
      <c r="B501" s="237">
        <v>0</v>
      </c>
      <c r="C501" s="237">
        <f>H71</f>
        <v>0</v>
      </c>
      <c r="D501" s="237"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" customHeight="1" x14ac:dyDescent="0.25">
      <c r="A502" s="180" t="s">
        <v>518</v>
      </c>
      <c r="B502" s="237">
        <v>0</v>
      </c>
      <c r="C502" s="237">
        <f>I71</f>
        <v>0</v>
      </c>
      <c r="D502" s="237"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" customHeight="1" x14ac:dyDescent="0.25">
      <c r="A503" s="180" t="s">
        <v>519</v>
      </c>
      <c r="B503" s="237">
        <v>0</v>
      </c>
      <c r="C503" s="237">
        <f>J71</f>
        <v>140.26</v>
      </c>
      <c r="D503" s="237">
        <v>1940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" customHeight="1" x14ac:dyDescent="0.25">
      <c r="A504" s="180" t="s">
        <v>520</v>
      </c>
      <c r="B504" s="237">
        <v>3077080</v>
      </c>
      <c r="C504" s="237">
        <f>K71</f>
        <v>3335141.83</v>
      </c>
      <c r="D504" s="237">
        <v>6469</v>
      </c>
      <c r="E504" s="180">
        <f>K59</f>
        <v>5984</v>
      </c>
      <c r="F504" s="260">
        <f t="shared" si="15"/>
        <v>475.66548152728399</v>
      </c>
      <c r="G504" s="260">
        <f t="shared" si="15"/>
        <v>557.3432202540107</v>
      </c>
      <c r="H504" s="262" t="str">
        <f t="shared" si="16"/>
        <v/>
      </c>
      <c r="I504" s="264"/>
      <c r="K504" s="258"/>
      <c r="L504" s="258"/>
    </row>
    <row r="505" spans="1:12" ht="12.6" customHeight="1" x14ac:dyDescent="0.25">
      <c r="A505" s="180" t="s">
        <v>521</v>
      </c>
      <c r="B505" s="237">
        <v>0</v>
      </c>
      <c r="C505" s="237">
        <f>L71</f>
        <v>0</v>
      </c>
      <c r="D505" s="237"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" customHeight="1" x14ac:dyDescent="0.25">
      <c r="A506" s="180" t="s">
        <v>522</v>
      </c>
      <c r="B506" s="237">
        <v>0</v>
      </c>
      <c r="C506" s="237">
        <f>M71</f>
        <v>0</v>
      </c>
      <c r="D506" s="237"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" customHeight="1" x14ac:dyDescent="0.25">
      <c r="A507" s="180" t="s">
        <v>523</v>
      </c>
      <c r="B507" s="237">
        <v>0</v>
      </c>
      <c r="C507" s="237">
        <f>N71</f>
        <v>0</v>
      </c>
      <c r="D507" s="237"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" customHeight="1" x14ac:dyDescent="0.25">
      <c r="A508" s="180" t="s">
        <v>524</v>
      </c>
      <c r="B508" s="237">
        <v>3409923</v>
      </c>
      <c r="C508" s="237">
        <f>O71</f>
        <v>3621911.58</v>
      </c>
      <c r="D508" s="237">
        <v>1345</v>
      </c>
      <c r="E508" s="180">
        <f>O59</f>
        <v>1351</v>
      </c>
      <c r="F508" s="260">
        <f t="shared" si="15"/>
        <v>2535.2587360594794</v>
      </c>
      <c r="G508" s="260">
        <f t="shared" si="15"/>
        <v>2680.9116062176167</v>
      </c>
      <c r="H508" s="262" t="str">
        <f t="shared" si="16"/>
        <v/>
      </c>
      <c r="I508" s="264"/>
      <c r="K508" s="258"/>
      <c r="L508" s="258"/>
    </row>
    <row r="509" spans="1:12" ht="12.6" customHeight="1" x14ac:dyDescent="0.25">
      <c r="A509" s="180" t="s">
        <v>525</v>
      </c>
      <c r="B509" s="237">
        <v>11203096</v>
      </c>
      <c r="C509" s="237">
        <f>P71</f>
        <v>14461160.470000003</v>
      </c>
      <c r="D509" s="237">
        <v>805625</v>
      </c>
      <c r="E509" s="180">
        <f>P59</f>
        <v>831174</v>
      </c>
      <c r="F509" s="260">
        <f t="shared" si="15"/>
        <v>13.906092785104732</v>
      </c>
      <c r="G509" s="260">
        <f t="shared" si="15"/>
        <v>17.398475493699276</v>
      </c>
      <c r="H509" s="262">
        <f t="shared" si="16"/>
        <v>0.25114047220620805</v>
      </c>
      <c r="I509" s="264"/>
      <c r="K509" s="258"/>
      <c r="L509" s="258"/>
    </row>
    <row r="510" spans="1:12" ht="12.6" customHeight="1" x14ac:dyDescent="0.25">
      <c r="A510" s="180" t="s">
        <v>526</v>
      </c>
      <c r="B510" s="237">
        <v>1658461</v>
      </c>
      <c r="C510" s="237">
        <f>Q71</f>
        <v>1788837.5100000002</v>
      </c>
      <c r="D510" s="237">
        <v>456432</v>
      </c>
      <c r="E510" s="180">
        <f>Q59</f>
        <v>831174</v>
      </c>
      <c r="F510" s="260">
        <f t="shared" si="15"/>
        <v>3.6335335822203527</v>
      </c>
      <c r="G510" s="260">
        <f t="shared" si="15"/>
        <v>2.1521817453385212</v>
      </c>
      <c r="H510" s="262">
        <f t="shared" si="16"/>
        <v>-0.40768904521218652</v>
      </c>
      <c r="I510" s="264"/>
      <c r="K510" s="258"/>
      <c r="L510" s="258"/>
    </row>
    <row r="511" spans="1:12" ht="12.6" customHeight="1" x14ac:dyDescent="0.25">
      <c r="A511" s="180" t="s">
        <v>527</v>
      </c>
      <c r="B511" s="237">
        <v>1265175</v>
      </c>
      <c r="C511" s="237">
        <f>R71</f>
        <v>2909967.8500000006</v>
      </c>
      <c r="D511" s="237">
        <v>805625</v>
      </c>
      <c r="E511" s="180">
        <f>R59</f>
        <v>831174</v>
      </c>
      <c r="F511" s="260">
        <f t="shared" si="15"/>
        <v>1.5704266873545385</v>
      </c>
      <c r="G511" s="260">
        <f t="shared" si="15"/>
        <v>3.5010332974804319</v>
      </c>
      <c r="H511" s="262">
        <f t="shared" si="16"/>
        <v>1.2293516314206911</v>
      </c>
      <c r="I511" s="264"/>
      <c r="K511" s="258"/>
      <c r="L511" s="258"/>
    </row>
    <row r="512" spans="1:12" ht="12.6" customHeight="1" x14ac:dyDescent="0.25">
      <c r="A512" s="180" t="s">
        <v>528</v>
      </c>
      <c r="B512" s="237">
        <v>30917612</v>
      </c>
      <c r="C512" s="237">
        <f>S71</f>
        <v>32902274.809999999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" customHeight="1" x14ac:dyDescent="0.25">
      <c r="A513" s="180" t="s">
        <v>1246</v>
      </c>
      <c r="B513" s="237">
        <v>930559</v>
      </c>
      <c r="C513" s="237">
        <f>T71</f>
        <v>1251058.8700000001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" customHeight="1" x14ac:dyDescent="0.25">
      <c r="A514" s="180" t="s">
        <v>530</v>
      </c>
      <c r="B514" s="237">
        <v>8661010</v>
      </c>
      <c r="C514" s="237">
        <f>U71</f>
        <v>10462837.950000001</v>
      </c>
      <c r="D514" s="237">
        <v>5272783</v>
      </c>
      <c r="E514" s="180">
        <f>U59</f>
        <v>1618554</v>
      </c>
      <c r="F514" s="260">
        <f t="shared" si="17"/>
        <v>1.6425879843718203</v>
      </c>
      <c r="G514" s="260">
        <f t="shared" si="17"/>
        <v>6.4643119413995462</v>
      </c>
      <c r="H514" s="262">
        <f t="shared" si="16"/>
        <v>2.9354433387455416</v>
      </c>
      <c r="I514" s="264"/>
      <c r="K514" s="258"/>
      <c r="L514" s="258"/>
    </row>
    <row r="515" spans="1:12" ht="12.6" customHeight="1" x14ac:dyDescent="0.25">
      <c r="A515" s="180" t="s">
        <v>531</v>
      </c>
      <c r="B515" s="237">
        <v>30248</v>
      </c>
      <c r="C515" s="237">
        <f>V71</f>
        <v>39327.71</v>
      </c>
      <c r="D515" s="237">
        <v>413114</v>
      </c>
      <c r="E515" s="180">
        <f>V59</f>
        <v>129896</v>
      </c>
      <c r="F515" s="260">
        <f t="shared" si="17"/>
        <v>7.3219498734005628E-2</v>
      </c>
      <c r="G515" s="260">
        <f t="shared" si="17"/>
        <v>0.30276305659912545</v>
      </c>
      <c r="H515" s="262">
        <f t="shared" si="16"/>
        <v>3.135005863656807</v>
      </c>
      <c r="I515" s="264"/>
      <c r="K515" s="258"/>
      <c r="L515" s="258"/>
    </row>
    <row r="516" spans="1:12" ht="12.6" customHeight="1" x14ac:dyDescent="0.25">
      <c r="A516" s="180" t="s">
        <v>532</v>
      </c>
      <c r="B516" s="237">
        <v>903186</v>
      </c>
      <c r="C516" s="237">
        <f>W71</f>
        <v>1091167.0699999998</v>
      </c>
      <c r="D516" s="237">
        <v>53611</v>
      </c>
      <c r="E516" s="180">
        <f>W59</f>
        <v>28311</v>
      </c>
      <c r="F516" s="260">
        <f t="shared" si="17"/>
        <v>16.847027662233497</v>
      </c>
      <c r="G516" s="260">
        <f t="shared" si="17"/>
        <v>38.542159231394152</v>
      </c>
      <c r="H516" s="262">
        <f t="shared" si="16"/>
        <v>1.287772063068152</v>
      </c>
      <c r="I516" s="264"/>
      <c r="K516" s="258"/>
      <c r="L516" s="258"/>
    </row>
    <row r="517" spans="1:12" ht="12.6" customHeight="1" x14ac:dyDescent="0.25">
      <c r="A517" s="180" t="s">
        <v>533</v>
      </c>
      <c r="B517" s="237">
        <v>1402906</v>
      </c>
      <c r="C517" s="237">
        <f>X71</f>
        <v>1483553.29</v>
      </c>
      <c r="D517" s="237">
        <v>85015</v>
      </c>
      <c r="E517" s="180">
        <f>X59</f>
        <v>47317</v>
      </c>
      <c r="F517" s="260">
        <f t="shared" si="17"/>
        <v>16.501864376874668</v>
      </c>
      <c r="G517" s="260">
        <f t="shared" si="17"/>
        <v>31.353494304372635</v>
      </c>
      <c r="H517" s="262">
        <f t="shared" si="16"/>
        <v>0.89999709052940102</v>
      </c>
      <c r="I517" s="264"/>
      <c r="K517" s="258"/>
      <c r="L517" s="258"/>
    </row>
    <row r="518" spans="1:12" ht="12.6" customHeight="1" x14ac:dyDescent="0.25">
      <c r="A518" s="180" t="s">
        <v>534</v>
      </c>
      <c r="B518" s="237">
        <v>8942346</v>
      </c>
      <c r="C518" s="237">
        <f>Y71</f>
        <v>9743839.7699999977</v>
      </c>
      <c r="D518" s="237">
        <v>67286</v>
      </c>
      <c r="E518" s="180">
        <f>Y59</f>
        <v>56206</v>
      </c>
      <c r="F518" s="260">
        <f t="shared" si="17"/>
        <v>132.90054394673484</v>
      </c>
      <c r="G518" s="260">
        <f t="shared" si="17"/>
        <v>173.35942372700418</v>
      </c>
      <c r="H518" s="262">
        <f t="shared" si="16"/>
        <v>0.30442975309781151</v>
      </c>
      <c r="I518" s="264"/>
      <c r="K518" s="258"/>
      <c r="L518" s="258"/>
    </row>
    <row r="519" spans="1:12" ht="12.6" customHeight="1" x14ac:dyDescent="0.25">
      <c r="A519" s="180" t="s">
        <v>535</v>
      </c>
      <c r="B519" s="237">
        <v>0</v>
      </c>
      <c r="C519" s="237">
        <f>Z71</f>
        <v>0</v>
      </c>
      <c r="D519" s="237"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" customHeight="1" x14ac:dyDescent="0.25">
      <c r="A520" s="180" t="s">
        <v>536</v>
      </c>
      <c r="B520" s="237">
        <v>0</v>
      </c>
      <c r="C520" s="237">
        <f>AA71</f>
        <v>0</v>
      </c>
      <c r="D520" s="237"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/>
      <c r="K520" s="258"/>
      <c r="L520" s="258"/>
    </row>
    <row r="521" spans="1:12" ht="12.6" customHeight="1" x14ac:dyDescent="0.25">
      <c r="A521" s="180" t="s">
        <v>537</v>
      </c>
      <c r="B521" s="237">
        <v>17898942</v>
      </c>
      <c r="C521" s="237">
        <f>AB71</f>
        <v>18713189.32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" customHeight="1" x14ac:dyDescent="0.25">
      <c r="A522" s="180" t="s">
        <v>538</v>
      </c>
      <c r="B522" s="237">
        <v>2749787</v>
      </c>
      <c r="C522" s="237">
        <f>AC71</f>
        <v>2827320.54</v>
      </c>
      <c r="D522" s="237">
        <v>48978</v>
      </c>
      <c r="E522" s="180">
        <f>AC59</f>
        <v>29898</v>
      </c>
      <c r="F522" s="260">
        <f t="shared" si="17"/>
        <v>56.14330924088366</v>
      </c>
      <c r="G522" s="260">
        <f t="shared" si="17"/>
        <v>94.565540838852101</v>
      </c>
      <c r="H522" s="262">
        <f t="shared" si="16"/>
        <v>0.68435993740798784</v>
      </c>
      <c r="I522" s="264"/>
      <c r="K522" s="258"/>
      <c r="L522" s="258"/>
    </row>
    <row r="523" spans="1:12" ht="12.6" customHeight="1" x14ac:dyDescent="0.25">
      <c r="A523" s="180" t="s">
        <v>539</v>
      </c>
      <c r="B523" s="237">
        <v>628673</v>
      </c>
      <c r="C523" s="237">
        <f>AD71</f>
        <v>797640.22</v>
      </c>
      <c r="D523" s="237"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" customHeight="1" x14ac:dyDescent="0.25">
      <c r="A524" s="180" t="s">
        <v>540</v>
      </c>
      <c r="B524" s="237">
        <v>2911285</v>
      </c>
      <c r="C524" s="237">
        <f>AE71</f>
        <v>3573344.6999999997</v>
      </c>
      <c r="D524" s="237">
        <v>90713</v>
      </c>
      <c r="E524" s="180">
        <f>AE59</f>
        <v>25139</v>
      </c>
      <c r="F524" s="260">
        <f t="shared" si="17"/>
        <v>32.093360378336072</v>
      </c>
      <c r="G524" s="260">
        <f t="shared" si="17"/>
        <v>142.14347030510362</v>
      </c>
      <c r="H524" s="262">
        <f t="shared" si="16"/>
        <v>3.4290616074300058</v>
      </c>
      <c r="I524" s="264"/>
      <c r="K524" s="258"/>
      <c r="L524" s="258"/>
    </row>
    <row r="525" spans="1:12" ht="12.6" customHeight="1" x14ac:dyDescent="0.25">
      <c r="A525" s="180" t="s">
        <v>541</v>
      </c>
      <c r="B525" s="237">
        <v>0</v>
      </c>
      <c r="C525" s="237">
        <f>AF71</f>
        <v>0</v>
      </c>
      <c r="D525" s="237"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" customHeight="1" x14ac:dyDescent="0.25">
      <c r="A526" s="180" t="s">
        <v>542</v>
      </c>
      <c r="B526" s="237">
        <v>11506315</v>
      </c>
      <c r="C526" s="237">
        <f>AG71</f>
        <v>12179371.920000002</v>
      </c>
      <c r="D526" s="237">
        <v>37725</v>
      </c>
      <c r="E526" s="180">
        <f>AG59</f>
        <v>37006</v>
      </c>
      <c r="F526" s="260">
        <f t="shared" si="17"/>
        <v>305.0050364479788</v>
      </c>
      <c r="G526" s="260">
        <f t="shared" si="17"/>
        <v>329.11884343079504</v>
      </c>
      <c r="H526" s="262" t="str">
        <f t="shared" si="16"/>
        <v/>
      </c>
      <c r="I526" s="264"/>
      <c r="K526" s="258"/>
      <c r="L526" s="258"/>
    </row>
    <row r="527" spans="1:12" ht="12.6" customHeight="1" x14ac:dyDescent="0.25">
      <c r="A527" s="180" t="s">
        <v>543</v>
      </c>
      <c r="B527" s="237">
        <v>0</v>
      </c>
      <c r="C527" s="237">
        <f>AH71</f>
        <v>0</v>
      </c>
      <c r="D527" s="237"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" customHeight="1" x14ac:dyDescent="0.25">
      <c r="A528" s="180" t="s">
        <v>544</v>
      </c>
      <c r="B528" s="237">
        <v>2566893</v>
      </c>
      <c r="C528" s="237">
        <f>AI71</f>
        <v>2663874.41</v>
      </c>
      <c r="D528" s="237">
        <v>7559</v>
      </c>
      <c r="E528" s="180">
        <f>AI59</f>
        <v>6930</v>
      </c>
      <c r="F528" s="260">
        <f t="shared" ref="F528:G540" si="18">IF(B528=0,"",IF(D528=0,"",B528/D528))</f>
        <v>339.5810292366715</v>
      </c>
      <c r="G528" s="260">
        <f t="shared" si="18"/>
        <v>384.39746176046179</v>
      </c>
      <c r="H528" s="262" t="str">
        <f t="shared" si="16"/>
        <v/>
      </c>
      <c r="I528" s="264"/>
      <c r="K528" s="258"/>
      <c r="L528" s="258"/>
    </row>
    <row r="529" spans="1:12" ht="12.6" customHeight="1" x14ac:dyDescent="0.25">
      <c r="A529" s="180" t="s">
        <v>545</v>
      </c>
      <c r="B529" s="237">
        <v>30570767</v>
      </c>
      <c r="C529" s="237">
        <f>AJ71</f>
        <v>30626744.539999999</v>
      </c>
      <c r="D529" s="237">
        <v>2068</v>
      </c>
      <c r="E529" s="180">
        <f>AJ59</f>
        <v>20957.816666666666</v>
      </c>
      <c r="F529" s="260">
        <f t="shared" si="18"/>
        <v>14782.769342359768</v>
      </c>
      <c r="G529" s="260">
        <f t="shared" si="18"/>
        <v>1461.3518682369108</v>
      </c>
      <c r="H529" s="262">
        <f t="shared" si="16"/>
        <v>-0.9011449184930842</v>
      </c>
      <c r="I529" s="264"/>
      <c r="K529" s="258"/>
      <c r="L529" s="258"/>
    </row>
    <row r="530" spans="1:12" ht="12.6" customHeight="1" x14ac:dyDescent="0.25">
      <c r="A530" s="180" t="s">
        <v>546</v>
      </c>
      <c r="B530" s="237">
        <v>1082569</v>
      </c>
      <c r="C530" s="237">
        <f>AK71</f>
        <v>1149586.81</v>
      </c>
      <c r="D530" s="237">
        <v>57709</v>
      </c>
      <c r="E530" s="180">
        <f>AK59</f>
        <v>15228</v>
      </c>
      <c r="F530" s="260">
        <f t="shared" si="18"/>
        <v>18.759101699908161</v>
      </c>
      <c r="G530" s="260">
        <f t="shared" si="18"/>
        <v>75.491647622800102</v>
      </c>
      <c r="H530" s="262">
        <f t="shared" si="16"/>
        <v>3.0242677304302736</v>
      </c>
      <c r="I530" s="264"/>
      <c r="K530" s="258"/>
      <c r="L530" s="258"/>
    </row>
    <row r="531" spans="1:12" ht="12.6" customHeight="1" x14ac:dyDescent="0.25">
      <c r="A531" s="180" t="s">
        <v>547</v>
      </c>
      <c r="B531" s="237">
        <v>861285</v>
      </c>
      <c r="C531" s="237">
        <f>AL71</f>
        <v>797878.76</v>
      </c>
      <c r="D531" s="237">
        <v>38798</v>
      </c>
      <c r="E531" s="180">
        <f>AL59</f>
        <v>15859</v>
      </c>
      <c r="F531" s="260">
        <f t="shared" si="18"/>
        <v>22.199211299551525</v>
      </c>
      <c r="G531" s="260">
        <f t="shared" si="18"/>
        <v>50.310786304306703</v>
      </c>
      <c r="H531" s="262">
        <f t="shared" si="16"/>
        <v>1.26633215141851</v>
      </c>
      <c r="I531" s="264"/>
      <c r="K531" s="258"/>
      <c r="L531" s="258"/>
    </row>
    <row r="532" spans="1:12" ht="12.6" customHeight="1" x14ac:dyDescent="0.25">
      <c r="A532" s="180" t="s">
        <v>548</v>
      </c>
      <c r="B532" s="237">
        <v>0</v>
      </c>
      <c r="C532" s="237">
        <f>AM71</f>
        <v>0</v>
      </c>
      <c r="D532" s="237"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" customHeight="1" x14ac:dyDescent="0.25">
      <c r="A533" s="180" t="s">
        <v>1247</v>
      </c>
      <c r="B533" s="237">
        <v>0</v>
      </c>
      <c r="C533" s="237">
        <f>AN71</f>
        <v>0</v>
      </c>
      <c r="D533" s="237"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" customHeight="1" x14ac:dyDescent="0.25">
      <c r="A534" s="180" t="s">
        <v>549</v>
      </c>
      <c r="B534" s="237">
        <v>0</v>
      </c>
      <c r="C534" s="237">
        <f>AO71</f>
        <v>0</v>
      </c>
      <c r="D534" s="237"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" customHeight="1" x14ac:dyDescent="0.25">
      <c r="A535" s="180" t="s">
        <v>550</v>
      </c>
      <c r="B535" s="237">
        <v>5172651</v>
      </c>
      <c r="C535" s="237">
        <f>AP71</f>
        <v>7436089.6900000004</v>
      </c>
      <c r="D535" s="237">
        <v>17891</v>
      </c>
      <c r="E535" s="180">
        <f>AP59</f>
        <v>0</v>
      </c>
      <c r="F535" s="260">
        <f t="shared" si="18"/>
        <v>289.12028394164662</v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" customHeight="1" x14ac:dyDescent="0.25">
      <c r="A536" s="180" t="s">
        <v>551</v>
      </c>
      <c r="B536" s="237">
        <v>0</v>
      </c>
      <c r="C536" s="237">
        <f>AQ71</f>
        <v>0</v>
      </c>
      <c r="D536" s="237"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" customHeight="1" x14ac:dyDescent="0.25">
      <c r="A537" s="180" t="s">
        <v>552</v>
      </c>
      <c r="B537" s="237">
        <v>7603403</v>
      </c>
      <c r="C537" s="237">
        <f>AR71</f>
        <v>7747664.0099999998</v>
      </c>
      <c r="D537" s="237">
        <v>30333</v>
      </c>
      <c r="E537" s="180">
        <f>AR59</f>
        <v>30904</v>
      </c>
      <c r="F537" s="260">
        <f t="shared" si="18"/>
        <v>250.66439191639469</v>
      </c>
      <c r="G537" s="260">
        <f t="shared" si="18"/>
        <v>250.70100990163084</v>
      </c>
      <c r="H537" s="262" t="str">
        <f t="shared" si="16"/>
        <v/>
      </c>
      <c r="I537" s="264"/>
      <c r="K537" s="258"/>
      <c r="L537" s="258"/>
    </row>
    <row r="538" spans="1:12" ht="12.6" customHeight="1" x14ac:dyDescent="0.25">
      <c r="A538" s="180" t="s">
        <v>553</v>
      </c>
      <c r="B538" s="237">
        <v>0</v>
      </c>
      <c r="C538" s="237">
        <f>AS71</f>
        <v>0</v>
      </c>
      <c r="D538" s="237"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" customHeight="1" x14ac:dyDescent="0.25">
      <c r="A539" s="180" t="s">
        <v>554</v>
      </c>
      <c r="B539" s="237">
        <v>0</v>
      </c>
      <c r="C539" s="237">
        <f>AT71</f>
        <v>0</v>
      </c>
      <c r="D539" s="237"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" customHeight="1" x14ac:dyDescent="0.25">
      <c r="A540" s="180" t="s">
        <v>555</v>
      </c>
      <c r="B540" s="237">
        <v>0</v>
      </c>
      <c r="C540" s="237">
        <f>AU71</f>
        <v>0</v>
      </c>
      <c r="D540" s="237"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" customHeight="1" x14ac:dyDescent="0.25">
      <c r="A541" s="180" t="s">
        <v>556</v>
      </c>
      <c r="B541" s="237">
        <v>0</v>
      </c>
      <c r="C541" s="237">
        <f>AV71</f>
        <v>0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" customHeight="1" x14ac:dyDescent="0.25">
      <c r="A542" s="180" t="s">
        <v>1248</v>
      </c>
      <c r="B542" s="237"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" customHeight="1" x14ac:dyDescent="0.25">
      <c r="A543" s="180" t="s">
        <v>557</v>
      </c>
      <c r="B543" s="237"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" customHeight="1" x14ac:dyDescent="0.25">
      <c r="A544" s="180" t="s">
        <v>558</v>
      </c>
      <c r="B544" s="237">
        <v>3943542</v>
      </c>
      <c r="C544" s="237">
        <f>AY71</f>
        <v>2688408.0000000009</v>
      </c>
      <c r="D544" s="237">
        <v>579446</v>
      </c>
      <c r="E544" s="180">
        <f>AY59</f>
        <v>645376</v>
      </c>
      <c r="F544" s="260">
        <f t="shared" ref="F544:G550" si="19">IF(B544=0,"",IF(D544=0,"",B544/D544))</f>
        <v>6.8057109722044853</v>
      </c>
      <c r="G544" s="260">
        <f t="shared" si="19"/>
        <v>4.1656460729869114</v>
      </c>
      <c r="H544" s="262">
        <f t="shared" si="16"/>
        <v>-0.38791904475520389</v>
      </c>
      <c r="I544" s="264"/>
      <c r="K544" s="258"/>
      <c r="L544" s="258"/>
    </row>
    <row r="545" spans="1:13" ht="12.6" customHeight="1" x14ac:dyDescent="0.25">
      <c r="A545" s="180" t="s">
        <v>559</v>
      </c>
      <c r="B545" s="237">
        <v>0</v>
      </c>
      <c r="C545" s="237">
        <f>AZ71</f>
        <v>0</v>
      </c>
      <c r="D545" s="237"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" customHeight="1" x14ac:dyDescent="0.25">
      <c r="A546" s="180" t="s">
        <v>560</v>
      </c>
      <c r="B546" s="237">
        <v>666719</v>
      </c>
      <c r="C546" s="237">
        <f>BA71</f>
        <v>1014573.63</v>
      </c>
      <c r="D546" s="237"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" customHeight="1" x14ac:dyDescent="0.25">
      <c r="A547" s="180" t="s">
        <v>561</v>
      </c>
      <c r="B547" s="237">
        <v>2796775</v>
      </c>
      <c r="C547" s="237">
        <f>BB71</f>
        <v>3233653.89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" customHeight="1" x14ac:dyDescent="0.25">
      <c r="A548" s="180" t="s">
        <v>562</v>
      </c>
      <c r="B548" s="237"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" customHeight="1" x14ac:dyDescent="0.25">
      <c r="A549" s="180" t="s">
        <v>563</v>
      </c>
      <c r="B549" s="237">
        <v>-59422</v>
      </c>
      <c r="C549" s="237">
        <f>BD71</f>
        <v>-190299.25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" customHeight="1" x14ac:dyDescent="0.25">
      <c r="A550" s="180" t="s">
        <v>564</v>
      </c>
      <c r="B550" s="237">
        <v>2679232</v>
      </c>
      <c r="C550" s="237">
        <f>BE71</f>
        <v>3076220.5300000003</v>
      </c>
      <c r="D550" s="237">
        <v>459916</v>
      </c>
      <c r="E550" s="180">
        <f>BE59</f>
        <v>466442</v>
      </c>
      <c r="F550" s="260">
        <f t="shared" si="19"/>
        <v>5.8254811748232287</v>
      </c>
      <c r="G550" s="260">
        <f t="shared" si="19"/>
        <v>6.5950761938247418</v>
      </c>
      <c r="H550" s="262" t="str">
        <f t="shared" si="16"/>
        <v/>
      </c>
      <c r="I550" s="264"/>
      <c r="K550" s="258"/>
      <c r="L550" s="258"/>
    </row>
    <row r="551" spans="1:13" ht="12.6" customHeight="1" x14ac:dyDescent="0.25">
      <c r="A551" s="180" t="s">
        <v>565</v>
      </c>
      <c r="B551" s="237">
        <v>3253935</v>
      </c>
      <c r="C551" s="237">
        <f>BF71</f>
        <v>3383263.82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" customHeight="1" x14ac:dyDescent="0.25">
      <c r="A552" s="180" t="s">
        <v>566</v>
      </c>
      <c r="B552" s="237">
        <v>321177</v>
      </c>
      <c r="C552" s="237">
        <f>BG71</f>
        <v>335340.40000000002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" customHeight="1" x14ac:dyDescent="0.25">
      <c r="A553" s="180" t="s">
        <v>567</v>
      </c>
      <c r="B553" s="237">
        <v>4218821</v>
      </c>
      <c r="C553" s="237">
        <f>BH71</f>
        <v>1630748.06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" customHeight="1" x14ac:dyDescent="0.25">
      <c r="A554" s="180" t="s">
        <v>568</v>
      </c>
      <c r="B554" s="237">
        <v>2330</v>
      </c>
      <c r="C554" s="237">
        <f>BI71</f>
        <v>1599.62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" customHeight="1" x14ac:dyDescent="0.25">
      <c r="A555" s="180" t="s">
        <v>569</v>
      </c>
      <c r="B555" s="237">
        <v>101942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" customHeight="1" x14ac:dyDescent="0.25">
      <c r="A556" s="180" t="s">
        <v>570</v>
      </c>
      <c r="B556" s="237">
        <v>130573</v>
      </c>
      <c r="C556" s="237">
        <f>BK71</f>
        <v>2482.59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" customHeight="1" x14ac:dyDescent="0.25">
      <c r="A557" s="180" t="s">
        <v>571</v>
      </c>
      <c r="B557" s="237">
        <v>1734386</v>
      </c>
      <c r="C557" s="237">
        <f>BL71</f>
        <v>1703708.14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" customHeight="1" x14ac:dyDescent="0.25">
      <c r="A558" s="180" t="s">
        <v>572</v>
      </c>
      <c r="B558" s="237">
        <v>0</v>
      </c>
      <c r="C558" s="237">
        <f>BM71</f>
        <v>1646466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" customHeight="1" x14ac:dyDescent="0.25">
      <c r="A559" s="180" t="s">
        <v>573</v>
      </c>
      <c r="B559" s="237">
        <v>56337386</v>
      </c>
      <c r="C559" s="237">
        <f>BN71</f>
        <v>76975272.099999994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" customHeight="1" x14ac:dyDescent="0.25">
      <c r="A560" s="180" t="s">
        <v>574</v>
      </c>
      <c r="B560" s="237"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" customHeight="1" x14ac:dyDescent="0.25">
      <c r="A561" s="180" t="s">
        <v>575</v>
      </c>
      <c r="B561" s="237">
        <v>26718</v>
      </c>
      <c r="C561" s="237">
        <f>BP71</f>
        <v>2896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" customHeight="1" x14ac:dyDescent="0.25">
      <c r="A562" s="180" t="s">
        <v>576</v>
      </c>
      <c r="B562" s="237"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" customHeight="1" x14ac:dyDescent="0.25">
      <c r="A563" s="180" t="s">
        <v>577</v>
      </c>
      <c r="B563" s="237">
        <v>142649</v>
      </c>
      <c r="C563" s="237">
        <f>BR71</f>
        <v>90846.98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" customHeight="1" x14ac:dyDescent="0.25">
      <c r="A564" s="180" t="s">
        <v>1249</v>
      </c>
      <c r="B564" s="237"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" customHeight="1" x14ac:dyDescent="0.25">
      <c r="A565" s="180" t="s">
        <v>578</v>
      </c>
      <c r="B565" s="237">
        <v>523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" customHeight="1" x14ac:dyDescent="0.25">
      <c r="A566" s="180" t="s">
        <v>579</v>
      </c>
      <c r="B566" s="237"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" customHeight="1" x14ac:dyDescent="0.25">
      <c r="A567" s="180" t="s">
        <v>580</v>
      </c>
      <c r="B567" s="237">
        <v>2564122</v>
      </c>
      <c r="C567" s="237">
        <f>BV71</f>
        <v>45520.81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" customHeight="1" x14ac:dyDescent="0.25">
      <c r="A568" s="180" t="s">
        <v>581</v>
      </c>
      <c r="B568" s="237">
        <v>60374</v>
      </c>
      <c r="C568" s="237">
        <f>BW71</f>
        <v>-1993.6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" customHeight="1" x14ac:dyDescent="0.25">
      <c r="A569" s="180" t="s">
        <v>582</v>
      </c>
      <c r="B569" s="237">
        <v>377681</v>
      </c>
      <c r="C569" s="237">
        <f>BX71</f>
        <v>224785.82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" customHeight="1" x14ac:dyDescent="0.25">
      <c r="A570" s="180" t="s">
        <v>583</v>
      </c>
      <c r="B570" s="237">
        <v>367195</v>
      </c>
      <c r="C570" s="237">
        <f>BY71</f>
        <v>452931.02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" customHeight="1" x14ac:dyDescent="0.25">
      <c r="A571" s="180" t="s">
        <v>584</v>
      </c>
      <c r="B571" s="237">
        <v>128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" customHeight="1" x14ac:dyDescent="0.25">
      <c r="A572" s="180" t="s">
        <v>585</v>
      </c>
      <c r="B572" s="237">
        <v>6063121</v>
      </c>
      <c r="C572" s="237">
        <f>CA71</f>
        <v>7028928.8800000008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" customHeight="1" x14ac:dyDescent="0.25">
      <c r="A573" s="180" t="s">
        <v>586</v>
      </c>
      <c r="B573" s="237">
        <v>0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" customHeight="1" x14ac:dyDescent="0.25">
      <c r="A574" s="180" t="s">
        <v>587</v>
      </c>
      <c r="B574" s="237">
        <v>0</v>
      </c>
      <c r="C574" s="237">
        <f>CC71</f>
        <v>27788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" customHeight="1" x14ac:dyDescent="0.25">
      <c r="A575" s="180" t="s">
        <v>588</v>
      </c>
      <c r="B575" s="237">
        <v>11891850</v>
      </c>
      <c r="C575" s="237">
        <f>CD71</f>
        <v>0</v>
      </c>
      <c r="D575" s="181" t="s">
        <v>529</v>
      </c>
      <c r="E575" s="181" t="s">
        <v>529</v>
      </c>
      <c r="F575" s="260"/>
      <c r="G575" s="260"/>
      <c r="H575" s="262"/>
    </row>
    <row r="576" spans="1:13" ht="12.6" customHeight="1" x14ac:dyDescent="0.25">
      <c r="M576" s="262"/>
    </row>
    <row r="577" spans="13:13" ht="12.6" customHeight="1" x14ac:dyDescent="0.25">
      <c r="M577" s="262"/>
    </row>
    <row r="578" spans="13:13" ht="12.6" customHeight="1" x14ac:dyDescent="0.25">
      <c r="M578" s="262"/>
    </row>
    <row r="612" spans="1:14" ht="12.6" customHeight="1" x14ac:dyDescent="0.25">
      <c r="A612" s="196"/>
      <c r="C612" s="181" t="s">
        <v>589</v>
      </c>
      <c r="D612" s="180">
        <f>CE76-(BE76+CD76)</f>
        <v>285544</v>
      </c>
      <c r="E612" s="180">
        <f>SUM(C624:D647)+SUM(C668:D713)</f>
        <v>237805555.13366911</v>
      </c>
      <c r="F612" s="180">
        <f>CE64-(AX64+BD64+BE64+BG64+BJ64+BN64+BP64+BQ64+CB64+CC64+CD64)</f>
        <v>82686465.320000023</v>
      </c>
      <c r="G612" s="180">
        <f>CE77-(AX77+AY77+BD77+BE77+BG77+BJ77+BN77+BP77+BQ77+CB77+CC77+CD77)</f>
        <v>645376</v>
      </c>
      <c r="H612" s="197">
        <f>CE60-(AX60+AY60+AZ60+BD60+BE60+BG60+BJ60+BN60+BO60+BP60+BQ60+BR60+CB60+CC60+CD60)</f>
        <v>1277.28</v>
      </c>
      <c r="I612" s="180">
        <f>CE78-(AX78+AY78+AZ78+BD78+BE78+BF78+BG78+BJ78+BN78+BO78+BP78+BQ78+BR78+CB78+CC78+CD78)</f>
        <v>254977</v>
      </c>
      <c r="J612" s="180">
        <f>CE79-(AX79+AY79+AZ79+BA79+BD79+BE79+BF79+BG79+BJ79+BN79+BO79+BP79+BQ79+BR79+CB79+CC79+CD79)</f>
        <v>2155044</v>
      </c>
      <c r="K612" s="180">
        <f>CE75-(AW75+AX75+AY75+AZ75+BA75+BB75+BC75+BD75+BE75+BF75+BG75+BH75+BI75+BJ75+BK75+BL75+BM75+BN75+BO75+BP75+BQ75+BR75+BS75+BT75+BU75+BV75+BW75+BX75+CB75+CC75+CD75)</f>
        <v>794290459.85000014</v>
      </c>
      <c r="L612" s="197">
        <f>CE80-(AW80+AX80+AY80+AZ80+BA80+BB80+BC80+BD80+BE80+BF80+BG80+BH80+BI80+BJ80+BK80+BL80+BM80+BN80+BO80+BP80+BQ80+BR80+BS80+BT80+BU80+BV80+BW80+BX80+BY80+BZ80+CA80+CB80+CC80+CD80)</f>
        <v>453.43068729532104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3076220.5300000003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0</v>
      </c>
      <c r="D615" s="263">
        <f>SUM(C614:C615)</f>
        <v>3076220.5300000003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335340.40000000002</v>
      </c>
      <c r="D618" s="180">
        <f>(D615/D612)*BG76</f>
        <v>5084.9469439385884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76975272.099999994</v>
      </c>
      <c r="D619" s="180">
        <f>(D615/D612)*BN76</f>
        <v>63874.259386889593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27788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2896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77410255.706330821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-190299.25</v>
      </c>
      <c r="D624" s="180">
        <f>(D615/D612)*BD76</f>
        <v>61493.38380508784</v>
      </c>
      <c r="E624" s="180">
        <f>(E623/E612)*SUM(C624:D624)</f>
        <v>-41928.772576481664</v>
      </c>
      <c r="F624" s="180">
        <f>SUM(C624:E624)</f>
        <v>-170734.63877139383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2688408.0000000009</v>
      </c>
      <c r="D625" s="180">
        <f>(D615/D612)*AY76</f>
        <v>123762.43748297988</v>
      </c>
      <c r="E625" s="180">
        <f>(E623/E612)*SUM(C625:D625)</f>
        <v>915415.2540001811</v>
      </c>
      <c r="F625" s="180">
        <f>(F624/F612)*AY64</f>
        <v>-2772.706505479217</v>
      </c>
      <c r="G625" s="180">
        <f>SUM(C625:F625)</f>
        <v>3724812.9849776831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90846.98</v>
      </c>
      <c r="D626" s="180">
        <f>(D615/D612)*BR76</f>
        <v>16235.201365498839</v>
      </c>
      <c r="E626" s="180">
        <f>(E623/E612)*SUM(C626:D626)</f>
        <v>34857.297746621662</v>
      </c>
      <c r="F626" s="180">
        <f>(F624/F612)*BR64</f>
        <v>-174.89295485545432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141764.58615726503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3383263.82</v>
      </c>
      <c r="D629" s="180">
        <f>(D615/D612)*BF76</f>
        <v>33278.392181835377</v>
      </c>
      <c r="E629" s="180">
        <f>(E623/E612)*SUM(C629:D629)</f>
        <v>1112149.8239509542</v>
      </c>
      <c r="F629" s="180">
        <f>(F624/F612)*BF64</f>
        <v>-880.37037220579725</v>
      </c>
      <c r="G629" s="180">
        <f>(G625/G612)*BF77</f>
        <v>0</v>
      </c>
      <c r="H629" s="180">
        <f>(H628/H612)*BF60</f>
        <v>6705.9816920502581</v>
      </c>
      <c r="I629" s="180">
        <f>SUM(C629:H629)</f>
        <v>4534517.6474526348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1014573.63</v>
      </c>
      <c r="D630" s="180">
        <f>(D615/D612)*BA76</f>
        <v>75358.482781462764</v>
      </c>
      <c r="E630" s="180">
        <f>(E623/E612)*SUM(C630:D630)</f>
        <v>354793.74527449312</v>
      </c>
      <c r="F630" s="180">
        <f>(F624/F612)*BA64</f>
        <v>-420.54992525484681</v>
      </c>
      <c r="G630" s="180">
        <f>(G625/G612)*BA77</f>
        <v>0</v>
      </c>
      <c r="H630" s="180">
        <f>(H628/H612)*BA60</f>
        <v>1741.4242427717402</v>
      </c>
      <c r="I630" s="180">
        <f>(I629/I612)*BA78</f>
        <v>124399.26324308146</v>
      </c>
      <c r="J630" s="180">
        <f>SUM(C630:I630)</f>
        <v>1570445.995616554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3233653.89</v>
      </c>
      <c r="D632" s="180">
        <f>(D615/D612)*BB76</f>
        <v>38815.813218243078</v>
      </c>
      <c r="E632" s="180">
        <f>(E623/E612)*SUM(C632:D632)</f>
        <v>1065251.4672121664</v>
      </c>
      <c r="F632" s="180">
        <f>(F624/F612)*BB64</f>
        <v>-84.040961451003355</v>
      </c>
      <c r="G632" s="180">
        <f>(G625/G612)*BB77</f>
        <v>0</v>
      </c>
      <c r="H632" s="180">
        <f>(H628/H612)*BB60</f>
        <v>3279.7378186045203</v>
      </c>
      <c r="I632" s="180">
        <f>(I629/I612)*BB78</f>
        <v>64075.846385249817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1599.62</v>
      </c>
      <c r="D634" s="180">
        <f>(D615/D612)*BI76</f>
        <v>0</v>
      </c>
      <c r="E634" s="180">
        <f>(E623/E612)*SUM(C634:D634)</f>
        <v>520.70689922848305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2482.59</v>
      </c>
      <c r="D635" s="180">
        <f>(D615/D612)*BK76</f>
        <v>0</v>
      </c>
      <c r="E635" s="180">
        <f>(E623/E612)*SUM(C635:D635)</f>
        <v>808.13051909556009</v>
      </c>
      <c r="F635" s="180">
        <f>(F624/F612)*BK64</f>
        <v>-0.41078003402045876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1630748.06</v>
      </c>
      <c r="D636" s="180">
        <f>(D615/D612)*BH76</f>
        <v>49179.6245743213</v>
      </c>
      <c r="E636" s="180">
        <f>(E623/E612)*SUM(C636:D636)</f>
        <v>546848.58626597573</v>
      </c>
      <c r="F636" s="180">
        <f>(F624/F612)*BH64</f>
        <v>-22.063104238024955</v>
      </c>
      <c r="G636" s="180">
        <f>(G625/G612)*BH77</f>
        <v>0</v>
      </c>
      <c r="H636" s="180">
        <f>(H628/H612)*BH60</f>
        <v>0</v>
      </c>
      <c r="I636" s="180">
        <f>(I629/I612)*BH78</f>
        <v>81184.079586085325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1703708.14</v>
      </c>
      <c r="D637" s="180">
        <f>(D615/D612)*BL76</f>
        <v>25575.559417182645</v>
      </c>
      <c r="E637" s="180">
        <f>(E623/E612)*SUM(C637:D637)</f>
        <v>562914.91292299493</v>
      </c>
      <c r="F637" s="180">
        <f>(F624/F612)*BL64</f>
        <v>-48.357383235841915</v>
      </c>
      <c r="G637" s="180">
        <f>(G625/G612)*BL77</f>
        <v>0</v>
      </c>
      <c r="H637" s="180">
        <f>(H628/H612)*BL60</f>
        <v>3310.8148605405358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1646466</v>
      </c>
      <c r="D638" s="180">
        <f>(D615/D612)*BM76</f>
        <v>0</v>
      </c>
      <c r="E638" s="180">
        <f>(E623/E612)*SUM(C638:D638)</f>
        <v>535956.16805561539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45520.81</v>
      </c>
      <c r="D642" s="180">
        <f>(D615/D612)*BV76</f>
        <v>29497.001551914946</v>
      </c>
      <c r="E642" s="180">
        <f>(E623/E612)*SUM(C642:D642)</f>
        <v>24419.732211465413</v>
      </c>
      <c r="F642" s="180">
        <f>(F624/F612)*BV64</f>
        <v>-1.377271491364161</v>
      </c>
      <c r="G642" s="180">
        <f>(G625/G612)*BV77</f>
        <v>0</v>
      </c>
      <c r="H642" s="180">
        <f>(H628/H612)*BV60</f>
        <v>0</v>
      </c>
      <c r="I642" s="180">
        <f>(I629/I612)*BV78</f>
        <v>48692.663725454899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-1993.6</v>
      </c>
      <c r="D643" s="180">
        <f>(D615/D612)*BW76</f>
        <v>21794.16878726221</v>
      </c>
      <c r="E643" s="180">
        <f>(E623/E612)*SUM(C643:D643)</f>
        <v>6445.4637827581491</v>
      </c>
      <c r="F643" s="180">
        <f>(F624/F612)*BW64</f>
        <v>-0.21350485331112615</v>
      </c>
      <c r="G643" s="180">
        <f>(G625/G612)*BW77</f>
        <v>0</v>
      </c>
      <c r="H643" s="180">
        <f>(H628/H612)*BW60</f>
        <v>0</v>
      </c>
      <c r="I643" s="180">
        <f>(I629/I612)*BW78</f>
        <v>35977.084995104189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224785.82</v>
      </c>
      <c r="D644" s="180">
        <f>(D615/D612)*BX76</f>
        <v>6313.0909092118909</v>
      </c>
      <c r="E644" s="180">
        <f>(E623/E612)*SUM(C644:D644)</f>
        <v>75227.114761390316</v>
      </c>
      <c r="F644" s="180">
        <f>(F624/F612)*BX64</f>
        <v>-2.2207602010120819</v>
      </c>
      <c r="G644" s="180">
        <f>(G625/G612)*BX77</f>
        <v>0</v>
      </c>
      <c r="H644" s="180">
        <f>(H628/H612)*BX60</f>
        <v>3.3296830645731168</v>
      </c>
      <c r="I644" s="180">
        <f>(I629/I612)*BX78</f>
        <v>10421.439351028697</v>
      </c>
      <c r="J644" s="180">
        <f>(J630/J612)*BX79</f>
        <v>0</v>
      </c>
      <c r="K644" s="180">
        <f>SUM(C631:J644)</f>
        <v>11723325.183728453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452931.02</v>
      </c>
      <c r="D645" s="180">
        <f>(D615/D612)*BY76</f>
        <v>0</v>
      </c>
      <c r="E645" s="180">
        <f>(E623/E612)*SUM(C645:D645)</f>
        <v>147437.70832359814</v>
      </c>
      <c r="F645" s="180">
        <f>(F624/F612)*BY64</f>
        <v>-10.238610786628158</v>
      </c>
      <c r="G645" s="180">
        <f>(G625/G612)*BY77</f>
        <v>0</v>
      </c>
      <c r="H645" s="180">
        <f>(H628/H612)*BY60</f>
        <v>352.94640484475042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7028928.8800000008</v>
      </c>
      <c r="D647" s="180">
        <f>(D615/D612)*CA76</f>
        <v>39559.163513013758</v>
      </c>
      <c r="E647" s="180">
        <f>(E623/E612)*SUM(C647:D647)</f>
        <v>2300928.0275135776</v>
      </c>
      <c r="F647" s="180">
        <f>(F624/F612)*CA64</f>
        <v>-100.29212907719699</v>
      </c>
      <c r="G647" s="180">
        <f>(G625/G612)*CA77</f>
        <v>0</v>
      </c>
      <c r="H647" s="180">
        <f>(H628/H612)*CA60</f>
        <v>7921.3160106194464</v>
      </c>
      <c r="I647" s="180">
        <f>(I629/I612)*CA78</f>
        <v>65302.944192794152</v>
      </c>
      <c r="J647" s="180">
        <f>(J630/J612)*CA79</f>
        <v>0</v>
      </c>
      <c r="K647" s="180">
        <v>0</v>
      </c>
      <c r="L647" s="180">
        <f>SUM(C645:K647)</f>
        <v>10043251.475218587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103373141.44</v>
      </c>
      <c r="L648" s="263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8073596.7799999993</v>
      </c>
      <c r="D668" s="180">
        <f>(D615/D612)*C76</f>
        <v>164582.06453930045</v>
      </c>
      <c r="E668" s="180">
        <f>(E623/E612)*SUM(C668:D668)</f>
        <v>2681684.7510219589</v>
      </c>
      <c r="F668" s="180">
        <f>(F624/F612)*C64</f>
        <v>-992.59566746582004</v>
      </c>
      <c r="G668" s="180">
        <f>(G625/G612)*C77</f>
        <v>220016.85188221172</v>
      </c>
      <c r="H668" s="180">
        <f>(H628/H612)*C60</f>
        <v>6500.6512364015825</v>
      </c>
      <c r="I668" s="180">
        <f>(I629/I612)*C78</f>
        <v>271686.56820079417</v>
      </c>
      <c r="J668" s="180">
        <f>(J630/J612)*C79</f>
        <v>51362.373419311145</v>
      </c>
      <c r="K668" s="180">
        <f>(K644/K612)*C75</f>
        <v>462651.56609412521</v>
      </c>
      <c r="L668" s="180">
        <f>(L647/L612)*C80</f>
        <v>924060.80011909094</v>
      </c>
      <c r="M668" s="180">
        <f t="shared" ref="M668:M713" si="20">ROUND(SUM(D668:L668),0)</f>
        <v>4781553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9261270.9600000009</v>
      </c>
      <c r="D669" s="180">
        <f>(D615/D612)*D76</f>
        <v>250799.92554002188</v>
      </c>
      <c r="E669" s="180">
        <f>(E623/E612)*SUM(C669:D669)</f>
        <v>3096360.9707624787</v>
      </c>
      <c r="F669" s="180">
        <f>(F624/F612)*D64</f>
        <v>-1007.1928125804437</v>
      </c>
      <c r="G669" s="180">
        <f>(G625/G612)*D77</f>
        <v>663802.05622960615</v>
      </c>
      <c r="H669" s="180">
        <f>(H628/H612)*D60</f>
        <v>10118.906833237703</v>
      </c>
      <c r="I669" s="180">
        <f>(I629/I612)*D78</f>
        <v>414012.12984974071</v>
      </c>
      <c r="J669" s="180">
        <f>(J630/J612)*D79</f>
        <v>86049.209950422519</v>
      </c>
      <c r="K669" s="180">
        <f>(K644/K612)*D75</f>
        <v>704449.86020710261</v>
      </c>
      <c r="L669" s="180">
        <f>(L647/L612)*D80</f>
        <v>1263013.5316843612</v>
      </c>
      <c r="M669" s="180">
        <f t="shared" si="20"/>
        <v>6487599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22903877.770000003</v>
      </c>
      <c r="D670" s="180">
        <f>(D615/D612)*E76</f>
        <v>896652.8265762896</v>
      </c>
      <c r="E670" s="180">
        <f>(E623/E612)*SUM(C670:D670)</f>
        <v>7747527.8421974462</v>
      </c>
      <c r="F670" s="180">
        <f>(F624/F612)*E64</f>
        <v>-2231.8202273276825</v>
      </c>
      <c r="G670" s="180">
        <f>(G625/G612)*E77</f>
        <v>1704791.5241498337</v>
      </c>
      <c r="H670" s="180">
        <f>(H628/H612)*E60</f>
        <v>23163.495185880318</v>
      </c>
      <c r="I670" s="180">
        <f>(I629/I612)*E78</f>
        <v>1480164.5003176082</v>
      </c>
      <c r="J670" s="180">
        <f>(J630/J612)*E79</f>
        <v>193981.46396044173</v>
      </c>
      <c r="K670" s="180">
        <f>(K644/K612)*E75</f>
        <v>1466471.0946321646</v>
      </c>
      <c r="L670" s="180">
        <f>(L647/L612)*E80</f>
        <v>3022275.4913824904</v>
      </c>
      <c r="M670" s="180">
        <f t="shared" si="20"/>
        <v>16532796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140.26</v>
      </c>
      <c r="D675" s="180">
        <f>(D615/D612)*J76</f>
        <v>0</v>
      </c>
      <c r="E675" s="180">
        <f>(E623/E612)*SUM(C675:D675)</f>
        <v>45.657312165256137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62540.32963428479</v>
      </c>
      <c r="L675" s="180">
        <f>(L647/L612)*J80</f>
        <v>0</v>
      </c>
      <c r="M675" s="180">
        <f t="shared" si="20"/>
        <v>62586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3335141.83</v>
      </c>
      <c r="D676" s="180">
        <f>(D615/D612)*K76</f>
        <v>131853.10518403471</v>
      </c>
      <c r="E676" s="180">
        <f>(E623/E612)*SUM(C676:D676)</f>
        <v>1128573.1500859794</v>
      </c>
      <c r="F676" s="180">
        <f>(F624/F612)*K64</f>
        <v>-366.86282903814339</v>
      </c>
      <c r="G676" s="180">
        <f>(G625/G612)*K77</f>
        <v>345651.72063623142</v>
      </c>
      <c r="H676" s="180">
        <f>(H628/H612)*K60</f>
        <v>3971.202001680871</v>
      </c>
      <c r="I676" s="180">
        <f>(I629/I612)*K78</f>
        <v>217658.69661645088</v>
      </c>
      <c r="J676" s="180">
        <f>(J630/J612)*K79</f>
        <v>40222.272365694487</v>
      </c>
      <c r="K676" s="180">
        <f>(K644/K612)*K75</f>
        <v>77565.763915853808</v>
      </c>
      <c r="L676" s="180">
        <f>(L647/L612)*K80</f>
        <v>322989.39987494529</v>
      </c>
      <c r="M676" s="180">
        <f t="shared" si="20"/>
        <v>2268118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3621911.58</v>
      </c>
      <c r="D680" s="180">
        <f>(D615/D612)*O76</f>
        <v>36811.99938016558</v>
      </c>
      <c r="E680" s="180">
        <f>(E623/E612)*SUM(C680:D680)</f>
        <v>1190984.4901621528</v>
      </c>
      <c r="F680" s="180">
        <f>(F624/F612)*O64</f>
        <v>-491.50446394012948</v>
      </c>
      <c r="G680" s="180">
        <f>(G625/G612)*O77</f>
        <v>78036.983665155276</v>
      </c>
      <c r="H680" s="180">
        <f>(H628/H612)*O60</f>
        <v>3049.9896871489755</v>
      </c>
      <c r="I680" s="180">
        <f>(I629/I612)*O78</f>
        <v>60768.017512739003</v>
      </c>
      <c r="J680" s="180">
        <f>(J630/J612)*O79</f>
        <v>48882.503995260813</v>
      </c>
      <c r="K680" s="180">
        <f>(K644/K612)*O75</f>
        <v>178061.84461514841</v>
      </c>
      <c r="L680" s="180">
        <f>(L647/L612)*O80</f>
        <v>449849.90855572751</v>
      </c>
      <c r="M680" s="180">
        <f t="shared" si="20"/>
        <v>2045954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14461160.470000003</v>
      </c>
      <c r="D681" s="180">
        <f>(D615/D612)*P76</f>
        <v>126218.72541352648</v>
      </c>
      <c r="E681" s="180">
        <f>(E623/E612)*SUM(C681:D681)</f>
        <v>4748470.8797801118</v>
      </c>
      <c r="F681" s="180">
        <f>(F624/F612)*P64</f>
        <v>-9301.1820889609371</v>
      </c>
      <c r="G681" s="180">
        <f>(G625/G612)*P77</f>
        <v>0</v>
      </c>
      <c r="H681" s="180">
        <f>(H628/H612)*P60</f>
        <v>8203.2291767533025</v>
      </c>
      <c r="I681" s="180">
        <f>(I629/I612)*P78</f>
        <v>208357.65091578875</v>
      </c>
      <c r="J681" s="180">
        <f>(J630/J612)*P79</f>
        <v>0</v>
      </c>
      <c r="K681" s="180">
        <f>(K644/K612)*P75</f>
        <v>1960881.6772494551</v>
      </c>
      <c r="L681" s="180">
        <f>(L647/L612)*P80</f>
        <v>688587.95327419543</v>
      </c>
      <c r="M681" s="180">
        <f t="shared" si="20"/>
        <v>7731419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1788837.5100000002</v>
      </c>
      <c r="D682" s="180">
        <f>(D615/D612)*Q76</f>
        <v>44342.461061972943</v>
      </c>
      <c r="E682" s="180">
        <f>(E623/E612)*SUM(C682:D682)</f>
        <v>596735.1361319815</v>
      </c>
      <c r="F682" s="180">
        <f>(F624/F612)*Q64</f>
        <v>-135.42612845524729</v>
      </c>
      <c r="G682" s="180">
        <f>(G625/G612)*Q77</f>
        <v>0</v>
      </c>
      <c r="H682" s="180">
        <f>(H628/H612)*Q60</f>
        <v>1443.9725556698752</v>
      </c>
      <c r="I682" s="180">
        <f>(I629/I612)*Q78</f>
        <v>73199.051823949005</v>
      </c>
      <c r="J682" s="180">
        <f>(J630/J612)*Q79</f>
        <v>38882.865959169503</v>
      </c>
      <c r="K682" s="180">
        <f>(K644/K612)*Q75</f>
        <v>82033.547433826985</v>
      </c>
      <c r="L682" s="180">
        <f>(L647/L612)*Q80</f>
        <v>261507.47609129525</v>
      </c>
      <c r="M682" s="180">
        <f t="shared" si="20"/>
        <v>1098009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2909967.8500000006</v>
      </c>
      <c r="D683" s="180">
        <f>(D615/D612)*R76</f>
        <v>0</v>
      </c>
      <c r="E683" s="180">
        <f>(E623/E612)*SUM(C683:D683)</f>
        <v>947250.18193575705</v>
      </c>
      <c r="F683" s="180">
        <f>(F624/F612)*R64</f>
        <v>-1028.9973364240764</v>
      </c>
      <c r="G683" s="180">
        <f>(G625/G612)*R77</f>
        <v>0</v>
      </c>
      <c r="H683" s="180">
        <f>(H628/H612)*R60</f>
        <v>581.58464194543785</v>
      </c>
      <c r="I683" s="180">
        <f>(I629/I612)*R78</f>
        <v>0</v>
      </c>
      <c r="J683" s="180">
        <f>(J630/J612)*R79</f>
        <v>0</v>
      </c>
      <c r="K683" s="180">
        <f>(K644/K612)*R75</f>
        <v>73034.650656716025</v>
      </c>
      <c r="L683" s="180">
        <f>(L647/L612)*R80</f>
        <v>0</v>
      </c>
      <c r="M683" s="180">
        <f t="shared" si="20"/>
        <v>1019837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32902274.809999999</v>
      </c>
      <c r="D684" s="180">
        <f>(D615/D612)*S76</f>
        <v>61708.847658644561</v>
      </c>
      <c r="E684" s="180">
        <f>(E623/E612)*SUM(C684:D684)</f>
        <v>10730407.044546718</v>
      </c>
      <c r="F684" s="180">
        <f>(F624/F612)*S64</f>
        <v>-64862.071232701135</v>
      </c>
      <c r="G684" s="180">
        <f>(G625/G612)*S77</f>
        <v>0</v>
      </c>
      <c r="H684" s="180">
        <f>(H628/H612)*S60</f>
        <v>1805.7981153534872</v>
      </c>
      <c r="I684" s="180">
        <f>(I629/I612)*S78</f>
        <v>101866.90205237607</v>
      </c>
      <c r="J684" s="180">
        <f>(J630/J612)*S79</f>
        <v>0</v>
      </c>
      <c r="K684" s="180">
        <f>(K644/K612)*S75</f>
        <v>1267177.8323043557</v>
      </c>
      <c r="L684" s="180">
        <f>(L647/L612)*S80</f>
        <v>0</v>
      </c>
      <c r="M684" s="180">
        <f t="shared" si="20"/>
        <v>12098104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1251058.8700000001</v>
      </c>
      <c r="D685" s="180">
        <f>(D615/D612)*T76</f>
        <v>0</v>
      </c>
      <c r="E685" s="180">
        <f>(E623/E612)*SUM(C685:D685)</f>
        <v>407243.58594540576</v>
      </c>
      <c r="F685" s="180">
        <f>(F624/F612)*T64</f>
        <v>-1267.0004469104028</v>
      </c>
      <c r="G685" s="180">
        <f>(G625/G612)*T77</f>
        <v>0</v>
      </c>
      <c r="H685" s="180">
        <f>(H628/H612)*T60</f>
        <v>534.96907904141415</v>
      </c>
      <c r="I685" s="180">
        <f>(I629/I612)*T78</f>
        <v>0</v>
      </c>
      <c r="J685" s="180">
        <f>(J630/J612)*T79</f>
        <v>0</v>
      </c>
      <c r="K685" s="180">
        <f>(K644/K612)*T75</f>
        <v>37349.273572483668</v>
      </c>
      <c r="L685" s="180">
        <f>(L647/L612)*T80</f>
        <v>0</v>
      </c>
      <c r="M685" s="180">
        <f t="shared" si="20"/>
        <v>443861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10462837.950000001</v>
      </c>
      <c r="D686" s="180">
        <f>(D615/D612)*U76</f>
        <v>48640.964940429505</v>
      </c>
      <c r="E686" s="180">
        <f>(E623/E612)*SUM(C686:D686)</f>
        <v>3421687.3958216393</v>
      </c>
      <c r="F686" s="180">
        <f>(F624/F612)*U64</f>
        <v>-7727.2583596262766</v>
      </c>
      <c r="G686" s="180">
        <f>(G625/G612)*U77</f>
        <v>0</v>
      </c>
      <c r="H686" s="180">
        <f>(H628/H612)*U60</f>
        <v>6368.5738081735153</v>
      </c>
      <c r="I686" s="180">
        <f>(I629/I612)*U78</f>
        <v>80294.878276270581</v>
      </c>
      <c r="J686" s="180">
        <f>(J630/J612)*U79</f>
        <v>0</v>
      </c>
      <c r="K686" s="180">
        <f>(K644/K612)*U75</f>
        <v>399580.68357498932</v>
      </c>
      <c r="L686" s="180">
        <f>(L647/L612)*U80</f>
        <v>0</v>
      </c>
      <c r="M686" s="180">
        <f t="shared" si="20"/>
        <v>3948845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39327.71</v>
      </c>
      <c r="D687" s="180">
        <f>(D615/D612)*V76</f>
        <v>0</v>
      </c>
      <c r="E687" s="180">
        <f>(E623/E612)*SUM(C687:D687)</f>
        <v>12801.921661305189</v>
      </c>
      <c r="F687" s="180">
        <f>(F624/F612)*V64</f>
        <v>-3.6292727797127746</v>
      </c>
      <c r="G687" s="180">
        <f>(G625/G612)*V77</f>
        <v>0</v>
      </c>
      <c r="H687" s="180">
        <f>(H628/H612)*V60</f>
        <v>51.055140323454467</v>
      </c>
      <c r="I687" s="180">
        <f>(I629/I612)*V78</f>
        <v>0</v>
      </c>
      <c r="J687" s="180">
        <f>(J630/J612)*V79</f>
        <v>0</v>
      </c>
      <c r="K687" s="180">
        <f>(K644/K612)*V75</f>
        <v>20283.988974467622</v>
      </c>
      <c r="L687" s="180">
        <f>(L647/L612)*V80</f>
        <v>0</v>
      </c>
      <c r="M687" s="180">
        <f t="shared" si="20"/>
        <v>33133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1091167.0699999998</v>
      </c>
      <c r="D688" s="180">
        <f>(D615/D612)*W76</f>
        <v>12970.923984114534</v>
      </c>
      <c r="E688" s="180">
        <f>(E623/E612)*SUM(C688:D688)</f>
        <v>359418.03126231587</v>
      </c>
      <c r="F688" s="180">
        <f>(F624/F612)*W64</f>
        <v>-258.58157135317907</v>
      </c>
      <c r="G688" s="180">
        <f>(G625/G612)*W77</f>
        <v>0</v>
      </c>
      <c r="H688" s="180">
        <f>(H628/H612)*W60</f>
        <v>699.23344356035454</v>
      </c>
      <c r="I688" s="180">
        <f>(I629/I612)*W78</f>
        <v>21411.967540338825</v>
      </c>
      <c r="J688" s="180">
        <f>(J630/J612)*W79</f>
        <v>0</v>
      </c>
      <c r="K688" s="180">
        <f>(K644/K612)*W75</f>
        <v>115649.59565485895</v>
      </c>
      <c r="L688" s="180">
        <f>(L647/L612)*W80</f>
        <v>0</v>
      </c>
      <c r="M688" s="180">
        <f t="shared" si="20"/>
        <v>509891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1483553.29</v>
      </c>
      <c r="D689" s="180">
        <f>(D615/D612)*X76</f>
        <v>16159.789016753988</v>
      </c>
      <c r="E689" s="180">
        <f>(E623/E612)*SUM(C689:D689)</f>
        <v>488185.28594742186</v>
      </c>
      <c r="F689" s="180">
        <f>(F624/F612)*X64</f>
        <v>-376.04207169139369</v>
      </c>
      <c r="G689" s="180">
        <f>(G625/G612)*X77</f>
        <v>0</v>
      </c>
      <c r="H689" s="180">
        <f>(H628/H612)*X60</f>
        <v>1195.356220181749</v>
      </c>
      <c r="I689" s="180">
        <f>(I629/I612)*X78</f>
        <v>26676.039294442056</v>
      </c>
      <c r="J689" s="180">
        <f>(J630/J612)*X79</f>
        <v>0</v>
      </c>
      <c r="K689" s="180">
        <f>(K644/K612)*X75</f>
        <v>348784.20854947396</v>
      </c>
      <c r="L689" s="180">
        <f>(L647/L612)*X80</f>
        <v>0</v>
      </c>
      <c r="M689" s="180">
        <f t="shared" si="20"/>
        <v>880625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9743839.7699999977</v>
      </c>
      <c r="D690" s="180">
        <f>(D615/D612)*Y76</f>
        <v>84892.758301347611</v>
      </c>
      <c r="E690" s="180">
        <f>(E623/E612)*SUM(C690:D690)</f>
        <v>3199440.39094155</v>
      </c>
      <c r="F690" s="180">
        <f>(F624/F612)*Y64</f>
        <v>-1429.7809451921901</v>
      </c>
      <c r="G690" s="180">
        <f>(G625/G612)*Y77</f>
        <v>0</v>
      </c>
      <c r="H690" s="180">
        <f>(H628/H612)*Y60</f>
        <v>7689.3480904541857</v>
      </c>
      <c r="I690" s="180">
        <f>(I629/I612)*Y78</f>
        <v>140138.12642680228</v>
      </c>
      <c r="J690" s="180">
        <f>(J630/J612)*Y79</f>
        <v>40101.30312549691</v>
      </c>
      <c r="K690" s="180">
        <f>(K644/K612)*Y75</f>
        <v>660575.54870020144</v>
      </c>
      <c r="L690" s="180">
        <f>(L647/L612)*Y80</f>
        <v>228131.85182287643</v>
      </c>
      <c r="M690" s="180">
        <f t="shared" si="20"/>
        <v>4359540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18713189.32</v>
      </c>
      <c r="D693" s="180">
        <f>(D615/D612)*AB76</f>
        <v>78482.708658035204</v>
      </c>
      <c r="E693" s="180">
        <f>(E623/E612)*SUM(C693:D693)</f>
        <v>6117048.5948920017</v>
      </c>
      <c r="F693" s="180">
        <f>(F624/F612)*AB64</f>
        <v>-19857.180291044453</v>
      </c>
      <c r="G693" s="180">
        <f>(G625/G612)*AB77</f>
        <v>0</v>
      </c>
      <c r="H693" s="180">
        <f>(H628/H612)*AB60</f>
        <v>9470.7285300008025</v>
      </c>
      <c r="I693" s="180">
        <f>(I629/I612)*AB78</f>
        <v>129556.63084000692</v>
      </c>
      <c r="J693" s="180">
        <f>(J630/J612)*AB79</f>
        <v>0</v>
      </c>
      <c r="K693" s="180">
        <f>(K644/K612)*AB75</f>
        <v>423048.20313325035</v>
      </c>
      <c r="L693" s="180">
        <f>(L647/L612)*AB80</f>
        <v>0</v>
      </c>
      <c r="M693" s="180">
        <f t="shared" si="20"/>
        <v>6737750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2827320.54</v>
      </c>
      <c r="D694" s="180">
        <f>(D615/D612)*AC76</f>
        <v>27040.713621368341</v>
      </c>
      <c r="E694" s="180">
        <f>(E623/E612)*SUM(C694:D694)</f>
        <v>929149.17146016448</v>
      </c>
      <c r="F694" s="180">
        <f>(F624/F612)*AC64</f>
        <v>-437.2828209494881</v>
      </c>
      <c r="G694" s="180">
        <f>(G625/G612)*AC77</f>
        <v>0</v>
      </c>
      <c r="H694" s="180">
        <f>(H628/H612)*AC60</f>
        <v>2513.9107137527035</v>
      </c>
      <c r="I694" s="180">
        <f>(I629/I612)*AC78</f>
        <v>44637.905752699706</v>
      </c>
      <c r="J694" s="180">
        <f>(J630/J612)*AC79</f>
        <v>0</v>
      </c>
      <c r="K694" s="180">
        <f>(K644/K612)*AC75</f>
        <v>140323.49705757137</v>
      </c>
      <c r="L694" s="180">
        <f>(L647/L612)*AC80</f>
        <v>0</v>
      </c>
      <c r="M694" s="180">
        <f t="shared" si="20"/>
        <v>1143228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797640.22</v>
      </c>
      <c r="D695" s="180">
        <f>(D615/D612)*AD76</f>
        <v>0</v>
      </c>
      <c r="E695" s="180">
        <f>(E623/E612)*SUM(C695:D695)</f>
        <v>259647.14473195199</v>
      </c>
      <c r="F695" s="180">
        <f>(F624/F612)*AD64</f>
        <v>-50.2319310697875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23903.871154161472</v>
      </c>
      <c r="L695" s="180">
        <f>(L647/L612)*AD80</f>
        <v>0</v>
      </c>
      <c r="M695" s="180">
        <f t="shared" si="20"/>
        <v>283501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3573344.6999999997</v>
      </c>
      <c r="D696" s="180">
        <f>(D615/D612)*AE76</f>
        <v>100578.52684027681</v>
      </c>
      <c r="E696" s="180">
        <f>(E623/E612)*SUM(C696:D696)</f>
        <v>1195932.2660703813</v>
      </c>
      <c r="F696" s="180">
        <f>(F624/F612)*AE64</f>
        <v>-1089.6518765152944</v>
      </c>
      <c r="G696" s="180">
        <f>(G625/G612)*AE77</f>
        <v>0</v>
      </c>
      <c r="H696" s="180">
        <f>(H628/H612)*AE60</f>
        <v>3633.7941178041287</v>
      </c>
      <c r="I696" s="180">
        <f>(I629/I612)*AE78</f>
        <v>166031.66856860736</v>
      </c>
      <c r="J696" s="180">
        <f>(J630/J612)*AE79</f>
        <v>0</v>
      </c>
      <c r="K696" s="180">
        <f>(K644/K612)*AE75</f>
        <v>122048.59179176619</v>
      </c>
      <c r="L696" s="180">
        <f>(L647/L612)*AE80</f>
        <v>0</v>
      </c>
      <c r="M696" s="180">
        <f t="shared" si="20"/>
        <v>1587135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12179371.920000002</v>
      </c>
      <c r="D698" s="180">
        <f>(D615/D612)*AG76</f>
        <v>117341.61464698962</v>
      </c>
      <c r="E698" s="180">
        <f>(E623/E612)*SUM(C698:D698)</f>
        <v>4002815.4032376157</v>
      </c>
      <c r="F698" s="180">
        <f>(F624/F612)*AG64</f>
        <v>-1178.50807445537</v>
      </c>
      <c r="G698" s="180">
        <f>(G625/G612)*AG77</f>
        <v>712513.84841464495</v>
      </c>
      <c r="H698" s="180">
        <f>(H628/H612)*AG60</f>
        <v>5911.2973339721402</v>
      </c>
      <c r="I698" s="180">
        <f>(I629/I612)*AG78</f>
        <v>193703.6133300419</v>
      </c>
      <c r="J698" s="180">
        <f>(J630/J612)*AG79</f>
        <v>64999.833425681405</v>
      </c>
      <c r="K698" s="180">
        <f>(K644/K612)*AG75</f>
        <v>812090.69013834151</v>
      </c>
      <c r="L698" s="180">
        <f>(L647/L612)*AG80</f>
        <v>685134.17061952432</v>
      </c>
      <c r="M698" s="180">
        <f t="shared" si="20"/>
        <v>6593332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2663874.41</v>
      </c>
      <c r="D700" s="180">
        <f>(D615/D612)*AI76</f>
        <v>110220.53428694003</v>
      </c>
      <c r="E700" s="180">
        <f>(E623/E612)*SUM(C700:D700)</f>
        <v>903020.95285446791</v>
      </c>
      <c r="F700" s="180">
        <f>(F624/F612)*AI64</f>
        <v>-405.53553714497588</v>
      </c>
      <c r="G700" s="180">
        <f>(G625/G612)*AI77</f>
        <v>0</v>
      </c>
      <c r="H700" s="180">
        <f>(H628/H612)*AI60</f>
        <v>2527.2294460109961</v>
      </c>
      <c r="I700" s="180">
        <f>(I629/I612)*AI78</f>
        <v>181948.37201429112</v>
      </c>
      <c r="J700" s="180">
        <f>(J630/J612)*AI79</f>
        <v>73377.31767454496</v>
      </c>
      <c r="K700" s="180">
        <f>(K644/K612)*AI75</f>
        <v>34165.393631470011</v>
      </c>
      <c r="L700" s="180">
        <f>(L647/L612)*AI80</f>
        <v>331799.55989126302</v>
      </c>
      <c r="M700" s="180">
        <f t="shared" si="20"/>
        <v>1636654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30626744.539999999</v>
      </c>
      <c r="D701" s="180">
        <f>(D615/D612)*AJ76</f>
        <v>36574.989141253194</v>
      </c>
      <c r="E701" s="180">
        <f>(E623/E612)*SUM(C701:D701)</f>
        <v>9981496.8755525239</v>
      </c>
      <c r="F701" s="180">
        <f>(F624/F612)*AJ64</f>
        <v>-50845.600925299972</v>
      </c>
      <c r="G701" s="180">
        <f>(G625/G612)*AJ77</f>
        <v>0</v>
      </c>
      <c r="H701" s="180">
        <f>(H628/H612)*AJ60</f>
        <v>6921.301196892653</v>
      </c>
      <c r="I701" s="180">
        <f>(I629/I612)*AJ78</f>
        <v>60376.768936420522</v>
      </c>
      <c r="J701" s="180">
        <f>(J630/J612)*AJ79</f>
        <v>0</v>
      </c>
      <c r="K701" s="180">
        <f>(K644/K612)*AJ75</f>
        <v>2040512.3476413572</v>
      </c>
      <c r="L701" s="180">
        <f>(L647/L612)*AJ80</f>
        <v>494549.92412159342</v>
      </c>
      <c r="M701" s="180">
        <f t="shared" si="20"/>
        <v>12569587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1149586.81</v>
      </c>
      <c r="D702" s="180">
        <f>(D615/D612)*AK76</f>
        <v>0</v>
      </c>
      <c r="E702" s="180">
        <f>(E623/E612)*SUM(C702:D702)</f>
        <v>374212.4899845359</v>
      </c>
      <c r="F702" s="180">
        <f>(F624/F612)*AK64</f>
        <v>-57.616473400480402</v>
      </c>
      <c r="G702" s="180">
        <f>(G625/G612)*AK77</f>
        <v>0</v>
      </c>
      <c r="H702" s="180">
        <f>(H628/H612)*AK60</f>
        <v>1056.6194258245357</v>
      </c>
      <c r="I702" s="180">
        <f>(I629/I612)*AK78</f>
        <v>0</v>
      </c>
      <c r="J702" s="180">
        <f>(J630/J612)*AK79</f>
        <v>0</v>
      </c>
      <c r="K702" s="180">
        <f>(K644/K612)*AK75</f>
        <v>57695.206519235217</v>
      </c>
      <c r="L702" s="180">
        <f>(L647/L612)*AK80</f>
        <v>0</v>
      </c>
      <c r="M702" s="180">
        <f t="shared" si="20"/>
        <v>432907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797878.76</v>
      </c>
      <c r="D703" s="180">
        <f>(D615/D612)*AL76</f>
        <v>0</v>
      </c>
      <c r="E703" s="180">
        <f>(E623/E612)*SUM(C703:D703)</f>
        <v>259724.79406350697</v>
      </c>
      <c r="F703" s="180">
        <f>(F624/F612)*AL64</f>
        <v>-38.463642667782658</v>
      </c>
      <c r="G703" s="180">
        <f>(G625/G612)*AL77</f>
        <v>0</v>
      </c>
      <c r="H703" s="180">
        <f>(H628/H612)*AL60</f>
        <v>668.15640162433874</v>
      </c>
      <c r="I703" s="180">
        <f>(I629/I612)*AL78</f>
        <v>0</v>
      </c>
      <c r="J703" s="180">
        <f>(J630/J612)*AL79</f>
        <v>0</v>
      </c>
      <c r="K703" s="180">
        <f>(K644/K612)*AL75</f>
        <v>30906.761576975427</v>
      </c>
      <c r="L703" s="180">
        <f>(L647/L612)*AL80</f>
        <v>0</v>
      </c>
      <c r="M703" s="180">
        <f t="shared" si="20"/>
        <v>291261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7436089.6900000004</v>
      </c>
      <c r="D707" s="180">
        <f>(D615/D612)*AP76</f>
        <v>41993.905058204698</v>
      </c>
      <c r="E707" s="180">
        <f>(E623/E612)*SUM(C707:D707)</f>
        <v>2434259.2121592285</v>
      </c>
      <c r="F707" s="180">
        <f>(F624/F612)*AP64</f>
        <v>-35.775628953658639</v>
      </c>
      <c r="G707" s="180">
        <f>(G625/G612)*AP77</f>
        <v>0</v>
      </c>
      <c r="H707" s="180">
        <f>(H628/H612)*AP60</f>
        <v>3960.1030581322939</v>
      </c>
      <c r="I707" s="180">
        <f>(I629/I612)*AP78</f>
        <v>69322.134113156761</v>
      </c>
      <c r="J707" s="180">
        <f>(J630/J612)*AP79</f>
        <v>0</v>
      </c>
      <c r="K707" s="180">
        <f>(K644/K612)*AP75</f>
        <v>18.836951663514647</v>
      </c>
      <c r="L707" s="180">
        <f>(L647/L612)*AP80</f>
        <v>0</v>
      </c>
      <c r="M707" s="180">
        <f t="shared" si="20"/>
        <v>2549518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7747664.0099999998</v>
      </c>
      <c r="D709" s="180">
        <f>(D615/D612)*AR76</f>
        <v>98531.620231487977</v>
      </c>
      <c r="E709" s="180">
        <f>(E623/E612)*SUM(C709:D709)</f>
        <v>2554086.7189444439</v>
      </c>
      <c r="F709" s="180">
        <f>(F624/F612)*AR64</f>
        <v>-741.11185228205375</v>
      </c>
      <c r="G709" s="180">
        <f>(G625/G612)*AR77</f>
        <v>0</v>
      </c>
      <c r="H709" s="180">
        <f>(H628/H612)*AR60</f>
        <v>6408.5300049483931</v>
      </c>
      <c r="I709" s="180">
        <f>(I629/I612)*AR78</f>
        <v>162652.70359131135</v>
      </c>
      <c r="J709" s="180">
        <f>(J630/J612)*AR79</f>
        <v>0</v>
      </c>
      <c r="K709" s="180">
        <f>(K644/K612)*AR75</f>
        <v>130771.59864819757</v>
      </c>
      <c r="L709" s="180">
        <f>(L647/L612)*AR80</f>
        <v>499326.59415887663</v>
      </c>
      <c r="M709" s="180">
        <f t="shared" si="20"/>
        <v>3451037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932586.85174053069</v>
      </c>
      <c r="K713" s="180">
        <f>(K644/K612)*AV75</f>
        <v>-9251.2802850471762</v>
      </c>
      <c r="L713" s="180">
        <f>(L647/L612)*AV80</f>
        <v>872024.81362234859</v>
      </c>
      <c r="M713" s="180">
        <f t="shared" si="20"/>
        <v>1795360</v>
      </c>
      <c r="N713" s="199" t="s">
        <v>741</v>
      </c>
    </row>
    <row r="715" spans="1:15" ht="12.6" customHeight="1" x14ac:dyDescent="0.25">
      <c r="C715" s="180">
        <f>SUM(C614:C647)+SUM(C668:C713)</f>
        <v>315215810.83999997</v>
      </c>
      <c r="D715" s="180">
        <f>SUM(D616:D647)+SUM(D668:D713)</f>
        <v>3076220.5300000003</v>
      </c>
      <c r="E715" s="180">
        <f>SUM(E624:E647)+SUM(E668:E713)</f>
        <v>77410255.706330851</v>
      </c>
      <c r="F715" s="180">
        <f>SUM(F625:F648)+SUM(F668:F713)</f>
        <v>-170734.63877139377</v>
      </c>
      <c r="G715" s="180">
        <f>SUM(G626:G647)+SUM(G668:G713)</f>
        <v>3724812.9849776831</v>
      </c>
      <c r="H715" s="180">
        <f>SUM(H629:H647)+SUM(H668:H713)</f>
        <v>141764.58615726506</v>
      </c>
      <c r="I715" s="180">
        <f>SUM(I630:I647)+SUM(I668:I713)</f>
        <v>4534517.6474526348</v>
      </c>
      <c r="J715" s="180">
        <f>SUM(J631:J647)+SUM(J668:J713)</f>
        <v>1570445.9956165543</v>
      </c>
      <c r="K715" s="180">
        <f>SUM(K668:K713)</f>
        <v>11723325.183728451</v>
      </c>
      <c r="L715" s="180">
        <f>SUM(L668:L713)</f>
        <v>10043251.475218588</v>
      </c>
      <c r="M715" s="180">
        <f>SUM(M668:M713)</f>
        <v>103373140</v>
      </c>
      <c r="N715" s="198" t="s">
        <v>742</v>
      </c>
    </row>
    <row r="716" spans="1:15" ht="12.6" customHeight="1" x14ac:dyDescent="0.25">
      <c r="C716" s="180">
        <f>CE71</f>
        <v>315215810.84000003</v>
      </c>
      <c r="D716" s="180">
        <f>D615</f>
        <v>3076220.5300000003</v>
      </c>
      <c r="E716" s="180">
        <f>E623</f>
        <v>77410255.706330821</v>
      </c>
      <c r="F716" s="180">
        <f>F624</f>
        <v>-170734.63877139383</v>
      </c>
      <c r="G716" s="180">
        <f>G625</f>
        <v>3724812.9849776831</v>
      </c>
      <c r="H716" s="180">
        <f>H628</f>
        <v>141764.58615726503</v>
      </c>
      <c r="I716" s="180">
        <f>I629</f>
        <v>4534517.6474526348</v>
      </c>
      <c r="J716" s="180">
        <f>J630</f>
        <v>1570445.995616554</v>
      </c>
      <c r="K716" s="180">
        <f>K644</f>
        <v>11723325.183728453</v>
      </c>
      <c r="L716" s="180">
        <f>L647</f>
        <v>10043251.475218587</v>
      </c>
      <c r="M716" s="180">
        <f>C648</f>
        <v>103373141.44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Q12" sqref="Q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0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Confluence Health:Central Washington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H-168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1201 S Miller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1887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Wenatchee, WA  98801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F40" sqref="F40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H-168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Confluence Health:Central Washington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Peter Rutherford, M.D.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John Doyle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Frank Kunz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662-1511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665-6017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11387</v>
      </c>
      <c r="G23" s="21">
        <f>data!D111</f>
        <v>45730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191</v>
      </c>
      <c r="G24" s="21">
        <f>data!D112</f>
        <v>3974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26</v>
      </c>
      <c r="E30" s="49" t="s">
        <v>288</v>
      </c>
      <c r="F30" s="24"/>
      <c r="G30" s="21">
        <f>data!C123</f>
        <v>22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22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108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20</v>
      </c>
      <c r="E34" s="49" t="s">
        <v>291</v>
      </c>
      <c r="F34" s="24"/>
      <c r="G34" s="21">
        <f>data!E127</f>
        <v>198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176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2318507.71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Confluence Health:Central Washington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5566</v>
      </c>
      <c r="C7" s="48">
        <f>data!B139</f>
        <v>26733</v>
      </c>
      <c r="D7" s="48">
        <f>data!B140</f>
        <v>0</v>
      </c>
      <c r="E7" s="48">
        <f>data!B141</f>
        <v>257541818.66999999</v>
      </c>
      <c r="F7" s="48">
        <f>data!B142</f>
        <v>202261247.64999998</v>
      </c>
      <c r="G7" s="48">
        <f>data!B141+data!B142</f>
        <v>459803066.31999993</v>
      </c>
    </row>
    <row r="8" spans="1:13" ht="20.100000000000001" customHeight="1" x14ac:dyDescent="0.25">
      <c r="A8" s="23" t="s">
        <v>297</v>
      </c>
      <c r="B8" s="48">
        <f>data!C138</f>
        <v>2497</v>
      </c>
      <c r="C8" s="48">
        <f>data!C139</f>
        <v>9453</v>
      </c>
      <c r="D8" s="48">
        <f>data!C140</f>
        <v>0</v>
      </c>
      <c r="E8" s="48">
        <f>data!C141</f>
        <v>87520755.849999979</v>
      </c>
      <c r="F8" s="48">
        <f>data!C142</f>
        <v>79260333.700000018</v>
      </c>
      <c r="G8" s="48">
        <f>data!C141+data!C142</f>
        <v>166781089.55000001</v>
      </c>
    </row>
    <row r="9" spans="1:13" ht="20.100000000000001" customHeight="1" x14ac:dyDescent="0.25">
      <c r="A9" s="23" t="s">
        <v>1058</v>
      </c>
      <c r="B9" s="48">
        <f>data!D138</f>
        <v>3324</v>
      </c>
      <c r="C9" s="48">
        <f>data!D139</f>
        <v>9544</v>
      </c>
      <c r="D9" s="48">
        <f>data!D140</f>
        <v>0</v>
      </c>
      <c r="E9" s="48">
        <f>data!D141</f>
        <v>108995977.89999999</v>
      </c>
      <c r="F9" s="48">
        <f>data!D142</f>
        <v>134063170.47</v>
      </c>
      <c r="G9" s="48">
        <f>data!D141+data!D142</f>
        <v>243059148.37</v>
      </c>
    </row>
    <row r="10" spans="1:13" ht="20.100000000000001" customHeight="1" x14ac:dyDescent="0.25">
      <c r="A10" s="111" t="s">
        <v>203</v>
      </c>
      <c r="B10" s="48">
        <f>data!E138</f>
        <v>11387</v>
      </c>
      <c r="C10" s="48">
        <f>data!E139</f>
        <v>45730</v>
      </c>
      <c r="D10" s="48">
        <f>data!E140</f>
        <v>0</v>
      </c>
      <c r="E10" s="48">
        <f>data!E141</f>
        <v>454058552.41999996</v>
      </c>
      <c r="F10" s="48">
        <f>data!E142</f>
        <v>415584751.82000005</v>
      </c>
      <c r="G10" s="48">
        <f>data!E141+data!E142</f>
        <v>869643304.24000001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151</v>
      </c>
      <c r="C16" s="48">
        <f>data!B145</f>
        <v>3356</v>
      </c>
      <c r="D16" s="48">
        <f>data!B146</f>
        <v>0</v>
      </c>
      <c r="E16" s="48">
        <f>data!B147</f>
        <v>5099112.42</v>
      </c>
      <c r="F16" s="48">
        <f>data!B148</f>
        <v>0</v>
      </c>
      <c r="G16" s="48">
        <f>data!B147+data!B148</f>
        <v>5099112.42</v>
      </c>
    </row>
    <row r="17" spans="1:7" ht="20.100000000000001" customHeight="1" x14ac:dyDescent="0.25">
      <c r="A17" s="23" t="s">
        <v>297</v>
      </c>
      <c r="B17" s="48">
        <f>data!C144</f>
        <v>23</v>
      </c>
      <c r="C17" s="48">
        <f>data!C145</f>
        <v>373</v>
      </c>
      <c r="D17" s="48">
        <f>data!C146</f>
        <v>0</v>
      </c>
      <c r="E17" s="48">
        <f>data!C147</f>
        <v>471867.51</v>
      </c>
      <c r="F17" s="48">
        <f>data!C148</f>
        <v>0</v>
      </c>
      <c r="G17" s="48">
        <f>data!C147+data!C148</f>
        <v>471867.51</v>
      </c>
    </row>
    <row r="18" spans="1:7" ht="20.100000000000001" customHeight="1" x14ac:dyDescent="0.25">
      <c r="A18" s="23" t="s">
        <v>1058</v>
      </c>
      <c r="B18" s="48">
        <f>data!D144</f>
        <v>17</v>
      </c>
      <c r="C18" s="48">
        <f>data!D145</f>
        <v>245</v>
      </c>
      <c r="D18" s="48">
        <f>data!D146</f>
        <v>0</v>
      </c>
      <c r="E18" s="48">
        <f>data!D147</f>
        <v>539309.58000000007</v>
      </c>
      <c r="F18" s="48">
        <f>data!D148</f>
        <v>0</v>
      </c>
      <c r="G18" s="48">
        <f>data!D147+data!D148</f>
        <v>539309.58000000007</v>
      </c>
    </row>
    <row r="19" spans="1:7" ht="20.100000000000001" customHeight="1" x14ac:dyDescent="0.25">
      <c r="A19" s="111" t="s">
        <v>203</v>
      </c>
      <c r="B19" s="48">
        <f>data!E144</f>
        <v>191</v>
      </c>
      <c r="C19" s="48">
        <f>data!E145</f>
        <v>3974</v>
      </c>
      <c r="D19" s="48">
        <f>data!E146</f>
        <v>0</v>
      </c>
      <c r="E19" s="48">
        <f>data!E147</f>
        <v>6110289.5099999998</v>
      </c>
      <c r="F19" s="48">
        <f>data!E148</f>
        <v>0</v>
      </c>
      <c r="G19" s="48">
        <f>data!E147+data!E148</f>
        <v>6110289.5099999998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5725294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4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Confluence Health:Central Washington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7606648.3000000035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97321.540000000008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933020.51000000013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17107262.91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88869.95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4861105.8899999997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376294.31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31070523.410000004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1476698.47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0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1476698.47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2131772.42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263045.19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2394817.61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193085.15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2640011.38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6064436.5199999996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8897533.0499999989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5081962.8600000003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45881.68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5127844.54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C23" sqref="C23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Confluence Health:Central Washington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8276004</v>
      </c>
      <c r="D7" s="21">
        <f>data!C195</f>
        <v>0</v>
      </c>
      <c r="E7" s="21">
        <f>data!D195</f>
        <v>0</v>
      </c>
      <c r="F7" s="21">
        <f>data!E195</f>
        <v>8276004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4067025</v>
      </c>
      <c r="D8" s="21">
        <f>data!C196</f>
        <v>1062882</v>
      </c>
      <c r="E8" s="21">
        <f>data!D196</f>
        <v>0</v>
      </c>
      <c r="F8" s="21">
        <f>data!E196</f>
        <v>5129907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119518185</v>
      </c>
      <c r="D9" s="21">
        <f>data!C197</f>
        <v>4063844</v>
      </c>
      <c r="E9" s="21">
        <f>data!D197</f>
        <v>3923</v>
      </c>
      <c r="F9" s="21">
        <f>data!E197</f>
        <v>123578106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75073031</v>
      </c>
      <c r="D10" s="21">
        <f>data!C198</f>
        <v>3400501</v>
      </c>
      <c r="E10" s="21">
        <f>data!D198</f>
        <v>403407</v>
      </c>
      <c r="F10" s="21">
        <f>data!E198</f>
        <v>78070125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108396823</v>
      </c>
      <c r="D12" s="21">
        <f>data!C200</f>
        <v>8951264</v>
      </c>
      <c r="E12" s="21">
        <f>data!D200</f>
        <v>7806291</v>
      </c>
      <c r="F12" s="21">
        <f>data!E200</f>
        <v>109541796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7375821</v>
      </c>
      <c r="D15" s="21">
        <f>data!C203</f>
        <v>-4124250</v>
      </c>
      <c r="E15" s="21">
        <f>data!D203</f>
        <v>-142880</v>
      </c>
      <c r="F15" s="21">
        <f>data!E203</f>
        <v>3394451</v>
      </c>
      <c r="M15" s="266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322706889</v>
      </c>
      <c r="D16" s="21">
        <f>data!C204</f>
        <v>13354241</v>
      </c>
      <c r="E16" s="21">
        <f>data!D204</f>
        <v>8070741</v>
      </c>
      <c r="F16" s="21">
        <f>data!E204</f>
        <v>327990389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3201617</v>
      </c>
      <c r="D24" s="21">
        <f>data!C209</f>
        <v>233120</v>
      </c>
      <c r="E24" s="21">
        <f>data!D209</f>
        <v>0</v>
      </c>
      <c r="F24" s="21">
        <f>data!E209</f>
        <v>3434737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47354356</v>
      </c>
      <c r="D25" s="21">
        <f>data!C210</f>
        <v>3980899</v>
      </c>
      <c r="E25" s="21">
        <f>data!D210</f>
        <v>4070</v>
      </c>
      <c r="F25" s="21">
        <f>data!E210</f>
        <v>51331185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42427632</v>
      </c>
      <c r="D26" s="21">
        <f>data!C211</f>
        <v>3004122</v>
      </c>
      <c r="E26" s="21">
        <f>data!D211</f>
        <v>245656</v>
      </c>
      <c r="F26" s="21">
        <f>data!E211</f>
        <v>45186098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90175646</v>
      </c>
      <c r="D28" s="21">
        <f>data!C213</f>
        <v>6753352</v>
      </c>
      <c r="E28" s="21">
        <f>data!D213</f>
        <v>7604435</v>
      </c>
      <c r="F28" s="21">
        <f>data!E213</f>
        <v>89324563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183159251</v>
      </c>
      <c r="D32" s="21">
        <f>data!C217</f>
        <v>13971493</v>
      </c>
      <c r="E32" s="21">
        <f>data!D217</f>
        <v>7854161</v>
      </c>
      <c r="F32" s="21">
        <f>data!E217</f>
        <v>189276583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C29" sqref="C29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Confluence Health:Central Washington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18448591.690000001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111627254.02999999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308644038.39999992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4304355.79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49330081.349999964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473905729.56999987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6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7039240.2399999965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7039240.2399999965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10546159.370000001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509939720.86999989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3">
      <c r="A29" s="66"/>
      <c r="B29" s="67"/>
      <c r="C29" s="296" t="s">
        <v>1281</v>
      </c>
      <c r="D29" s="56"/>
    </row>
    <row r="30" spans="1:4" ht="20.100000000000001" customHeight="1" x14ac:dyDescent="0.25">
      <c r="A30" s="68"/>
      <c r="B30" s="38"/>
      <c r="C30" s="38" t="s">
        <v>1279</v>
      </c>
      <c r="D30" s="56"/>
    </row>
    <row r="31" spans="1:4" ht="20.100000000000001" customHeight="1" x14ac:dyDescent="0.25">
      <c r="A31" s="68"/>
      <c r="B31" s="38"/>
      <c r="C31" s="38" t="s">
        <v>1280</v>
      </c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41" zoomScale="75" workbookViewId="0">
      <selection activeCell="A53" sqref="A53:C103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Confluence Health:Central Washington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52909577.780000009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149719797.15000004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88062550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5768532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4163094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5324278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1183139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6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131005867.93000004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123807815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6851124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130658939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8276003.7400000002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5129906.5599999996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94359485.730000004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29218621.859999999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78070125.090000004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109541795.10999998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3394449.8200000003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327990387.90999997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189276581.75000003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138713806.15999994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630664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17953310.169999998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18583974.169999998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418962587.25999999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Confluence Health:Central Washington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5888997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5716870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8132520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6832391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3094516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29665294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114440616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4463493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118904109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3094516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115809593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273487700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273487700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418962587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Confluence Health:Central Washington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460168841.92999995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415584751.82000005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875753593.75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18448591.690000001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473905729.57000041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7039240.2399999965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10546159.370000001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509939720.87000042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365813872.87999958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13021191.719999969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13021191.719999969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378835064.59999955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103256900.64999999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31070523.410000004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97401757.75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89063236.470000029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1432616.6699999997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13292765.220000001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11177141.169999996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1476698.47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2394817.61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8897533.0499999989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5127844.54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1397035.9799999997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365988870.99000019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12846193.609999359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-2751093.5499999989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10095100.05999936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10095100.05999936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7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Confluence Health:Central Washington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4754</v>
      </c>
      <c r="D9" s="14">
        <f>data!D59</f>
        <v>12059</v>
      </c>
      <c r="E9" s="14">
        <f>data!E59</f>
        <v>28917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62.43</v>
      </c>
      <c r="D10" s="26">
        <f>data!D60</f>
        <v>95.89</v>
      </c>
      <c r="E10" s="26">
        <f>data!E60</f>
        <v>214.32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5507678.160000002</v>
      </c>
      <c r="D11" s="14">
        <f>data!D61</f>
        <v>7178478.0399999982</v>
      </c>
      <c r="E11" s="14">
        <f>data!E61</f>
        <v>16852518.229999997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1482302</v>
      </c>
      <c r="D12" s="14">
        <f>data!D62</f>
        <v>2020101</v>
      </c>
      <c r="E12" s="14">
        <f>data!E62</f>
        <v>4955181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132387.34</v>
      </c>
      <c r="D13" s="14">
        <f>data!D63</f>
        <v>3234.8</v>
      </c>
      <c r="E13" s="14">
        <f>data!E63</f>
        <v>661544.22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665562.29</v>
      </c>
      <c r="D14" s="14">
        <f>data!D64</f>
        <v>721149.87</v>
      </c>
      <c r="E14" s="14">
        <f>data!E64</f>
        <v>1200085.8500000001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9143.3100000000013</v>
      </c>
      <c r="D15" s="14">
        <f>data!D65</f>
        <v>13741.54</v>
      </c>
      <c r="E15" s="14">
        <f>data!E65</f>
        <v>46557.14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46539.42</v>
      </c>
      <c r="D16" s="14">
        <f>data!D66</f>
        <v>40654.01</v>
      </c>
      <c r="E16" s="14">
        <f>data!E66</f>
        <v>510354.9000000002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139627</v>
      </c>
      <c r="D17" s="14">
        <f>data!D67</f>
        <v>96284</v>
      </c>
      <c r="E17" s="14">
        <f>data!E67</f>
        <v>223171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32473.86</v>
      </c>
      <c r="D19" s="14">
        <f>data!D69</f>
        <v>7852.5100000000011</v>
      </c>
      <c r="E19" s="14">
        <f>data!E69</f>
        <v>21964.28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8015713.3800000018</v>
      </c>
      <c r="D21" s="14">
        <f>data!D71</f>
        <v>10081495.769999998</v>
      </c>
      <c r="E21" s="14">
        <f>data!E71</f>
        <v>24471376.619999997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33828603</v>
      </c>
      <c r="D24" s="14">
        <f>data!D73</f>
        <v>51556348.789999999</v>
      </c>
      <c r="E24" s="14">
        <f>data!E73</f>
        <v>99045535.50999999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149848.04</v>
      </c>
      <c r="D25" s="14">
        <f>data!D74</f>
        <v>2144347.0499999998</v>
      </c>
      <c r="E25" s="14">
        <f>data!E74</f>
        <v>6454181.3700000001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33978451.039999999</v>
      </c>
      <c r="D26" s="14">
        <f>data!D75</f>
        <v>53700695.839999996</v>
      </c>
      <c r="E26" s="14">
        <f>data!E75</f>
        <v>105499716.88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16056</v>
      </c>
      <c r="D28" s="14">
        <f>data!D76</f>
        <v>23415</v>
      </c>
      <c r="E28" s="14">
        <f>data!E76</f>
        <v>83230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60527.966535026047</v>
      </c>
      <c r="D29" s="14">
        <f>data!D77</f>
        <v>182616.80005789429</v>
      </c>
      <c r="E29" s="14">
        <f>data!E77</f>
        <v>469000.36868331814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212795</v>
      </c>
      <c r="D31" s="14">
        <f>data!D79</f>
        <v>171915</v>
      </c>
      <c r="E31" s="14">
        <f>data!E79</f>
        <v>573415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45.65</v>
      </c>
      <c r="D32" s="84">
        <f>data!D80</f>
        <v>61.535066810263309</v>
      </c>
      <c r="E32" s="84">
        <f>data!E80</f>
        <v>142.8379339873174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Confluence Health:Central Washington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3974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1282</v>
      </c>
      <c r="I41" s="14">
        <f>data!P59</f>
        <v>827514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25.55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27.11</v>
      </c>
      <c r="I42" s="26">
        <f>data!P60</f>
        <v>72.989999999999995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1852701.6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2578175.0099999998</v>
      </c>
      <c r="I43" s="14">
        <f>data!P61</f>
        <v>5908498.8700000001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527018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691006</v>
      </c>
      <c r="I44" s="14">
        <f>data!P62</f>
        <v>1633834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106334.08</v>
      </c>
      <c r="I45" s="14">
        <f>data!P63</f>
        <v>1016562.9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101375.06999999999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302439.8</v>
      </c>
      <c r="I46" s="14">
        <f>data!P64</f>
        <v>5159487.58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6806.25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7770.81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18909.8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76533.33</v>
      </c>
      <c r="I48" s="14">
        <f>data!P66</f>
        <v>602273.37999999989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41134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40713</v>
      </c>
      <c r="I49" s="14">
        <f>data!P67</f>
        <v>823350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324.60000000000002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44776.4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5154.4800000000005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30275.980000000003</v>
      </c>
      <c r="I51" s="14">
        <f>data!P69</f>
        <v>98804.63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2553423.7999999998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3825477.1999999997</v>
      </c>
      <c r="I53" s="14">
        <f>data!P71</f>
        <v>15295358.57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4464990</v>
      </c>
      <c r="D56" s="14">
        <f>data!K73</f>
        <v>3801302.3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11387262.4</v>
      </c>
      <c r="I56" s="14">
        <f>data!P73</f>
        <v>84836461.549999997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56840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1069426.05</v>
      </c>
      <c r="I57" s="14">
        <f>data!P74</f>
        <v>56280757.770000003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4464990</v>
      </c>
      <c r="D58" s="14">
        <f>data!K75</f>
        <v>3858142.3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12456688.450000001</v>
      </c>
      <c r="I58" s="14">
        <f>data!P75</f>
        <v>141117219.31999999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3417</v>
      </c>
      <c r="I60" s="14">
        <f>data!P76</f>
        <v>12690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95090.404763873958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21468.438642378631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45904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102565</v>
      </c>
      <c r="I63" s="14">
        <f>data!P79</f>
        <v>330690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10.935717379672072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20.246053706877383</v>
      </c>
      <c r="I64" s="26">
        <f>data!P80</f>
        <v>35.218692778002385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Confluence Health:Central Washington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410659</v>
      </c>
      <c r="D73" s="48">
        <f>data!R59</f>
        <v>826140</v>
      </c>
      <c r="E73" s="212"/>
      <c r="F73" s="212"/>
      <c r="G73" s="14">
        <f>data!U59</f>
        <v>484938</v>
      </c>
      <c r="H73" s="14">
        <f>data!V59</f>
        <v>2824</v>
      </c>
      <c r="I73" s="14">
        <f>data!W59</f>
        <v>4477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12.33</v>
      </c>
      <c r="D74" s="26">
        <f>data!R60</f>
        <v>5.38</v>
      </c>
      <c r="E74" s="26">
        <f>data!S60</f>
        <v>18.89</v>
      </c>
      <c r="F74" s="26">
        <f>data!T60</f>
        <v>4.28</v>
      </c>
      <c r="G74" s="26">
        <f>data!U60</f>
        <v>77.930000000000007</v>
      </c>
      <c r="H74" s="26">
        <f>data!V60</f>
        <v>0.31</v>
      </c>
      <c r="I74" s="26">
        <f>data!W60</f>
        <v>6.1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1476073.27</v>
      </c>
      <c r="D75" s="14">
        <f>data!R61</f>
        <v>448062.93</v>
      </c>
      <c r="E75" s="14">
        <f>data!S61</f>
        <v>807599.35000000009</v>
      </c>
      <c r="F75" s="14">
        <f>data!T61</f>
        <v>409237.63</v>
      </c>
      <c r="G75" s="14">
        <f>data!U61</f>
        <v>4705958.3499999996</v>
      </c>
      <c r="H75" s="14">
        <f>data!V61</f>
        <v>19817.46</v>
      </c>
      <c r="I75" s="14">
        <f>data!W61</f>
        <v>613304.21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324816</v>
      </c>
      <c r="D76" s="14">
        <f>data!R62</f>
        <v>113876</v>
      </c>
      <c r="E76" s="14">
        <f>data!S62</f>
        <v>298463</v>
      </c>
      <c r="F76" s="14">
        <f>data!T62</f>
        <v>101454</v>
      </c>
      <c r="G76" s="14">
        <f>data!U62</f>
        <v>1370557</v>
      </c>
      <c r="H76" s="14">
        <f>data!V62</f>
        <v>6255</v>
      </c>
      <c r="I76" s="14">
        <f>data!W62</f>
        <v>162014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1689367.46</v>
      </c>
      <c r="E77" s="14">
        <f>data!S63</f>
        <v>28578.75</v>
      </c>
      <c r="F77" s="14">
        <f>data!T63</f>
        <v>0</v>
      </c>
      <c r="G77" s="14">
        <f>data!U63</f>
        <v>14113.5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67087.83</v>
      </c>
      <c r="D78" s="14">
        <f>data!R64</f>
        <v>420187.30000000005</v>
      </c>
      <c r="E78" s="14">
        <f>data!S64</f>
        <v>28949205.84</v>
      </c>
      <c r="F78" s="14">
        <f>data!T64</f>
        <v>526181.07999999996</v>
      </c>
      <c r="G78" s="14">
        <f>data!U64</f>
        <v>5367820.8400000008</v>
      </c>
      <c r="H78" s="14">
        <f>data!V64</f>
        <v>813.16</v>
      </c>
      <c r="I78" s="14">
        <f>data!W64</f>
        <v>104422.82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2167.9</v>
      </c>
      <c r="D79" s="14">
        <f>data!R65</f>
        <v>0</v>
      </c>
      <c r="E79" s="14">
        <f>data!S65</f>
        <v>3056.93</v>
      </c>
      <c r="F79" s="14">
        <f>data!T65</f>
        <v>760</v>
      </c>
      <c r="G79" s="14">
        <f>data!U65</f>
        <v>3618.04</v>
      </c>
      <c r="H79" s="14">
        <f>data!V65</f>
        <v>0</v>
      </c>
      <c r="I79" s="14">
        <f>data!W65</f>
        <v>634.14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1239.1200000000001</v>
      </c>
      <c r="D80" s="14">
        <f>data!R66</f>
        <v>17427.48</v>
      </c>
      <c r="E80" s="14">
        <f>data!S66</f>
        <v>209739.05</v>
      </c>
      <c r="F80" s="14">
        <f>data!T66</f>
        <v>68040.52</v>
      </c>
      <c r="G80" s="14">
        <f>data!U66</f>
        <v>7102234.8400000008</v>
      </c>
      <c r="H80" s="14">
        <f>data!V66</f>
        <v>0</v>
      </c>
      <c r="I80" s="14">
        <f>data!W66</f>
        <v>172899.80000000002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1909</v>
      </c>
      <c r="D81" s="14">
        <f>data!R67</f>
        <v>12074</v>
      </c>
      <c r="E81" s="14">
        <f>data!S67</f>
        <v>139020</v>
      </c>
      <c r="F81" s="14">
        <f>data!T67</f>
        <v>0</v>
      </c>
      <c r="G81" s="14">
        <f>data!U67</f>
        <v>284477</v>
      </c>
      <c r="H81" s="14">
        <f>data!V67</f>
        <v>2839</v>
      </c>
      <c r="I81" s="14">
        <f>data!W67</f>
        <v>60126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885.6</v>
      </c>
      <c r="E82" s="14">
        <f>data!S68</f>
        <v>138318.62</v>
      </c>
      <c r="F82" s="14">
        <f>data!T68</f>
        <v>0</v>
      </c>
      <c r="G82" s="14">
        <f>data!U68</f>
        <v>1127.5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1542.82</v>
      </c>
      <c r="D83" s="14">
        <f>data!R69</f>
        <v>4090.1499999999996</v>
      </c>
      <c r="E83" s="14">
        <f>data!S69</f>
        <v>4239.63</v>
      </c>
      <c r="F83" s="14">
        <f>data!T69</f>
        <v>1322.4299999999998</v>
      </c>
      <c r="G83" s="14">
        <f>data!U69</f>
        <v>59894.619999999995</v>
      </c>
      <c r="H83" s="14">
        <f>data!V69</f>
        <v>0</v>
      </c>
      <c r="I83" s="14">
        <f>data!W69</f>
        <v>7656.92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1874835.9400000002</v>
      </c>
      <c r="D85" s="14">
        <f>data!R71</f>
        <v>2705970.9199999995</v>
      </c>
      <c r="E85" s="14">
        <f>data!S71</f>
        <v>30578221.170000002</v>
      </c>
      <c r="F85" s="14">
        <f>data!T71</f>
        <v>1106995.6599999999</v>
      </c>
      <c r="G85" s="14">
        <f>data!U71</f>
        <v>18909801.690000001</v>
      </c>
      <c r="H85" s="14">
        <f>data!V71</f>
        <v>29724.62</v>
      </c>
      <c r="I85" s="14">
        <f>data!W71</f>
        <v>1121057.8899999999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3676241</v>
      </c>
      <c r="D88" s="14">
        <f>data!R73</f>
        <v>2300624</v>
      </c>
      <c r="E88" s="14">
        <f>data!S73</f>
        <v>52991059.960000001</v>
      </c>
      <c r="F88" s="14">
        <f>data!T73</f>
        <v>0</v>
      </c>
      <c r="G88" s="14">
        <f>data!U73</f>
        <v>18225986.670000002</v>
      </c>
      <c r="H88" s="14">
        <f>data!V73</f>
        <v>1138582.3899999999</v>
      </c>
      <c r="I88" s="14">
        <f>data!W73</f>
        <v>2796514.58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2735987</v>
      </c>
      <c r="D89" s="14">
        <f>data!R74</f>
        <v>2886708</v>
      </c>
      <c r="E89" s="14">
        <f>data!S74</f>
        <v>24208537.729999997</v>
      </c>
      <c r="F89" s="14">
        <f>data!T74</f>
        <v>2099768.23</v>
      </c>
      <c r="G89" s="14">
        <f>data!U74</f>
        <v>24809021.250000004</v>
      </c>
      <c r="H89" s="14">
        <f>data!V74</f>
        <v>198091.3</v>
      </c>
      <c r="I89" s="14">
        <f>data!W74</f>
        <v>4418902.8600000003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6412228</v>
      </c>
      <c r="D90" s="14">
        <f>data!R75</f>
        <v>5187332</v>
      </c>
      <c r="E90" s="14">
        <f>data!S75</f>
        <v>77199597.689999998</v>
      </c>
      <c r="F90" s="14">
        <f>data!T75</f>
        <v>2099768.23</v>
      </c>
      <c r="G90" s="14">
        <f>data!U75</f>
        <v>43035007.920000002</v>
      </c>
      <c r="H90" s="14">
        <f>data!V75</f>
        <v>1336673.69</v>
      </c>
      <c r="I90" s="14">
        <f>data!W75</f>
        <v>7215417.4400000004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4116</v>
      </c>
      <c r="D92" s="14">
        <f>data!R76</f>
        <v>0</v>
      </c>
      <c r="E92" s="14">
        <f>data!S76</f>
        <v>5728</v>
      </c>
      <c r="F92" s="14">
        <f>data!T76</f>
        <v>0</v>
      </c>
      <c r="G92" s="14">
        <f>data!U76</f>
        <v>13833</v>
      </c>
      <c r="H92" s="14">
        <f>data!V76</f>
        <v>866</v>
      </c>
      <c r="I92" s="14">
        <f>data!W76</f>
        <v>729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52925</v>
      </c>
      <c r="D95" s="14">
        <f>data!R79</f>
        <v>0</v>
      </c>
      <c r="E95" s="14">
        <f>data!S79</f>
        <v>14600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12.330092603127181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Confluence Health:Central Washington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14169</v>
      </c>
      <c r="D105" s="14">
        <f>data!Y59</f>
        <v>120995</v>
      </c>
      <c r="E105" s="14">
        <f>data!Z59</f>
        <v>0</v>
      </c>
      <c r="F105" s="14">
        <f>data!AA59</f>
        <v>0</v>
      </c>
      <c r="G105" s="212"/>
      <c r="H105" s="14">
        <f>data!AC59</f>
        <v>15041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10.36</v>
      </c>
      <c r="D106" s="26">
        <f>data!Y60</f>
        <v>73.12</v>
      </c>
      <c r="E106" s="26">
        <f>data!Z60</f>
        <v>0</v>
      </c>
      <c r="F106" s="26">
        <f>data!AA60</f>
        <v>0</v>
      </c>
      <c r="G106" s="26">
        <f>data!AB60</f>
        <v>93.98</v>
      </c>
      <c r="H106" s="26">
        <f>data!AC60</f>
        <v>22.07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819936.68</v>
      </c>
      <c r="D107" s="14">
        <f>data!Y61</f>
        <v>5532653.3499999996</v>
      </c>
      <c r="E107" s="14">
        <f>data!Z61</f>
        <v>0</v>
      </c>
      <c r="F107" s="14">
        <f>data!AA61</f>
        <v>0</v>
      </c>
      <c r="G107" s="14">
        <f>data!AB61</f>
        <v>7160753.6500000004</v>
      </c>
      <c r="H107" s="14">
        <f>data!AC61</f>
        <v>1775317.0199999998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186889</v>
      </c>
      <c r="D108" s="14">
        <f>data!Y62</f>
        <v>1534182</v>
      </c>
      <c r="E108" s="14">
        <f>data!Z62</f>
        <v>0</v>
      </c>
      <c r="F108" s="14">
        <f>data!AA62</f>
        <v>0</v>
      </c>
      <c r="G108" s="14">
        <f>data!AB62</f>
        <v>1868576</v>
      </c>
      <c r="H108" s="14">
        <f>data!AC62</f>
        <v>468792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585599.30000000005</v>
      </c>
      <c r="E109" s="14">
        <f>data!Z63</f>
        <v>0</v>
      </c>
      <c r="F109" s="14">
        <f>data!AA63</f>
        <v>0</v>
      </c>
      <c r="G109" s="14">
        <f>data!AB63</f>
        <v>112629.3</v>
      </c>
      <c r="H109" s="14">
        <f>data!AC63</f>
        <v>188081.86</v>
      </c>
      <c r="I109" s="14">
        <f>data!AD63</f>
        <v>749671.61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220017.97000000003</v>
      </c>
      <c r="D110" s="14">
        <f>data!Y64</f>
        <v>876622.07000000007</v>
      </c>
      <c r="E110" s="14">
        <f>data!Z64</f>
        <v>0</v>
      </c>
      <c r="F110" s="14">
        <f>data!AA64</f>
        <v>0</v>
      </c>
      <c r="G110" s="14">
        <f>data!AB64</f>
        <v>9848457.450000003</v>
      </c>
      <c r="H110" s="14">
        <f>data!AC64</f>
        <v>210031.41</v>
      </c>
      <c r="I110" s="14">
        <f>data!AD64</f>
        <v>17114.89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790.05</v>
      </c>
      <c r="D111" s="14">
        <f>data!Y65</f>
        <v>6310.41</v>
      </c>
      <c r="E111" s="14">
        <f>data!Z65</f>
        <v>0</v>
      </c>
      <c r="F111" s="14">
        <f>data!AA65</f>
        <v>0</v>
      </c>
      <c r="G111" s="14">
        <f>data!AB65</f>
        <v>5532.91</v>
      </c>
      <c r="H111" s="14">
        <f>data!AC65</f>
        <v>2282.0100000000002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258415.55</v>
      </c>
      <c r="D112" s="14">
        <f>data!Y66</f>
        <v>842937.76</v>
      </c>
      <c r="E112" s="14">
        <f>data!Z66</f>
        <v>0</v>
      </c>
      <c r="F112" s="14">
        <f>data!AA66</f>
        <v>0</v>
      </c>
      <c r="G112" s="14">
        <f>data!AB66</f>
        <v>436593.89999999997</v>
      </c>
      <c r="H112" s="14">
        <f>data!AC66</f>
        <v>8835.3599999999988</v>
      </c>
      <c r="I112" s="14">
        <f>data!AD66</f>
        <v>844.16000000000008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114400</v>
      </c>
      <c r="D113" s="14">
        <f>data!Y67</f>
        <v>1225195</v>
      </c>
      <c r="E113" s="14">
        <f>data!Z67</f>
        <v>0</v>
      </c>
      <c r="F113" s="14">
        <f>data!AA67</f>
        <v>0</v>
      </c>
      <c r="G113" s="14">
        <f>data!AB67</f>
        <v>254393</v>
      </c>
      <c r="H113" s="14">
        <f>data!AC67</f>
        <v>26197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53336.299999999996</v>
      </c>
      <c r="H114" s="14">
        <f>data!AC68</f>
        <v>2301.4499999999998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795.04</v>
      </c>
      <c r="D115" s="14">
        <f>data!Y69</f>
        <v>92594.070000000036</v>
      </c>
      <c r="E115" s="14">
        <f>data!Z69</f>
        <v>0</v>
      </c>
      <c r="F115" s="14">
        <f>data!AA69</f>
        <v>0</v>
      </c>
      <c r="G115" s="14">
        <f>data!AB69</f>
        <v>180890.09000000005</v>
      </c>
      <c r="H115" s="14">
        <f>data!AC69</f>
        <v>8714.64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1601244.2900000003</v>
      </c>
      <c r="D117" s="14">
        <f>data!Y71</f>
        <v>10696093.959999999</v>
      </c>
      <c r="E117" s="14">
        <f>data!Z71</f>
        <v>0</v>
      </c>
      <c r="F117" s="14">
        <f>data!AA71</f>
        <v>0</v>
      </c>
      <c r="G117" s="14">
        <f>data!AB71</f>
        <v>19921162.600000005</v>
      </c>
      <c r="H117" s="14">
        <f>data!AC71</f>
        <v>2690552.7499999995</v>
      </c>
      <c r="I117" s="14">
        <f>data!AD71</f>
        <v>767630.66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10594375.67</v>
      </c>
      <c r="D120" s="14">
        <f>data!Y73</f>
        <v>24148750.59</v>
      </c>
      <c r="E120" s="14">
        <f>data!Z73</f>
        <v>0</v>
      </c>
      <c r="F120" s="14">
        <f>data!AA73</f>
        <v>0</v>
      </c>
      <c r="G120" s="14">
        <f>data!AB73</f>
        <v>21942358.989999998</v>
      </c>
      <c r="H120" s="14">
        <f>data!AC73</f>
        <v>9178155.5199999996</v>
      </c>
      <c r="I120" s="14">
        <f>data!AD73</f>
        <v>1448011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14370565.170000002</v>
      </c>
      <c r="D121" s="14">
        <f>data!Y74</f>
        <v>26607410.260000005</v>
      </c>
      <c r="E121" s="14">
        <f>data!Z74</f>
        <v>0</v>
      </c>
      <c r="F121" s="14">
        <f>data!AA74</f>
        <v>0</v>
      </c>
      <c r="G121" s="14">
        <f>data!AB74</f>
        <v>9601938.6699999999</v>
      </c>
      <c r="H121" s="14">
        <f>data!AC74</f>
        <v>1314571.3400000001</v>
      </c>
      <c r="I121" s="14">
        <f>data!AD74</f>
        <v>212459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24964940.840000004</v>
      </c>
      <c r="D122" s="14">
        <f>data!Y75</f>
        <v>50756160.850000009</v>
      </c>
      <c r="E122" s="14">
        <f>data!Z75</f>
        <v>0</v>
      </c>
      <c r="F122" s="14">
        <f>data!AA75</f>
        <v>0</v>
      </c>
      <c r="G122" s="14">
        <f>data!AB75</f>
        <v>31544297.659999996</v>
      </c>
      <c r="H122" s="14">
        <f>data!AC75</f>
        <v>10492726.859999999</v>
      </c>
      <c r="I122" s="14">
        <f>data!AD75</f>
        <v>1660470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1500</v>
      </c>
      <c r="D124" s="14">
        <f>data!Y76</f>
        <v>9572</v>
      </c>
      <c r="E124" s="14">
        <f>data!Z76</f>
        <v>0</v>
      </c>
      <c r="F124" s="14">
        <f>data!AA76</f>
        <v>0</v>
      </c>
      <c r="G124" s="14">
        <f>data!AB76</f>
        <v>8764</v>
      </c>
      <c r="H124" s="14">
        <f>data!AC76</f>
        <v>2510</v>
      </c>
      <c r="I124" s="14">
        <f>data!AD76</f>
        <v>2170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51100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10.79541438824587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Confluence Health:Central Washington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38602</v>
      </c>
      <c r="D137" s="14">
        <f>data!AF59</f>
        <v>0</v>
      </c>
      <c r="E137" s="14">
        <f>data!AG59</f>
        <v>37235</v>
      </c>
      <c r="F137" s="14">
        <f>data!AH59</f>
        <v>0</v>
      </c>
      <c r="G137" s="14">
        <f>data!AI59</f>
        <v>5758</v>
      </c>
      <c r="H137" s="14">
        <f>data!AJ59</f>
        <v>43734</v>
      </c>
      <c r="I137" s="14">
        <f>data!AK59</f>
        <v>9605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34.15</v>
      </c>
      <c r="D138" s="26">
        <f>data!AF60</f>
        <v>0</v>
      </c>
      <c r="E138" s="26">
        <f>data!AG60</f>
        <v>54.32</v>
      </c>
      <c r="F138" s="26">
        <f>data!AH60</f>
        <v>0</v>
      </c>
      <c r="G138" s="26">
        <f>data!AI60</f>
        <v>23.77</v>
      </c>
      <c r="H138" s="26">
        <f>data!AJ60</f>
        <v>67.400000000000006</v>
      </c>
      <c r="I138" s="26">
        <f>data!AK60</f>
        <v>8.98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2334128.1800000006</v>
      </c>
      <c r="D139" s="14">
        <f>data!AF61</f>
        <v>0</v>
      </c>
      <c r="E139" s="14">
        <f>data!AG61</f>
        <v>4392280.1300000008</v>
      </c>
      <c r="F139" s="14">
        <f>data!AH61</f>
        <v>0</v>
      </c>
      <c r="G139" s="14">
        <f>data!AI61</f>
        <v>1983736.7799999996</v>
      </c>
      <c r="H139" s="14">
        <f>data!AJ61</f>
        <v>5056932.9099999992</v>
      </c>
      <c r="I139" s="14">
        <f>data!AK61</f>
        <v>829642.75999999978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693482</v>
      </c>
      <c r="D140" s="14">
        <f>data!AF62</f>
        <v>0</v>
      </c>
      <c r="E140" s="14">
        <f>data!AG62</f>
        <v>1064729</v>
      </c>
      <c r="F140" s="14">
        <f>data!AH62</f>
        <v>0</v>
      </c>
      <c r="G140" s="14">
        <f>data!AI62</f>
        <v>546264</v>
      </c>
      <c r="H140" s="14">
        <f>data!AJ62</f>
        <v>1332361</v>
      </c>
      <c r="I140" s="14">
        <f>data!AK62</f>
        <v>214016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58905.7</v>
      </c>
      <c r="D141" s="14">
        <f>data!AF63</f>
        <v>0</v>
      </c>
      <c r="E141" s="14">
        <f>data!AG63</f>
        <v>6435816.2800000012</v>
      </c>
      <c r="F141" s="14">
        <f>data!AH63</f>
        <v>0</v>
      </c>
      <c r="G141" s="14">
        <f>data!AI63</f>
        <v>0</v>
      </c>
      <c r="H141" s="14">
        <f>data!AJ63</f>
        <v>107144.39000000001</v>
      </c>
      <c r="I141" s="14">
        <f>data!AK63</f>
        <v>86056.7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509843.49000000005</v>
      </c>
      <c r="D142" s="14">
        <f>data!AF64</f>
        <v>0</v>
      </c>
      <c r="E142" s="14">
        <f>data!AG64</f>
        <v>693288.03</v>
      </c>
      <c r="F142" s="14">
        <f>data!AH64</f>
        <v>0</v>
      </c>
      <c r="G142" s="14">
        <f>data!AI64</f>
        <v>245447.14</v>
      </c>
      <c r="H142" s="14">
        <f>data!AJ64</f>
        <v>29036795.91</v>
      </c>
      <c r="I142" s="14">
        <f>data!AK64</f>
        <v>6368.08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7253.77</v>
      </c>
      <c r="D143" s="14">
        <f>data!AF65</f>
        <v>0</v>
      </c>
      <c r="E143" s="14">
        <f>data!AG65</f>
        <v>7216.7900000000009</v>
      </c>
      <c r="F143" s="14">
        <f>data!AH65</f>
        <v>0</v>
      </c>
      <c r="G143" s="14">
        <f>data!AI65</f>
        <v>7022.65</v>
      </c>
      <c r="H143" s="14">
        <f>data!AJ65</f>
        <v>26862.23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26911.63</v>
      </c>
      <c r="D144" s="14">
        <f>data!AF66</f>
        <v>0</v>
      </c>
      <c r="E144" s="14">
        <f>data!AG66</f>
        <v>103932.71999999999</v>
      </c>
      <c r="F144" s="14">
        <f>data!AH66</f>
        <v>0</v>
      </c>
      <c r="G144" s="14">
        <f>data!AI66</f>
        <v>17160.900000000001</v>
      </c>
      <c r="H144" s="14">
        <f>data!AJ66</f>
        <v>161663.21000000002</v>
      </c>
      <c r="I144" s="14">
        <f>data!AK66</f>
        <v>1932.82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7254</v>
      </c>
      <c r="D145" s="14">
        <f>data!AF67</f>
        <v>0</v>
      </c>
      <c r="E145" s="14">
        <f>data!AG67</f>
        <v>41477</v>
      </c>
      <c r="F145" s="14">
        <f>data!AH67</f>
        <v>0</v>
      </c>
      <c r="G145" s="14">
        <f>data!AI67</f>
        <v>13908</v>
      </c>
      <c r="H145" s="14">
        <f>data!AJ67</f>
        <v>300392</v>
      </c>
      <c r="I145" s="14">
        <f>data!AK67</f>
        <v>11397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3638.02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317403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29285.84</v>
      </c>
      <c r="D147" s="14">
        <f>data!AF69</f>
        <v>0</v>
      </c>
      <c r="E147" s="14">
        <f>data!AG69</f>
        <v>58977.11</v>
      </c>
      <c r="F147" s="14">
        <f>data!AH69</f>
        <v>0</v>
      </c>
      <c r="G147" s="14">
        <f>data!AI69</f>
        <v>3568.2299999999996</v>
      </c>
      <c r="H147" s="14">
        <f>data!AJ69</f>
        <v>207829.82999999996</v>
      </c>
      <c r="I147" s="14">
        <f>data!AK69</f>
        <v>26000.87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3670702.6300000008</v>
      </c>
      <c r="D149" s="14">
        <f>data!AF71</f>
        <v>0</v>
      </c>
      <c r="E149" s="14">
        <f>data!AG71</f>
        <v>12797717.060000001</v>
      </c>
      <c r="F149" s="14">
        <f>data!AH71</f>
        <v>0</v>
      </c>
      <c r="G149" s="14">
        <f>data!AI71</f>
        <v>2817107.6999999993</v>
      </c>
      <c r="H149" s="14">
        <f>data!AJ71</f>
        <v>36547384.479999997</v>
      </c>
      <c r="I149" s="14">
        <f>data!AK71</f>
        <v>1175414.23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4519979.95</v>
      </c>
      <c r="D152" s="14">
        <f>data!AF73</f>
        <v>0</v>
      </c>
      <c r="E152" s="14">
        <f>data!AG73</f>
        <v>11746493.65</v>
      </c>
      <c r="F152" s="14">
        <f>data!AH73</f>
        <v>0</v>
      </c>
      <c r="G152" s="14">
        <f>data!AI73</f>
        <v>42390</v>
      </c>
      <c r="H152" s="14">
        <f>data!AJ73</f>
        <v>2253127.16</v>
      </c>
      <c r="I152" s="14">
        <f>data!AK73</f>
        <v>3068450.22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3255879.3699999996</v>
      </c>
      <c r="D153" s="14">
        <f>data!AF74</f>
        <v>0</v>
      </c>
      <c r="E153" s="14">
        <f>data!AG74</f>
        <v>47913030.469999999</v>
      </c>
      <c r="F153" s="14">
        <f>data!AH74</f>
        <v>0</v>
      </c>
      <c r="G153" s="14">
        <f>data!AI74</f>
        <v>3211965.93</v>
      </c>
      <c r="H153" s="14">
        <f>data!AJ74</f>
        <v>163238916.23000002</v>
      </c>
      <c r="I153" s="14">
        <f>data!AK74</f>
        <v>562082.32000000007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7775859.3200000003</v>
      </c>
      <c r="D154" s="14">
        <f>data!AF75</f>
        <v>0</v>
      </c>
      <c r="E154" s="14">
        <f>data!AG75</f>
        <v>59659524.119999997</v>
      </c>
      <c r="F154" s="14">
        <f>data!AH75</f>
        <v>0</v>
      </c>
      <c r="G154" s="14">
        <f>data!AI75</f>
        <v>3254355.93</v>
      </c>
      <c r="H154" s="14">
        <f>data!AJ75</f>
        <v>165492043.39000002</v>
      </c>
      <c r="I154" s="14">
        <f>data!AK75</f>
        <v>3630532.54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9987</v>
      </c>
      <c r="D156" s="14">
        <f>data!AF76</f>
        <v>0</v>
      </c>
      <c r="E156" s="14">
        <f>data!AG76</f>
        <v>10892</v>
      </c>
      <c r="F156" s="14">
        <f>data!AH76</f>
        <v>0</v>
      </c>
      <c r="G156" s="14">
        <f>data!AI76</f>
        <v>9614</v>
      </c>
      <c r="H156" s="14">
        <f>data!AJ76</f>
        <v>5870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196018.02131750892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10220</v>
      </c>
      <c r="D159" s="14">
        <f>data!AF79</f>
        <v>0</v>
      </c>
      <c r="E159" s="14">
        <f>data!AG79</f>
        <v>212795</v>
      </c>
      <c r="F159" s="14">
        <f>data!AH79</f>
        <v>0</v>
      </c>
      <c r="G159" s="14">
        <f>data!AI79</f>
        <v>197830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31.582247031439532</v>
      </c>
      <c r="F160" s="26">
        <f>data!AH80</f>
        <v>0</v>
      </c>
      <c r="G160" s="26">
        <f>data!AI80</f>
        <v>15.962446240400199</v>
      </c>
      <c r="H160" s="26">
        <f>data!AJ80</f>
        <v>24.378330436033096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Confluence Health:Central Washington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7613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35707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6.25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55.41</v>
      </c>
      <c r="H170" s="26">
        <f>data!AQ60</f>
        <v>0</v>
      </c>
      <c r="I170" s="26">
        <f>data!AR60</f>
        <v>63.88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558634.16000000015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2327301.9300000011</v>
      </c>
      <c r="H171" s="14">
        <f>data!AQ61</f>
        <v>0</v>
      </c>
      <c r="I171" s="14">
        <f>data!AR61</f>
        <v>5454422.9600000009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157182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886164</v>
      </c>
      <c r="H172" s="14">
        <f>data!AQ62</f>
        <v>0</v>
      </c>
      <c r="I172" s="14">
        <f>data!AR62</f>
        <v>1403749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8018654.7700000005</v>
      </c>
      <c r="H173" s="14">
        <f>data!AQ63</f>
        <v>0</v>
      </c>
      <c r="I173" s="14">
        <f>data!AR63</f>
        <v>518948.06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5176.21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494070.21000000008</v>
      </c>
      <c r="H174" s="14">
        <f>data!AQ64</f>
        <v>0</v>
      </c>
      <c r="I174" s="14">
        <f>data!AR64</f>
        <v>309224.03999999992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10780.759999999998</v>
      </c>
      <c r="H175" s="14">
        <f>data!AQ65</f>
        <v>0</v>
      </c>
      <c r="I175" s="14">
        <f>data!AR65</f>
        <v>4095.37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478.79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453587.74000000005</v>
      </c>
      <c r="H176" s="14">
        <f>data!AQ66</f>
        <v>0</v>
      </c>
      <c r="I176" s="14">
        <f>data!AR66</f>
        <v>556637.1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76363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101234</v>
      </c>
      <c r="H177" s="14">
        <f>data!AQ67</f>
        <v>0</v>
      </c>
      <c r="I177" s="14">
        <f>data!AR67</f>
        <v>22736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226707.84</v>
      </c>
      <c r="H178" s="14">
        <f>data!AQ68</f>
        <v>0</v>
      </c>
      <c r="I178" s="14">
        <f>data!AR68</f>
        <v>374569.13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4599.5700000000006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151246.97999999998</v>
      </c>
      <c r="H179" s="14">
        <f>data!AQ69</f>
        <v>0</v>
      </c>
      <c r="I179" s="14">
        <f>data!AR69</f>
        <v>235250.12000000002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802433.7300000001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12669748.230000002</v>
      </c>
      <c r="H181" s="14">
        <f>data!AQ71</f>
        <v>0</v>
      </c>
      <c r="I181" s="14">
        <f>data!AR71</f>
        <v>8879631.7799999993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1165245.54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11990.94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1053912.98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6165207.4700000016</v>
      </c>
      <c r="H185" s="14">
        <f>data!AQ74</f>
        <v>0</v>
      </c>
      <c r="I185" s="14">
        <f>data!AR74</f>
        <v>10564395.959999999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2219158.52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6177198.410000002</v>
      </c>
      <c r="H186" s="14">
        <f>data!AQ75</f>
        <v>0</v>
      </c>
      <c r="I186" s="14">
        <f>data!AR75</f>
        <v>10564395.959999999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26878</v>
      </c>
      <c r="H188" s="14">
        <f>data!AQ76</f>
        <v>0</v>
      </c>
      <c r="I188" s="14">
        <f>data!AR76</f>
        <v>6442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1.213542343920071</v>
      </c>
      <c r="H192" s="26">
        <f>data!AQ80</f>
        <v>0</v>
      </c>
      <c r="I192" s="26">
        <f>data!AR80</f>
        <v>24.210211344447412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Confluence Health:Central Washington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1024722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62.45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2521205.0199999996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806991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1478078.3900000006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9861.7200000000012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94542.189999999988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21597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53742.33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4986017.6500000004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11488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Confluence Health:Central Washington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506566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15.57</v>
      </c>
      <c r="E234" s="26">
        <f>data!BB60</f>
        <v>32.76</v>
      </c>
      <c r="F234" s="26">
        <f>data!BC60</f>
        <v>0</v>
      </c>
      <c r="G234" s="26">
        <f>data!BD60</f>
        <v>0</v>
      </c>
      <c r="H234" s="26">
        <f>data!BE60</f>
        <v>17.079999999999998</v>
      </c>
      <c r="I234" s="26">
        <f>data!BF60</f>
        <v>61.51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592244.35</v>
      </c>
      <c r="E235" s="14">
        <f>data!BB61</f>
        <v>2460709.3699999996</v>
      </c>
      <c r="F235" s="14">
        <f>data!BC61</f>
        <v>0</v>
      </c>
      <c r="G235" s="14">
        <f>data!BD61</f>
        <v>0</v>
      </c>
      <c r="H235" s="14">
        <f>data!BE61</f>
        <v>925749.09</v>
      </c>
      <c r="I235" s="14">
        <f>data!BF61</f>
        <v>2088216.4600000002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214204</v>
      </c>
      <c r="E236" s="14">
        <f>data!BB62</f>
        <v>710071</v>
      </c>
      <c r="F236" s="14">
        <f>data!BC62</f>
        <v>0</v>
      </c>
      <c r="G236" s="14">
        <f>data!BD62</f>
        <v>0</v>
      </c>
      <c r="H236" s="14">
        <f>data!BE62</f>
        <v>290096</v>
      </c>
      <c r="I236" s="14">
        <f>data!BF62</f>
        <v>837443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120388.25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267342.66000000003</v>
      </c>
      <c r="E238" s="14">
        <f>data!BB64</f>
        <v>13189.36</v>
      </c>
      <c r="F238" s="14">
        <f>data!BC64</f>
        <v>0</v>
      </c>
      <c r="G238" s="14">
        <f>data!BD64</f>
        <v>249568.6</v>
      </c>
      <c r="H238" s="14">
        <f>data!BE64</f>
        <v>77930.670000000013</v>
      </c>
      <c r="I238" s="14">
        <f>data!BF64</f>
        <v>383170.57999999996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3903.85</v>
      </c>
      <c r="E239" s="14">
        <f>data!BB65</f>
        <v>2377.6800000000003</v>
      </c>
      <c r="F239" s="14">
        <f>data!BC65</f>
        <v>0</v>
      </c>
      <c r="G239" s="14">
        <f>data!BD65</f>
        <v>3006.41</v>
      </c>
      <c r="H239" s="14">
        <f>data!BE65</f>
        <v>946398.76</v>
      </c>
      <c r="I239" s="14">
        <f>data!BF65</f>
        <v>273701.74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77772.17</v>
      </c>
      <c r="E240" s="14">
        <f>data!BB66</f>
        <v>261278.14</v>
      </c>
      <c r="F240" s="14">
        <f>data!BC66</f>
        <v>0</v>
      </c>
      <c r="G240" s="14">
        <f>data!BD66</f>
        <v>111402.41000000002</v>
      </c>
      <c r="H240" s="14">
        <f>data!BE66</f>
        <v>691935.33</v>
      </c>
      <c r="I240" s="14">
        <f>data!BF66</f>
        <v>53365.32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15443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235908</v>
      </c>
      <c r="I241" s="14">
        <f>data!BF67</f>
        <v>4138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16505.79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657.18000000000006</v>
      </c>
      <c r="E243" s="14">
        <f>data!BB69</f>
        <v>18061.89</v>
      </c>
      <c r="F243" s="14">
        <f>data!BC69</f>
        <v>0</v>
      </c>
      <c r="G243" s="14">
        <f>data!BD69</f>
        <v>0</v>
      </c>
      <c r="H243" s="14">
        <f>data!BE69</f>
        <v>16768.849999999999</v>
      </c>
      <c r="I243" s="14">
        <f>data!BF69</f>
        <v>6987.99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1171567.21</v>
      </c>
      <c r="E245" s="14">
        <f>data!BB71</f>
        <v>3586075.69</v>
      </c>
      <c r="F245" s="14">
        <f>data!BC71</f>
        <v>0</v>
      </c>
      <c r="G245" s="14">
        <f>data!BD71</f>
        <v>363977.42000000004</v>
      </c>
      <c r="H245" s="14">
        <f>data!BE71</f>
        <v>3201292.4899999998</v>
      </c>
      <c r="I245" s="14">
        <f>data!BF71</f>
        <v>3647023.0900000003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13960</v>
      </c>
      <c r="E252" s="85">
        <f>data!BB76</f>
        <v>1320</v>
      </c>
      <c r="F252" s="85">
        <f>data!BC76</f>
        <v>0</v>
      </c>
      <c r="G252" s="85">
        <f>data!BD76</f>
        <v>5708</v>
      </c>
      <c r="H252" s="85">
        <f>data!BE76</f>
        <v>191334</v>
      </c>
      <c r="I252" s="85">
        <f>data!BF76</f>
        <v>3089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Confluence Health:Central Washington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32.700000000000003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146490.66999999998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1291063.0400000003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44585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453401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1154.01</v>
      </c>
      <c r="D270" s="14">
        <f>data!BH64</f>
        <v>8097.83</v>
      </c>
      <c r="E270" s="14">
        <f>data!BI64</f>
        <v>0</v>
      </c>
      <c r="F270" s="14">
        <f>data!BJ64</f>
        <v>0</v>
      </c>
      <c r="G270" s="14">
        <f>data!BK64</f>
        <v>41.04</v>
      </c>
      <c r="H270" s="14">
        <f>data!BL64</f>
        <v>17705.099999999999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179.99</v>
      </c>
      <c r="D271" s="14">
        <f>data!BH65</f>
        <v>2404.38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1440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99494.82</v>
      </c>
      <c r="E272" s="14">
        <f>data!BI66</f>
        <v>119.33</v>
      </c>
      <c r="F272" s="14">
        <f>data!BJ66</f>
        <v>0</v>
      </c>
      <c r="G272" s="14">
        <f>data!BK66</f>
        <v>0</v>
      </c>
      <c r="H272" s="14">
        <f>data!BL66</f>
        <v>384.12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116535</v>
      </c>
      <c r="D273" s="14">
        <f>data!BH67</f>
        <v>1527184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110</v>
      </c>
      <c r="D275" s="14">
        <f>data!BH69</f>
        <v>203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3358.86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309054.67</v>
      </c>
      <c r="D277" s="14">
        <f>data!BH71</f>
        <v>1637384.03</v>
      </c>
      <c r="E277" s="14">
        <f>data!BI71</f>
        <v>119.33</v>
      </c>
      <c r="F277" s="14">
        <f>data!BJ71</f>
        <v>0</v>
      </c>
      <c r="G277" s="14">
        <f>data!BK71</f>
        <v>41.04</v>
      </c>
      <c r="H277" s="14">
        <f>data!BL71</f>
        <v>1767352.1200000006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206</v>
      </c>
      <c r="D284" s="85">
        <f>data!BH76</f>
        <v>2317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2374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Confluence Health:Central Washington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518047.38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1971135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76737505.940000013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30232.54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388160.70999999996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88996.58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13001.94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404.91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138980.93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17.260000000000002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5165066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295914.53999999998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16260050.359999999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50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101487862.80000001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119701.29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10363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1507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Confluence Health:Central Washington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4.0199999999999996</v>
      </c>
      <c r="H330" s="26">
        <f>data!BZ60</f>
        <v>0</v>
      </c>
      <c r="I330" s="26">
        <f>data!CA60</f>
        <v>73.569999999999993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309237.83999999997</v>
      </c>
      <c r="H331" s="86">
        <f>data!BZ61</f>
        <v>0</v>
      </c>
      <c r="I331" s="86">
        <f>data!CA61</f>
        <v>5820093.8099999977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83150</v>
      </c>
      <c r="H332" s="86">
        <f>data!BZ62</f>
        <v>0</v>
      </c>
      <c r="I332" s="86">
        <f>data!CA62</f>
        <v>1616184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21.95</v>
      </c>
      <c r="F334" s="86">
        <f>data!BX64</f>
        <v>0</v>
      </c>
      <c r="G334" s="86">
        <f>data!BY64</f>
        <v>3555.8999999999996</v>
      </c>
      <c r="H334" s="86">
        <f>data!BZ64</f>
        <v>0</v>
      </c>
      <c r="I334" s="86">
        <f>data!CA64</f>
        <v>27946.859999999997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880</v>
      </c>
      <c r="H335" s="86">
        <f>data!BZ65</f>
        <v>0</v>
      </c>
      <c r="I335" s="86">
        <f>data!CA65</f>
        <v>2652.28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497.29</v>
      </c>
      <c r="F336" s="86">
        <f>data!BX66</f>
        <v>0</v>
      </c>
      <c r="G336" s="86">
        <f>data!BY66</f>
        <v>23499.08</v>
      </c>
      <c r="H336" s="86">
        <f>data!BZ66</f>
        <v>0</v>
      </c>
      <c r="I336" s="86">
        <f>data!CA66</f>
        <v>2699.54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25725</v>
      </c>
      <c r="H337" s="86">
        <f>data!BZ67</f>
        <v>0</v>
      </c>
      <c r="I337" s="86">
        <f>data!CA67</f>
        <v>5876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889.68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148220.33000000002</v>
      </c>
      <c r="H339" s="86">
        <f>data!BZ69</f>
        <v>0</v>
      </c>
      <c r="I339" s="86">
        <f>data!CA69</f>
        <v>6207.05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519.24</v>
      </c>
      <c r="F341" s="14">
        <f>data!BX71</f>
        <v>0</v>
      </c>
      <c r="G341" s="14">
        <f>data!BY71</f>
        <v>595157.83000000007</v>
      </c>
      <c r="H341" s="14">
        <f>data!BZ71</f>
        <v>0</v>
      </c>
      <c r="I341" s="14">
        <f>data!CA71</f>
        <v>7481659.5399999982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2565</v>
      </c>
      <c r="E348" s="85">
        <f>data!BW76</f>
        <v>0</v>
      </c>
      <c r="F348" s="85">
        <f>data!BX76</f>
        <v>586</v>
      </c>
      <c r="G348" s="85">
        <f>data!BY76</f>
        <v>0</v>
      </c>
      <c r="H348" s="85">
        <f>data!BZ76</f>
        <v>0</v>
      </c>
      <c r="I348" s="85">
        <f>data!CA76</f>
        <v>1470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Confluence Health:Central Washington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1436.86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103256900.65000001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31070523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97401757.750000015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89063236.469999984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1432616.6699999997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13292765.220000003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11177142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1476698.47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17789442.539999999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0</v>
      </c>
      <c r="F373" s="219"/>
      <c r="G373" s="219"/>
      <c r="H373" s="219"/>
      <c r="I373" s="14">
        <f>data!CE71</f>
        <v>365961082.7700001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460168841.38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415584751.82000005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875753593.19999993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506566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1024721.9999999999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1976754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436.89574904974597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Central Washington Hospital Year End Report</dc:title>
  <dc:subject>2018 Central Washington Hospital Year End Report</dc:subject>
  <dc:creator>Washington State Dept of Health - HSQA - Community Health Systems</dc:creator>
  <cp:keywords>hospital financial reports</cp:keywords>
  <cp:lastModifiedBy>Huyck, Randall  (DOH)</cp:lastModifiedBy>
  <cp:lastPrinted>2019-09-26T14:03:39Z</cp:lastPrinted>
  <dcterms:created xsi:type="dcterms:W3CDTF">1999-06-02T22:01:56Z</dcterms:created>
  <dcterms:modified xsi:type="dcterms:W3CDTF">2019-09-26T16:56:19Z</dcterms:modified>
</cp:coreProperties>
</file>